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eeYean\LSY\Expenses\"/>
    </mc:Choice>
  </mc:AlternateContent>
  <xr:revisionPtr revIDLastSave="0" documentId="13_ncr:1_{976AF707-44EC-4FFF-88D8-1EF0B06526E4}" xr6:coauthVersionLast="36" xr6:coauthVersionMax="36" xr10:uidLastSave="{00000000-0000-0000-0000-000000000000}"/>
  <bookViews>
    <workbookView xWindow="0" yWindow="0" windowWidth="20490" windowHeight="8355" tabRatio="923" firstSheet="4" activeTab="11" xr2:uid="{00000000-000D-0000-FFFF-FFFF00000000}"/>
  </bookViews>
  <sheets>
    <sheet name="Jan2019" sheetId="6" r:id="rId1"/>
    <sheet name="Feb2019" sheetId="9" r:id="rId2"/>
    <sheet name="Mar2019" sheetId="13" r:id="rId3"/>
    <sheet name="Apr2019" sheetId="14" r:id="rId4"/>
    <sheet name="May2019" sheetId="17" r:id="rId5"/>
    <sheet name="Jun2019" sheetId="18" r:id="rId6"/>
    <sheet name="Jul2019" sheetId="19" r:id="rId7"/>
    <sheet name="Aug2019" sheetId="20" r:id="rId8"/>
    <sheet name="SEP2019" sheetId="22" r:id="rId9"/>
    <sheet name="OCT2019" sheetId="23" r:id="rId10"/>
    <sheet name="Nov2019" sheetId="24" r:id="rId11"/>
    <sheet name="Dec2019" sheetId="25" r:id="rId12"/>
    <sheet name="UOB" sheetId="10" r:id="rId13"/>
    <sheet name="PBB FD1" sheetId="15" r:id="rId14"/>
    <sheet name="PBB FD2" sheetId="16" r:id="rId15"/>
    <sheet name="UOB TXN 2019" sheetId="7" r:id="rId16"/>
    <sheet name="JoinAccount2019" sheetId="21" r:id="rId17"/>
    <sheet name="Father PBB FD 2019" sheetId="8" r:id="rId18"/>
    <sheet name="Mother PBB FD" sheetId="11" r:id="rId19"/>
    <sheet name="UOB Txn2018" sheetId="5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6" i="16" l="1"/>
  <c r="O75" i="16"/>
  <c r="O73" i="16"/>
  <c r="N7" i="25" l="1"/>
  <c r="S83" i="10"/>
  <c r="R83" i="10"/>
  <c r="N8" i="25"/>
  <c r="R79" i="10"/>
  <c r="O1" i="25"/>
  <c r="N4" i="25"/>
  <c r="N2" i="25"/>
  <c r="G4" i="25" s="1"/>
  <c r="N3" i="25"/>
  <c r="J15" i="25"/>
  <c r="I12" i="25"/>
  <c r="O6" i="25"/>
  <c r="V3" i="25"/>
  <c r="V4" i="25" s="1"/>
  <c r="G1" i="25"/>
  <c r="C1" i="25"/>
  <c r="H3" i="25" s="1"/>
  <c r="S79" i="10"/>
  <c r="S80" i="10" s="1"/>
  <c r="S82" i="10" s="1"/>
  <c r="R81" i="10"/>
  <c r="S81" i="10" s="1"/>
  <c r="M11" i="10"/>
  <c r="M12" i="10"/>
  <c r="L12" i="10"/>
  <c r="H12" i="10"/>
  <c r="I12" i="10"/>
  <c r="J12" i="10"/>
  <c r="K12" i="10"/>
  <c r="E12" i="10"/>
  <c r="D12" i="10"/>
  <c r="C12" i="10"/>
  <c r="B12" i="10"/>
  <c r="O6" i="24"/>
  <c r="T10" i="24"/>
  <c r="N8" i="24"/>
  <c r="N7" i="24"/>
  <c r="E114" i="7"/>
  <c r="E115" i="7" s="1"/>
  <c r="E116" i="7" s="1"/>
  <c r="E117" i="7" s="1"/>
  <c r="E118" i="7" s="1"/>
  <c r="R82" i="10"/>
  <c r="R80" i="10"/>
  <c r="S78" i="10"/>
  <c r="S77" i="10"/>
  <c r="S76" i="10"/>
  <c r="O70" i="16"/>
  <c r="O68" i="16"/>
  <c r="E113" i="7"/>
  <c r="G6" i="25" l="1"/>
  <c r="J1" i="25"/>
  <c r="N1" i="25"/>
  <c r="P1" i="25" s="1"/>
  <c r="V5" i="25"/>
  <c r="V6" i="25" s="1"/>
  <c r="V7" i="25" s="1"/>
  <c r="V8" i="25" s="1"/>
  <c r="V9" i="25" s="1"/>
  <c r="V10" i="25" s="1"/>
  <c r="V11" i="25" s="1"/>
  <c r="V12" i="25" s="1"/>
  <c r="V13" i="25" s="1"/>
  <c r="V14" i="25" s="1"/>
  <c r="V15" i="25" s="1"/>
  <c r="V16" i="25" s="1"/>
  <c r="V17" i="25" s="1"/>
  <c r="V18" i="25" s="1"/>
  <c r="V19" i="25" s="1"/>
  <c r="G5" i="25"/>
  <c r="E111" i="7"/>
  <c r="E112" i="7"/>
  <c r="T7" i="24"/>
  <c r="N9" i="25" l="1"/>
  <c r="N6" i="25" s="1"/>
  <c r="P6" i="25" s="1"/>
  <c r="E110" i="7"/>
  <c r="G6" i="24" l="1"/>
  <c r="N4" i="24" l="1"/>
  <c r="O1" i="24"/>
  <c r="H11" i="10"/>
  <c r="C11" i="10"/>
  <c r="I11" i="10" s="1"/>
  <c r="R75" i="10" s="1"/>
  <c r="S75" i="10" s="1"/>
  <c r="O6" i="23"/>
  <c r="N8" i="23"/>
  <c r="N7" i="23"/>
  <c r="D11" i="10" s="1"/>
  <c r="J11" i="10" s="1"/>
  <c r="N3" i="24" l="1"/>
  <c r="G5" i="24" s="1"/>
  <c r="E11" i="10"/>
  <c r="K11" i="10" s="1"/>
  <c r="J15" i="24"/>
  <c r="I12" i="24"/>
  <c r="V3" i="24"/>
  <c r="V4" i="24" s="1"/>
  <c r="V5" i="24" s="1"/>
  <c r="V6" i="24" s="1"/>
  <c r="V7" i="24" s="1"/>
  <c r="V8" i="24" s="1"/>
  <c r="V9" i="24" s="1"/>
  <c r="V10" i="24" s="1"/>
  <c r="V11" i="24" s="1"/>
  <c r="V12" i="24" s="1"/>
  <c r="V13" i="24" s="1"/>
  <c r="V14" i="24" s="1"/>
  <c r="V15" i="24" s="1"/>
  <c r="V16" i="24" s="1"/>
  <c r="V17" i="24" s="1"/>
  <c r="V18" i="24" s="1"/>
  <c r="V19" i="24" s="1"/>
  <c r="N9" i="24" s="1"/>
  <c r="G1" i="24"/>
  <c r="C1" i="24"/>
  <c r="H3" i="24" s="1"/>
  <c r="L11" i="10" l="1"/>
  <c r="R74" i="10" s="1"/>
  <c r="R73" i="10"/>
  <c r="S73" i="10" s="1"/>
  <c r="S74" i="10" s="1"/>
  <c r="J1" i="24"/>
  <c r="S72" i="10"/>
  <c r="S71" i="10"/>
  <c r="N2" i="24" l="1"/>
  <c r="N6" i="24"/>
  <c r="O63" i="16"/>
  <c r="O65" i="16"/>
  <c r="G4" i="24" l="1"/>
  <c r="N1" i="24"/>
  <c r="P1" i="24" s="1"/>
  <c r="E102" i="7"/>
  <c r="E103" i="7" s="1"/>
  <c r="E101" i="7"/>
  <c r="P6" i="24" l="1"/>
  <c r="E104" i="7"/>
  <c r="E105" i="7" s="1"/>
  <c r="E106" i="7" s="1"/>
  <c r="E107" i="7" s="1"/>
  <c r="E108" i="7" s="1"/>
  <c r="E109" i="7" s="1"/>
  <c r="E96" i="7"/>
  <c r="E97" i="7"/>
  <c r="E98" i="7" s="1"/>
  <c r="E99" i="7" s="1"/>
  <c r="E100" i="7" s="1"/>
  <c r="N4" i="23" l="1"/>
  <c r="N3" i="23"/>
  <c r="O1" i="23"/>
  <c r="J15" i="23"/>
  <c r="I12" i="23"/>
  <c r="G5" i="23"/>
  <c r="G4" i="23"/>
  <c r="G6" i="23" s="1"/>
  <c r="V3" i="23"/>
  <c r="V4" i="23" s="1"/>
  <c r="V5" i="23" s="1"/>
  <c r="V6" i="23" s="1"/>
  <c r="V7" i="23" s="1"/>
  <c r="V8" i="23" s="1"/>
  <c r="V9" i="23" s="1"/>
  <c r="V10" i="23" s="1"/>
  <c r="V11" i="23" s="1"/>
  <c r="V12" i="23" s="1"/>
  <c r="V13" i="23" s="1"/>
  <c r="V14" i="23" s="1"/>
  <c r="V15" i="23" s="1"/>
  <c r="V16" i="23" s="1"/>
  <c r="V17" i="23" s="1"/>
  <c r="V18" i="23" s="1"/>
  <c r="V19" i="23" s="1"/>
  <c r="N9" i="23" s="1"/>
  <c r="G1" i="23"/>
  <c r="C1" i="23"/>
  <c r="H3" i="23" s="1"/>
  <c r="S70" i="10"/>
  <c r="S68" i="10"/>
  <c r="S69" i="10"/>
  <c r="N2" i="23" s="1"/>
  <c r="J10" i="10"/>
  <c r="L10" i="10"/>
  <c r="K10" i="10"/>
  <c r="J1" i="23" l="1"/>
  <c r="N6" i="23"/>
  <c r="P6" i="23" s="1"/>
  <c r="N1" i="23"/>
  <c r="P1" i="23" s="1"/>
  <c r="I10" i="10"/>
  <c r="H10" i="10"/>
  <c r="I9" i="10"/>
  <c r="J9" i="10"/>
  <c r="M10" i="10"/>
  <c r="E10" i="10"/>
  <c r="E95" i="7"/>
  <c r="O6" i="22" l="1"/>
  <c r="E92" i="7"/>
  <c r="E93" i="7" s="1"/>
  <c r="E94" i="7" s="1"/>
  <c r="N7" i="22"/>
  <c r="N8" i="22"/>
  <c r="S67" i="10"/>
  <c r="S65" i="10"/>
  <c r="S66" i="10"/>
  <c r="V69" i="8"/>
  <c r="W69" i="8"/>
  <c r="V72" i="8"/>
  <c r="R16" i="11"/>
  <c r="R18" i="11"/>
  <c r="R14" i="11"/>
  <c r="V61" i="8"/>
  <c r="W61" i="8"/>
  <c r="V64" i="8"/>
  <c r="O60" i="16"/>
  <c r="S64" i="10"/>
  <c r="O61" i="15" l="1"/>
  <c r="O51" i="15"/>
  <c r="O56" i="15"/>
  <c r="G53" i="16"/>
  <c r="O58" i="16"/>
  <c r="O46" i="15" l="1"/>
  <c r="D9" i="10"/>
  <c r="S62" i="10"/>
  <c r="S60" i="10"/>
  <c r="H9" i="10"/>
  <c r="E9" i="10"/>
  <c r="K9" i="10" s="1"/>
  <c r="L9" i="10" s="1"/>
  <c r="E90" i="7"/>
  <c r="E91" i="7" s="1"/>
  <c r="E89" i="7"/>
  <c r="J15" i="22"/>
  <c r="I12" i="22"/>
  <c r="V3" i="22"/>
  <c r="N4" i="22" s="1"/>
  <c r="G1" i="22"/>
  <c r="C1" i="22"/>
  <c r="H3" i="22" s="1"/>
  <c r="J1" i="22" l="1"/>
  <c r="M9" i="10"/>
  <c r="V4" i="22"/>
  <c r="V5" i="22" s="1"/>
  <c r="V6" i="22" s="1"/>
  <c r="V7" i="22" s="1"/>
  <c r="V8" i="22" s="1"/>
  <c r="V9" i="22" s="1"/>
  <c r="V10" i="22" s="1"/>
  <c r="E85" i="7"/>
  <c r="E86" i="7"/>
  <c r="E87" i="7"/>
  <c r="E88" i="7" s="1"/>
  <c r="V11" i="22" l="1"/>
  <c r="V12" i="22" s="1"/>
  <c r="V13" i="22" s="1"/>
  <c r="V14" i="22" s="1"/>
  <c r="V15" i="22" s="1"/>
  <c r="V16" i="22" s="1"/>
  <c r="V17" i="22" s="1"/>
  <c r="V18" i="22" s="1"/>
  <c r="V19" i="22" s="1"/>
  <c r="N9" i="22" s="1"/>
  <c r="X6" i="20"/>
  <c r="T5" i="20"/>
  <c r="V56" i="8"/>
  <c r="W53" i="8"/>
  <c r="V53" i="8"/>
  <c r="R10" i="11"/>
  <c r="R12" i="11"/>
  <c r="R8" i="11"/>
  <c r="W1" i="21"/>
  <c r="M2" i="21"/>
  <c r="P10" i="21"/>
  <c r="L7" i="21"/>
  <c r="L2" i="21"/>
  <c r="P10" i="8"/>
  <c r="R55" i="10" l="1"/>
  <c r="N4" i="20"/>
  <c r="H8" i="10"/>
  <c r="I8" i="10"/>
  <c r="J8" i="10"/>
  <c r="E7" i="10"/>
  <c r="E8" i="10"/>
  <c r="K8" i="10" s="1"/>
  <c r="L8" i="10" s="1"/>
  <c r="E84" i="7"/>
  <c r="E83" i="7"/>
  <c r="M8" i="10" l="1"/>
  <c r="J15" i="20"/>
  <c r="I12" i="20"/>
  <c r="V3" i="20"/>
  <c r="G1" i="20"/>
  <c r="C1" i="20"/>
  <c r="H3" i="20" s="1"/>
  <c r="J1" i="20" l="1"/>
  <c r="V4" i="20"/>
  <c r="V5" i="20" s="1"/>
  <c r="V6" i="20" s="1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E82" i="7"/>
  <c r="T7" i="19"/>
  <c r="E81" i="7"/>
  <c r="E80" i="7"/>
  <c r="N9" i="20" l="1"/>
  <c r="O41" i="15"/>
  <c r="V48" i="8" l="1"/>
  <c r="W45" i="8"/>
  <c r="V45" i="8"/>
  <c r="V40" i="8"/>
  <c r="W37" i="8"/>
  <c r="V37" i="8"/>
  <c r="O50" i="16"/>
  <c r="J15" i="19"/>
  <c r="O48" i="16"/>
  <c r="C11" i="19"/>
  <c r="E79" i="7" l="1"/>
  <c r="E78" i="7" l="1"/>
  <c r="M1" i="8" l="1"/>
  <c r="L10" i="8"/>
  <c r="I10" i="15"/>
  <c r="G7" i="16" l="1"/>
  <c r="E75" i="7"/>
  <c r="E76" i="7"/>
  <c r="E77" i="7" s="1"/>
  <c r="I12" i="19" l="1"/>
  <c r="G1" i="19"/>
  <c r="C1" i="19"/>
  <c r="H3" i="19" s="1"/>
  <c r="H7" i="10"/>
  <c r="U3" i="19" s="1"/>
  <c r="I7" i="10"/>
  <c r="R47" i="10" s="1"/>
  <c r="J7" i="10"/>
  <c r="R46" i="10" s="1"/>
  <c r="K7" i="10"/>
  <c r="L7" i="10"/>
  <c r="J1" i="19" l="1"/>
  <c r="O36" i="15" l="1"/>
  <c r="R39" i="10" l="1"/>
  <c r="P45" i="16"/>
  <c r="O43" i="16"/>
  <c r="O45" i="16"/>
  <c r="I12" i="18" l="1"/>
  <c r="G1" i="18"/>
  <c r="C1" i="18"/>
  <c r="H3" i="18" s="1"/>
  <c r="J1" i="18" l="1"/>
  <c r="C1" i="17"/>
  <c r="G1" i="17"/>
  <c r="W5" i="8" l="1"/>
  <c r="W13" i="8"/>
  <c r="W21" i="8"/>
  <c r="W29" i="8"/>
  <c r="V32" i="8"/>
  <c r="O26" i="15"/>
  <c r="O31" i="15"/>
  <c r="L6" i="17" l="1"/>
  <c r="R6" i="11"/>
  <c r="V29" i="8"/>
  <c r="I12" i="17" l="1"/>
  <c r="N3" i="17"/>
  <c r="V3" i="17"/>
  <c r="V4" i="17" s="1"/>
  <c r="V5" i="17" s="1"/>
  <c r="V6" i="17" s="1"/>
  <c r="V7" i="17" s="1"/>
  <c r="V8" i="17" s="1"/>
  <c r="N2" i="17"/>
  <c r="H3" i="17"/>
  <c r="K4" i="10"/>
  <c r="V9" i="17" l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J1" i="17"/>
  <c r="C1" i="14"/>
  <c r="N9" i="17" l="1"/>
  <c r="V2" i="18"/>
  <c r="Q27" i="10"/>
  <c r="H3" i="14" l="1"/>
  <c r="E39" i="7"/>
  <c r="E40" i="7" s="1"/>
  <c r="E41" i="7" s="1"/>
  <c r="E42" i="7" s="1"/>
  <c r="E43" i="7" s="1"/>
  <c r="E44" i="7" s="1"/>
  <c r="E45" i="7" s="1"/>
  <c r="E38" i="7"/>
  <c r="V24" i="8"/>
  <c r="N6" i="14" l="1"/>
  <c r="E46" i="7"/>
  <c r="R25" i="10"/>
  <c r="E47" i="7" l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N4" i="17"/>
  <c r="V21" i="8"/>
  <c r="E63" i="7" l="1"/>
  <c r="E64" i="7" s="1"/>
  <c r="E65" i="7" s="1"/>
  <c r="E66" i="7" s="1"/>
  <c r="E67" i="7" s="1"/>
  <c r="E68" i="7" s="1"/>
  <c r="E69" i="7" s="1"/>
  <c r="E70" i="7" s="1"/>
  <c r="E71" i="7" s="1"/>
  <c r="E72" i="7" s="1"/>
  <c r="E27" i="7"/>
  <c r="T7" i="14"/>
  <c r="AB2" i="8"/>
  <c r="AB1" i="8" s="1"/>
  <c r="V16" i="8"/>
  <c r="V13" i="8"/>
  <c r="O1" i="15"/>
  <c r="O1" i="16"/>
  <c r="I12" i="14"/>
  <c r="I12" i="13"/>
  <c r="E73" i="7" l="1"/>
  <c r="E74" i="7" s="1"/>
  <c r="O1" i="19"/>
  <c r="L4" i="10"/>
  <c r="N3" i="14"/>
  <c r="N2" i="14"/>
  <c r="M2" i="6" l="1"/>
  <c r="G6" i="13"/>
  <c r="G6" i="9"/>
  <c r="M3" i="9"/>
  <c r="V8" i="8"/>
  <c r="M4" i="13" l="1"/>
  <c r="M3" i="13"/>
  <c r="M2" i="13"/>
  <c r="G1" i="13"/>
  <c r="C1" i="13"/>
  <c r="M1" i="13" l="1"/>
  <c r="O1" i="13" s="1"/>
  <c r="J1" i="13"/>
  <c r="R4" i="11"/>
  <c r="R2" i="11"/>
  <c r="R1" i="11"/>
  <c r="K2" i="11"/>
  <c r="L1" i="11"/>
  <c r="M4" i="9" l="1"/>
  <c r="G7" i="9"/>
  <c r="G1" i="9"/>
  <c r="C1" i="9"/>
  <c r="C11" i="7" l="1"/>
  <c r="B3" i="10"/>
  <c r="H3" i="10" s="1"/>
  <c r="J2" i="10"/>
  <c r="R14" i="10" s="1"/>
  <c r="Q12" i="10"/>
  <c r="Q11" i="10"/>
  <c r="Q10" i="10"/>
  <c r="S6" i="10"/>
  <c r="S8" i="10" s="1"/>
  <c r="S4" i="10"/>
  <c r="I12" i="9"/>
  <c r="M1" i="9"/>
  <c r="O1" i="9" s="1"/>
  <c r="L7" i="8"/>
  <c r="L2" i="8"/>
  <c r="V2" i="8"/>
  <c r="V1" i="8" s="1"/>
  <c r="V5" i="8"/>
  <c r="S5" i="10" l="1"/>
  <c r="S7" i="10" s="1"/>
  <c r="S9" i="10" s="1"/>
  <c r="S10" i="10" s="1"/>
  <c r="S11" i="10" s="1"/>
  <c r="S12" i="10" s="1"/>
  <c r="S14" i="10" s="1"/>
  <c r="H2" i="10"/>
  <c r="J1" i="9"/>
  <c r="M3" i="6"/>
  <c r="C1" i="6"/>
  <c r="G7" i="6"/>
  <c r="I12" i="6"/>
  <c r="G3" i="6"/>
  <c r="G6" i="6" l="1"/>
  <c r="G1" i="6" s="1"/>
  <c r="J1" i="6" s="1"/>
  <c r="D3" i="10"/>
  <c r="J3" i="10" s="1"/>
  <c r="R17" i="10" s="1"/>
  <c r="S17" i="10" s="1"/>
  <c r="S18" i="10" s="1"/>
  <c r="O1" i="6"/>
  <c r="E2" i="10"/>
  <c r="I2" i="10"/>
  <c r="K2" i="10" s="1"/>
  <c r="L2" i="10" s="1"/>
  <c r="D4" i="10" l="1"/>
  <c r="R13" i="10"/>
  <c r="S13" i="10" s="1"/>
  <c r="S15" i="10" s="1"/>
  <c r="J4" i="10" l="1"/>
  <c r="R20" i="10" s="1"/>
  <c r="S20" i="10" s="1"/>
  <c r="S22" i="10" s="1"/>
  <c r="S23" i="10" s="1"/>
  <c r="S24" i="10" s="1"/>
  <c r="S26" i="10" s="1"/>
  <c r="S27" i="10" s="1"/>
  <c r="S28" i="10" s="1"/>
  <c r="C3" i="10"/>
  <c r="D5" i="10" l="1"/>
  <c r="J5" i="10" s="1"/>
  <c r="R30" i="10" s="1"/>
  <c r="S30" i="10" s="1"/>
  <c r="S31" i="10" s="1"/>
  <c r="S33" i="10" s="1"/>
  <c r="S34" i="10" s="1"/>
  <c r="N7" i="14"/>
  <c r="E3" i="10"/>
  <c r="K3" i="10" s="1"/>
  <c r="L3" i="10" s="1"/>
  <c r="I3" i="10"/>
  <c r="R16" i="10" s="1"/>
  <c r="S16" i="10" s="1"/>
  <c r="S35" i="10" l="1"/>
  <c r="S36" i="10" s="1"/>
  <c r="N7" i="17"/>
  <c r="C4" i="10"/>
  <c r="I4" i="10" s="1"/>
  <c r="D6" i="10" l="1"/>
  <c r="J6" i="10" s="1"/>
  <c r="R38" i="10" s="1"/>
  <c r="S38" i="10" s="1"/>
  <c r="G4" i="22" s="1"/>
  <c r="R19" i="10"/>
  <c r="S19" i="10" s="1"/>
  <c r="B4" i="10"/>
  <c r="H4" i="10" s="1"/>
  <c r="G4" i="20" l="1"/>
  <c r="G4" i="19"/>
  <c r="G4" i="18"/>
  <c r="S40" i="10"/>
  <c r="S41" i="10" s="1"/>
  <c r="S21" i="10"/>
  <c r="S25" i="10" s="1"/>
  <c r="G6" i="14"/>
  <c r="S42" i="10" l="1"/>
  <c r="S43" i="10" s="1"/>
  <c r="S44" i="10" s="1"/>
  <c r="S45" i="10" s="1"/>
  <c r="S46" i="10" s="1"/>
  <c r="S48" i="10" s="1"/>
  <c r="N7" i="18"/>
  <c r="N2" i="18"/>
  <c r="C5" i="10"/>
  <c r="I5" i="10" s="1"/>
  <c r="R29" i="10" s="1"/>
  <c r="S29" i="10" s="1"/>
  <c r="S32" i="10" s="1"/>
  <c r="S39" i="10" s="1"/>
  <c r="S47" i="10" s="1"/>
  <c r="U27" i="10"/>
  <c r="N8" i="14"/>
  <c r="G1" i="14"/>
  <c r="J1" i="14" s="1"/>
  <c r="N4" i="14"/>
  <c r="S52" i="10" l="1"/>
  <c r="N3" i="19"/>
  <c r="S49" i="10"/>
  <c r="S50" i="10" s="1"/>
  <c r="N2" i="19"/>
  <c r="C6" i="10"/>
  <c r="N8" i="18"/>
  <c r="N8" i="17"/>
  <c r="N6" i="17" s="1"/>
  <c r="P6" i="17" s="1"/>
  <c r="N1" i="14"/>
  <c r="V2" i="14"/>
  <c r="V3" i="14" s="1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S54" i="10" l="1"/>
  <c r="N8" i="19"/>
  <c r="S51" i="10"/>
  <c r="S53" i="10" s="1"/>
  <c r="M16" i="8"/>
  <c r="M17" i="8" s="1"/>
  <c r="I6" i="10"/>
  <c r="R37" i="10" s="1"/>
  <c r="S37" i="10" s="1"/>
  <c r="G5" i="22" s="1"/>
  <c r="G6" i="22" s="1"/>
  <c r="B6" i="10"/>
  <c r="V14" i="14"/>
  <c r="V15" i="14" s="1"/>
  <c r="G5" i="18" l="1"/>
  <c r="G6" i="18" s="1"/>
  <c r="N4" i="18" s="1"/>
  <c r="G5" i="20"/>
  <c r="G6" i="20" s="1"/>
  <c r="G5" i="19"/>
  <c r="G6" i="19" s="1"/>
  <c r="S57" i="10"/>
  <c r="N3" i="20"/>
  <c r="S55" i="10"/>
  <c r="N7" i="19"/>
  <c r="H6" i="10"/>
  <c r="U3" i="18" s="1"/>
  <c r="V3" i="18" s="1"/>
  <c r="V4" i="18" s="1"/>
  <c r="V5" i="18" s="1"/>
  <c r="V6" i="18" s="1"/>
  <c r="V7" i="18" s="1"/>
  <c r="E6" i="10"/>
  <c r="K6" i="10" s="1"/>
  <c r="L6" i="10" s="1"/>
  <c r="V16" i="14"/>
  <c r="V17" i="14" s="1"/>
  <c r="N3" i="18" l="1"/>
  <c r="S61" i="10"/>
  <c r="N3" i="22" s="1"/>
  <c r="N8" i="20"/>
  <c r="S56" i="10"/>
  <c r="N2" i="20"/>
  <c r="N1" i="20" s="1"/>
  <c r="V8" i="18"/>
  <c r="N1" i="18"/>
  <c r="V18" i="14"/>
  <c r="X19" i="20" l="1"/>
  <c r="X21" i="20" s="1"/>
  <c r="S58" i="10"/>
  <c r="S59" i="10" s="1"/>
  <c r="V9" i="18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" i="19" s="1"/>
  <c r="V3" i="19" s="1"/>
  <c r="N9" i="18"/>
  <c r="N6" i="18" s="1"/>
  <c r="P6" i="18" s="1"/>
  <c r="N9" i="14"/>
  <c r="B5" i="10" s="1"/>
  <c r="V19" i="14"/>
  <c r="V20" i="14" s="1"/>
  <c r="X18" i="14"/>
  <c r="V27" i="10"/>
  <c r="N1" i="17"/>
  <c r="S63" i="10" l="1"/>
  <c r="N2" i="22" s="1"/>
  <c r="N1" i="22" s="1"/>
  <c r="P1" i="22" s="1"/>
  <c r="N6" i="22"/>
  <c r="P6" i="22" s="1"/>
  <c r="N7" i="20"/>
  <c r="N6" i="20" s="1"/>
  <c r="P6" i="20" s="1"/>
  <c r="V4" i="19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N9" i="19" s="1"/>
  <c r="N6" i="19" s="1"/>
  <c r="P6" i="19" s="1"/>
  <c r="N4" i="19"/>
  <c r="N1" i="19" s="1"/>
  <c r="P1" i="19" s="1"/>
  <c r="H5" i="10"/>
  <c r="E5" i="10"/>
  <c r="K5" i="10" s="1"/>
  <c r="L5" i="10" s="1"/>
  <c r="O7" i="14"/>
</calcChain>
</file>

<file path=xl/sharedStrings.xml><?xml version="1.0" encoding="utf-8"?>
<sst xmlns="http://schemas.openxmlformats.org/spreadsheetml/2006/main" count="1677" uniqueCount="431">
  <si>
    <t>4322-0710-0354-3471</t>
  </si>
  <si>
    <t>4365-0100-0223-1470</t>
  </si>
  <si>
    <t>4738-1910-0026-5239</t>
  </si>
  <si>
    <t>Astro</t>
  </si>
  <si>
    <t>SCB card</t>
  </si>
  <si>
    <t>Car park</t>
  </si>
  <si>
    <t>SCB Current</t>
  </si>
  <si>
    <t>Expenses</t>
  </si>
  <si>
    <t>Balance</t>
  </si>
  <si>
    <t>LSY</t>
  </si>
  <si>
    <t>Mother</t>
  </si>
  <si>
    <t>Father</t>
  </si>
  <si>
    <t>Total</t>
  </si>
  <si>
    <t>Saving</t>
  </si>
  <si>
    <t>Interest</t>
  </si>
  <si>
    <t>United Overseas Bank (Malaysia) Bhd (271809K)</t>
  </si>
  <si>
    <t/>
  </si>
  <si>
    <t>Account Statement Details</t>
  </si>
  <si>
    <t>Account Number:</t>
  </si>
  <si>
    <t>1673049104</t>
  </si>
  <si>
    <t>MYR</t>
  </si>
  <si>
    <t>Account Type:</t>
  </si>
  <si>
    <t>Flexi Mortgage</t>
  </si>
  <si>
    <t>Statement Period:</t>
  </si>
  <si>
    <t>01 Dec 2018 To: 31 Dec 2018</t>
  </si>
  <si>
    <t>Transaction Date</t>
  </si>
  <si>
    <t>Transaction Description</t>
  </si>
  <si>
    <t>Withdrawal</t>
  </si>
  <si>
    <t>Deposit</t>
  </si>
  <si>
    <t>Available Balance</t>
  </si>
  <si>
    <t>31 Dec 2018</t>
  </si>
  <si>
    <t>Instant Transfer
Loan Repayment
Dec2018 RM3K saving
SCB LIAU SWEE YEAN @ LIAW SWE</t>
  </si>
  <si>
    <t>18 Dec 2018</t>
  </si>
  <si>
    <t>IBG CR
690709065196A131986
2018121810961396
RHB KWSP - CTRL A/C</t>
  </si>
  <si>
    <t>14 Dec 2018</t>
  </si>
  <si>
    <t>Instant Transfer
5FATHERFUND 16517C5
INSTANT TRANSFER
MBB LIAU SWEE YEAN @ LIA</t>
  </si>
  <si>
    <t>13 Dec 2018</t>
  </si>
  <si>
    <t>Instant Transfer
4FATHERFUNDS RM30K
INSTANT TRANSFER
MBB LIAU SWEE YEAN @ LIA</t>
  </si>
  <si>
    <t>12 Dec 2018</t>
  </si>
  <si>
    <t>Instant Transfer
3FATHERFUND 30K
INSTANT TRANSFER
MBB LIAU SWEE YEAN @ LIA</t>
  </si>
  <si>
    <t>11 Dec 2018</t>
  </si>
  <si>
    <t>Instant Transfer
2FATHERFUND 30K
INSTANT TRANSFER
MBB LIAU SWEE YEAN @ LIA</t>
  </si>
  <si>
    <t>Instant Transfer
FATHERFUND 30K
INSTANT TRANSFER
MBB LIAU SWEE YEAN @ LIA</t>
  </si>
  <si>
    <t>02 Dec 2018</t>
  </si>
  <si>
    <t>Misc DR Loan
3338012320-00000
Trf. Wd. Loans</t>
  </si>
  <si>
    <t>30 Nov 2018</t>
  </si>
  <si>
    <t>Interest Credit</t>
  </si>
  <si>
    <t>19 Nov 2018</t>
  </si>
  <si>
    <t>IBG CR
690709065196A131986
2018111910961396
RHB KWSP - CTRL A/C</t>
  </si>
  <si>
    <t>01 Nov 2018</t>
  </si>
  <si>
    <t>Fee Charge</t>
  </si>
  <si>
    <t>01 Jan 2019</t>
  </si>
  <si>
    <t>Items</t>
  </si>
  <si>
    <t>Due Date</t>
  </si>
  <si>
    <t>Due Amount</t>
  </si>
  <si>
    <t>Amount</t>
  </si>
  <si>
    <t>Date</t>
  </si>
  <si>
    <t>INT TSFR-INT CYCLE</t>
  </si>
  <si>
    <t>ransaction Date</t>
  </si>
  <si>
    <t>Debit Amount</t>
  </si>
  <si>
    <t>Credit Amount</t>
  </si>
  <si>
    <t>Opening Balance</t>
  </si>
  <si>
    <t>TSFR FUND CR-ATM/EFT NO:806057 IP KOOK FAH YAP KIM KI BA1 5-62A 2750-1500 2.5 Month Deposit</t>
  </si>
  <si>
    <t>AUTOMATED LOAN PYMT TO 2100647222 BRH 0000122 NOTE 10010</t>
  </si>
  <si>
    <t>Closing Balance</t>
  </si>
  <si>
    <t>35K</t>
  </si>
  <si>
    <t>50K</t>
  </si>
  <si>
    <t>PBB FD interest</t>
  </si>
  <si>
    <t>INT TSFR-INT CYCLE 970411</t>
  </si>
  <si>
    <t>INT TSFR-INT CYCLE 970412</t>
  </si>
  <si>
    <t>INT TSFR-INT CYCLE  970411</t>
  </si>
  <si>
    <t>31/12/2018</t>
  </si>
  <si>
    <t>PBB FD</t>
  </si>
  <si>
    <t>UOB Flexi Mortgage</t>
  </si>
  <si>
    <t>from UOB (father)</t>
  </si>
  <si>
    <t>from UOB (Mother)</t>
  </si>
  <si>
    <t>from UOB (Swee Yean)</t>
  </si>
  <si>
    <t>Balance(Swee Yean)</t>
  </si>
  <si>
    <t>UOB(ALL)</t>
  </si>
  <si>
    <t>UOB(Father)</t>
  </si>
  <si>
    <t>UOB(Mother)</t>
  </si>
  <si>
    <t>18 Jan 2019</t>
  </si>
  <si>
    <t>IBG CR
690709065196A131986
2019011810961396
RHB KWSP - CTRL A/C</t>
  </si>
  <si>
    <t>14 Jan 2019</t>
  </si>
  <si>
    <t>Instant Transfer
sweeheng rm3k
sweeheng rm3k
PIB LIAU SWEE YEAN @ LIA</t>
  </si>
  <si>
    <t>03 Feb 2019</t>
  </si>
  <si>
    <t>01 Feb 2019</t>
  </si>
  <si>
    <t>31 Jan 2019</t>
  </si>
  <si>
    <t>CD Number</t>
  </si>
  <si>
    <t>Deposit Date</t>
  </si>
  <si>
    <t>Renewal Date</t>
  </si>
  <si>
    <t>Next Maturity Date</t>
  </si>
  <si>
    <t>Term</t>
  </si>
  <si>
    <t>Initial Deposit</t>
  </si>
  <si>
    <t>Interest Rate(%)</t>
  </si>
  <si>
    <t>Current Balance</t>
  </si>
  <si>
    <t>21-01-2019</t>
  </si>
  <si>
    <t>21-07-2019</t>
  </si>
  <si>
    <t>Account Number</t>
  </si>
  <si>
    <t>INT CR-INT CYCLE CD: 970411</t>
  </si>
  <si>
    <t>INT CR-INT CYCLE CD: 970412</t>
  </si>
  <si>
    <t>INT CR-INT CYCLE CD: 970413</t>
  </si>
  <si>
    <t>Islamic Term Deposit</t>
  </si>
  <si>
    <t>Account Type</t>
  </si>
  <si>
    <t>Fixed Deposit</t>
  </si>
  <si>
    <t>Account Total</t>
  </si>
  <si>
    <t>31/1/2019</t>
  </si>
  <si>
    <t>Owner</t>
  </si>
  <si>
    <t>Account Balance</t>
  </si>
  <si>
    <t>RINCHEN JANGSEM LING TRIANG MY  (千佛）</t>
  </si>
  <si>
    <t>RINCHEN JANGSEM LING TRIANG MY  (龙法会）</t>
  </si>
  <si>
    <t>BIGPHARMACY-OUG （Milk Powder 14tin)</t>
  </si>
  <si>
    <t>BIGPHARMACY-OUG （Milk Powder 12tin)</t>
  </si>
  <si>
    <t>04 Feb 2019</t>
  </si>
  <si>
    <t>Instant Transfer
SWEEHENG RM1K500
SWEEHENG RM1K500
PIB LIAU SWEE YEAN @ LIA</t>
  </si>
  <si>
    <t>Month</t>
  </si>
  <si>
    <t>Total Interest</t>
  </si>
  <si>
    <t>Balance Interest</t>
  </si>
  <si>
    <t>Instant Transfer
FatherFund RM30K 13Jan2019
PIB LIAW SWEE LIAN</t>
  </si>
  <si>
    <t xml:space="preserve">Service Charge
FatherFund RM30K 13Jan2019
</t>
  </si>
  <si>
    <t>FatherFund RM30K 13Jan2019
PIB LIAW SWEE LIAN</t>
  </si>
  <si>
    <t>01 Jan 2019 To: 31 Dec 2019</t>
  </si>
  <si>
    <t>Ang Pow from Loius Liaw</t>
  </si>
  <si>
    <t>UOB(LSY)</t>
  </si>
  <si>
    <t>INT CR-INT CYCLE CD: 119542</t>
  </si>
  <si>
    <t>INT CR-INT CYCLE CD: 119543</t>
  </si>
  <si>
    <t>93 from Feb2018onwards</t>
  </si>
  <si>
    <t>SCB Current balance</t>
  </si>
  <si>
    <t>SCB Current (PAY)</t>
  </si>
  <si>
    <t>Sutera Maya</t>
  </si>
  <si>
    <t>18 Feb 2019</t>
  </si>
  <si>
    <t>IBG CR
690709065196A131986
2019021810961396
RHB KWSP - CTRL A/C</t>
  </si>
  <si>
    <t>28 Feb 2019</t>
  </si>
  <si>
    <t>01 Mar 2019</t>
  </si>
  <si>
    <t>INT CR-INT CYCLE CD: 637049</t>
  </si>
  <si>
    <t>INT CR-INT CYCLE CD: 637050</t>
  </si>
  <si>
    <t>INT CR-INT CYCLE CD: 637051</t>
  </si>
  <si>
    <t>INT CR-INT CYCLE CD: 637052</t>
  </si>
  <si>
    <t>INT CR-INT CYCLE CD: 637053</t>
  </si>
  <si>
    <t>Txf Interest from PBB to UOB</t>
  </si>
  <si>
    <t>Interest (UOB)</t>
  </si>
  <si>
    <t>Interest from UOB (Father)</t>
  </si>
  <si>
    <t>Father PBB FD interest Jan Feb2019(Paid using UOB Acct)</t>
  </si>
  <si>
    <t>09 Apr 2019</t>
  </si>
  <si>
    <t>Instant Transfer
LIAW SWEE YEAN RM5K CauCasus Deposit
LIAW SWEE YEAN RM5K CauCasus Deposit
PIB WOO TAI HEI</t>
  </si>
  <si>
    <t>Instant Transfer
LIAW SWEE YEAN RM1980C70 Korea Expenses
LIAW SWEE YEAN RM1980C70 Korea Expenses
PIB LIONG SIEW CHIN</t>
  </si>
  <si>
    <t>01 Apr 2019</t>
  </si>
  <si>
    <t>Instant Transfer
pay3k n bonus12k mar2019
Savings
SCB LIAU SWEE YEAN @ LIAW SWEE YEAN</t>
  </si>
  <si>
    <t>31 Mar 2019</t>
  </si>
  <si>
    <t>18 Mar 2019</t>
  </si>
  <si>
    <t>IBG CR
690709065196A131986
2019031810961396
RHB KWSP - CTRL A/C</t>
  </si>
  <si>
    <t>14 Mar 2019</t>
  </si>
  <si>
    <t>Instant Transfer
LIAU SWEE YEAN RM3840 AirFares
LIAU SWEE YEAN RM3840 AirFares
PIB WOO TAI HEI</t>
  </si>
  <si>
    <t>RM5000 Deposit for Caucasus trip</t>
  </si>
  <si>
    <t>RM5000 Deposit for Caucasus Trip</t>
  </si>
  <si>
    <t xml:space="preserve">Korea Expenses </t>
  </si>
  <si>
    <t>Instant Transfer
LIAW SWEE YEAN RM1980C70 Korea Expenses
PIB LIONG SIEW CHIN</t>
  </si>
  <si>
    <t>Instant Transfer
LIAW SWEE YEAN RM5K CauCasus Deposit
PIB WOO TAI HEI</t>
  </si>
  <si>
    <t>INT CR-INT CYCLE CD: 119543</t>
  </si>
  <si>
    <t>INT CR-INT CYCLE CD: 119542</t>
  </si>
  <si>
    <t>20-02-2019</t>
  </si>
  <si>
    <t>INTEREST TRANSFER CD: 637049</t>
  </si>
  <si>
    <t>INTEREST TRANSFER CD: 637050</t>
  </si>
  <si>
    <t>INTEREST TRANSFER CD: 637051</t>
  </si>
  <si>
    <t>INTEREST TRANSFER CD: 637052</t>
  </si>
  <si>
    <t>INTEREST TRANSFER CD: 637053</t>
  </si>
  <si>
    <t>20-03-2019</t>
  </si>
  <si>
    <t>Profit Rate(%)</t>
  </si>
  <si>
    <t>INTEREST TRANSFER CD: 970411</t>
  </si>
  <si>
    <t>INTEREST TRANSFER CD: 970412</t>
  </si>
  <si>
    <t>INTEREST TRANSFER CD: 970413</t>
  </si>
  <si>
    <t>NEW CD</t>
  </si>
  <si>
    <t>INTEREST TRANSFER CD: 119542</t>
  </si>
  <si>
    <t>INTEREST TRANSFER CD: 119543</t>
  </si>
  <si>
    <t>Interest (PBB FD) Jan-Mar 2019</t>
  </si>
  <si>
    <t xml:space="preserve">PBB FD interest Jan-Mar 2019 </t>
  </si>
  <si>
    <t xml:space="preserve">PBB FD Interest Jan-Mar 2019 </t>
  </si>
  <si>
    <t>Txf RM1500 from SCB PsB</t>
  </si>
  <si>
    <t>SCB SharedSaved2015 RM32620.11</t>
  </si>
  <si>
    <t>INT CR-INT CYCLE CD: 970411</t>
  </si>
  <si>
    <t>INTEREST TRANSFER CD: 970411</t>
  </si>
  <si>
    <t>INT CR-INT CYCLE CD: 970412</t>
  </si>
  <si>
    <t>INTEREST TRANSFER CD: 970412</t>
  </si>
  <si>
    <t>INT CR-INT CYCLE CD: 970413</t>
  </si>
  <si>
    <t>INTEREST TRANSFER CD: 970413</t>
  </si>
  <si>
    <t>Interest (PBB FD) 9Apr2019</t>
  </si>
  <si>
    <t>Hui An 1 Month Medicine Supply</t>
  </si>
  <si>
    <t>INTEREST TRANSFER CD: 119542</t>
  </si>
  <si>
    <t>INTEREST TRANSFER CD: 119543</t>
  </si>
  <si>
    <t>Interest (PBB FD) 12Apr 2019</t>
  </si>
  <si>
    <t>10 Apr 2019</t>
  </si>
  <si>
    <t>Instant Transfer
Prudential Insurance Bonus
Savings
SCB LIAU SWEE YEAN @ LIAW SWEE YEAN</t>
  </si>
  <si>
    <t>11 Apr 2019</t>
  </si>
  <si>
    <t>Instant Transfer
LIAUSWEEYEAN RM10K SCB ShareSaved2015 Part1
Savings
SCB LIAU SWEE YEAN @ LIAW SWEE YEAN</t>
  </si>
  <si>
    <t>Instant Transfer
LIAUSWEEYEAN RM10K SCB ShareSaved2015 Part2
Savings
SCB LIAU SWEE YEAN @ LIAW SWEE YEAN</t>
  </si>
  <si>
    <t>Instant Transfer
LIAUSWEEYEAN RM10K SCB ShareSaved2015 Part3
Savings
SCB LIAU SWEE YEAN @ LIAW SWEE YEAN</t>
  </si>
  <si>
    <t>Instant Transfer
LIAUSWEEYEAN RM2K620 SCB ShareSaved2015 Part4
Savings
SCB LIAU SWEE YEAN @ LIAW SWEE YEAN</t>
  </si>
  <si>
    <t>Instant Transfer
9Apr2019 FD Interes
9Apr2019 FD Interes
PBB LIAU SWEE YEAN</t>
  </si>
  <si>
    <t>17 Apr 2019</t>
  </si>
  <si>
    <t>Instant Transfer
LIAU SWEE YEAN TradChineseMedicine RM263
PIB LEE POH SEOK</t>
  </si>
  <si>
    <t>Instant Transfer
LIAU SWEE YEAN RM500
PIB LIAU SWEE YEAN</t>
  </si>
  <si>
    <t>18 Apr 2019</t>
  </si>
  <si>
    <t>IBG CR
690709065196A131986
2019041810961396
RHB KWSP - CTRL A/C</t>
  </si>
  <si>
    <t>Mother Medicine RM263</t>
  </si>
  <si>
    <t>Txf RM500 to PBB for expenses</t>
  </si>
  <si>
    <t>Balance of SCB 2015SharedSave</t>
  </si>
  <si>
    <t>KWSP</t>
  </si>
  <si>
    <t>Interest (PBB FD) 21Apr2019</t>
  </si>
  <si>
    <t>TXF RM585 from PBB to UOB</t>
  </si>
  <si>
    <t>19 Apr 2019</t>
  </si>
  <si>
    <t>Instant Transfer
LIAUSWEEYEAN 2015ShareSave Balance RM4545cC9
Savings
SCB LIAU SWEE YEAN @ LIAW SWEE YEAN</t>
  </si>
  <si>
    <t>22 Apr 2019</t>
  </si>
  <si>
    <t>Instant Transfer
PBB FD 21Apr19 Inte
21Apr2019 Interest
PBB LIAU SWEE YEAN</t>
  </si>
  <si>
    <t>Instant Transfer
LIAUSWEEYEAN RM585
INSTANT TRANSFER
PBB LIAU SWEE YEAN</t>
  </si>
  <si>
    <t>TXF RM255 to FOO YUEN TING Tao Bao</t>
  </si>
  <si>
    <t>LIAW SWEE LING 12unit Milk powder, 4 Pampers</t>
  </si>
  <si>
    <t>2019IRB Refund RM2644C33</t>
  </si>
  <si>
    <t>Instant Transfer
LIAU SWEE YEAN RM255 payment
PIB FOO YUEH TING</t>
  </si>
  <si>
    <t>23 Apr 2019</t>
  </si>
  <si>
    <t>Instant Transfer
2019IRB Refund RM2644C33
Savings
SCB LIAU SWEE YEAN @ LIAW SWEE YEAN</t>
  </si>
  <si>
    <t>Instant Transfer
Payment4 Father Milk powder n Pampers
PIB LIAW SWEE LING</t>
  </si>
  <si>
    <t>Account Difference</t>
  </si>
  <si>
    <t>Saving of RM4K from Apr2019Salary</t>
  </si>
  <si>
    <t>24 Apr 2019</t>
  </si>
  <si>
    <t>Instant Transfer
LIAU SWEE YEAN APR2019 RM4K saving
Savings
SCB LIAU SWEE YEAN @ LIAW SWEE YEAN</t>
  </si>
  <si>
    <t>26 Apr 2019</t>
  </si>
  <si>
    <t>Instant Transfer
LIAU SWEE YEAN RM475 Millenium drink
PIB LAU CHEE YIN</t>
  </si>
  <si>
    <t>30 Apr 2019</t>
  </si>
  <si>
    <t>RM475 Millenium drink</t>
  </si>
  <si>
    <t>02 May 2019</t>
  </si>
  <si>
    <t>Misc DR
3338012320-00000
LOANS DEBIT</t>
  </si>
  <si>
    <t>Kelly Woo RM4850 Balance payment of Caucusus trip</t>
  </si>
  <si>
    <t>YAYASAN PENDIDKAN TZU CHI 福慧桌椅一套RM300</t>
  </si>
  <si>
    <t>06 May 2019</t>
  </si>
  <si>
    <t>Instant Transfer
LIAUSWEEYEAN RM4850 Caucasus Balance Pay
PIB WOO TAI HEI</t>
  </si>
  <si>
    <t>Instant Transfer
LIAU SWEE YEAN RM300
PIB YAYASAN PENDIDIKAN T</t>
  </si>
  <si>
    <t>Instant Transfer
LOO KEE BEE RM300 DONATION CHAIR TABLE
PIB YAYASAN PENDIDIKAN T</t>
  </si>
  <si>
    <t>Instant Transfer
LIAU YARK LIAW SING CHOUNG RM300
PIB WOO TAI HEI</t>
  </si>
  <si>
    <t>Instant Transfer
LIAU YARK LIAW SING CHOUNG RM300
PIB YAYASAN PENDIDIKAN T</t>
  </si>
  <si>
    <t>txf back RM300 which is wrongly txf to Kelly Woo</t>
  </si>
  <si>
    <t>RM100 from PBB saving</t>
  </si>
  <si>
    <t>Instant Transfer
LIAU SWEE YEAN RM40
INSTANT TRANSFER
PBB LIAU SWEE YEAN</t>
  </si>
  <si>
    <t>14 May 2019</t>
  </si>
  <si>
    <t>Instant Transfer
Mother FDinterest
INSTANT TRANSFER
PBB LIAU SWEE YEAN</t>
  </si>
  <si>
    <t>Instant Transfer
Father FD Interest
INSTANT TRANSFER
PBB LIAU SWEE YEAN</t>
  </si>
  <si>
    <t>Interest (PBB)</t>
  </si>
  <si>
    <t>SCB Worldmiles card</t>
  </si>
  <si>
    <t>20-05-2019</t>
  </si>
  <si>
    <t>20-04-2019</t>
  </si>
  <si>
    <t>21 May 2019</t>
  </si>
  <si>
    <t>IBG CR
690709065196A131986
2019052110961396
RHB KWSP - CTRL A/C</t>
  </si>
  <si>
    <t>Instant Transfer
Papa21MayFDinterest
INSTANT TRANSFER
PBB LIAU SWEE YEAN</t>
  </si>
  <si>
    <t>Instant Transfer
LIAW SWEE LIAN RM300 TableChair Donation
PIB YAYASAN PENDIDIKAN T</t>
  </si>
  <si>
    <t>RHB KWSP - CTRL A/C</t>
  </si>
  <si>
    <t>Instant Transfer
LOO AH MOI @ LOO SIEW KEE RM300 TableChair Donation
PIB YAYASAN PENDIDIKAN T</t>
  </si>
  <si>
    <t>23 May 2019</t>
  </si>
  <si>
    <t>Instant Transfer
LOO AH MOI LOO SIEW KEE RM300 TableChair
LOO AH MOI LOO SIEW KEE RM300 TableChair
PIB YAYASAN PENDIDIKAN T</t>
  </si>
  <si>
    <t>24 May 2019</t>
  </si>
  <si>
    <t>Instant Transfer
Salary May2019 RM3500
Savings
SCB LIAU SWEE YEAN @ LIAW SWEE YEAN</t>
  </si>
  <si>
    <t>Saving Salary RM3500</t>
  </si>
  <si>
    <t>LIAW SWEE Yean 12unit Milk powder</t>
  </si>
  <si>
    <t>LIAW SWEE Yean 12unit Milk powder, 6 Pampers</t>
  </si>
  <si>
    <t>INTEREST TRANSFER CD: 637054</t>
  </si>
  <si>
    <t>INTEREST TRANSFER CD: 637055</t>
  </si>
  <si>
    <t>INTEREST TRANSFER CD: 637056</t>
  </si>
  <si>
    <t>INTEREST TRANSFER CD: 637057</t>
  </si>
  <si>
    <t>INTEREST TRANSFER CD: 637058</t>
  </si>
  <si>
    <t>20-06-2019</t>
  </si>
  <si>
    <t>Interest (PBB FD) 12Jun2019</t>
  </si>
  <si>
    <t>Interest (PBB FD) 12Jun 2019</t>
  </si>
  <si>
    <t>31 May 2019</t>
  </si>
  <si>
    <t>02 Jun 2019</t>
  </si>
  <si>
    <t>18 Jun 2019</t>
  </si>
  <si>
    <t>Instant Transfer
LIAU SWEE YEAN RM1070 Jun2019
PIB LIAU SWEE YEAN</t>
  </si>
  <si>
    <t>Interest on 31May2019</t>
  </si>
  <si>
    <t>Payment for Father Milk Powder</t>
  </si>
  <si>
    <t>payment for PBB Interest for Father</t>
  </si>
  <si>
    <t>payment for PBB Interest for Mother</t>
  </si>
  <si>
    <t>Differences 37.94</t>
  </si>
  <si>
    <t>Interest (PBB FD) 21Jun2019</t>
  </si>
  <si>
    <t>Jun2019 Salary Saving RM3500</t>
  </si>
  <si>
    <t>24 Jun 2019</t>
  </si>
  <si>
    <t>Instant Transfer
Jun2019Salary RM3500
Savings
SCB LIAU SWEE YEAN @ LIAW SWEE YEAN</t>
  </si>
  <si>
    <t>Instant Transfer
21Jun2019DadFD826C5
21Jun2019DadFD826C5
PBB LIAU SWEE YEAN</t>
  </si>
  <si>
    <t>28 Jun 2019</t>
  </si>
  <si>
    <t>Instant Transfer
LIAU YARK RM38K888 1st payment RM30K
PIB TANG HOCK LOK</t>
  </si>
  <si>
    <t>Service Charge
LIAU YARK RM38K888 1st payment RM30K
PIB TANG HOCK LOK</t>
  </si>
  <si>
    <t>30 Jun 2019</t>
  </si>
  <si>
    <t>Instant Transfer
LIAU YARK RM38K888 2nd payment RM8888
PIB TANG HOCK LOK</t>
  </si>
  <si>
    <t>Service Charge
LIAU YARK RM38K888 2nd payment RM8888
PIB TANG HOCK LOK</t>
  </si>
  <si>
    <t>01 Jul 2019</t>
  </si>
  <si>
    <t>DR
Administration Fee</t>
  </si>
  <si>
    <t>Interest on 30Jun2019</t>
  </si>
  <si>
    <t>Administration Fee</t>
  </si>
  <si>
    <t>Instant Transfer
LIAU SWEEYEAN RM1070
LIAU SWEE EAN RM1070
PBB LIAU SWEE YEAN</t>
  </si>
  <si>
    <t>Difference 92.74</t>
  </si>
  <si>
    <t>Father Pak Kam RM20K</t>
  </si>
  <si>
    <t>03 Jul 2019</t>
  </si>
  <si>
    <t>Instant Transfer
Father Pak Kam RM10
INSTANT TRANSFER
PBB LIAU SWEE YEAN</t>
  </si>
  <si>
    <t>02 Jul 2019</t>
  </si>
  <si>
    <t>Instant Transfer
LIAUSWEEYEAN JUL2019 RM1K
PIB LIAU SWEE YEAN @ LIA</t>
  </si>
  <si>
    <t>08 Jul 2019</t>
  </si>
  <si>
    <t>Instant Transfer
Father PakKam RM362
INSTANT TRANSFER
PBB LIAU SWEE YEAN</t>
  </si>
  <si>
    <t>Bangi Avenue Loan Repayment</t>
  </si>
  <si>
    <t>Interest (PBB FD) 10Jul2019</t>
  </si>
  <si>
    <t>09 Jul 2019</t>
  </si>
  <si>
    <t>Instant Transfer
LIAUSWEEYEAN RM270 LoanRepayment
PIB LIAU SWEE YEAN</t>
  </si>
  <si>
    <t>Instant Transfer
Father PakKam RM3621
INSTANT TRANSFER
PBB LIAU SWEE YEAN</t>
  </si>
  <si>
    <t>20-07-2019</t>
  </si>
  <si>
    <t>16 Jul 2019</t>
  </si>
  <si>
    <t>Instant Transfer
LIAW SWEE YEAN RM250
PIB LIAU SWEE YEAN</t>
  </si>
  <si>
    <t>24 Jul 2019</t>
  </si>
  <si>
    <t>Instant Transfer
2019Jul Int RM799C8
INSTANT TRANSFER
PBB LIAU SWEE YEAN</t>
  </si>
  <si>
    <t>Interest (PBB FD) 21Jul2019</t>
  </si>
  <si>
    <t>Instant Transfer
LIAUSWEEYEAN Jul2019 RM4K
Savings
SCB LIAU SWEE YEAN @ LIAW SWEE YEAN</t>
  </si>
  <si>
    <t>31 Jul 2019</t>
  </si>
  <si>
    <t>01 Aug 2019</t>
  </si>
  <si>
    <t>Interest on 31Jul2019</t>
  </si>
  <si>
    <t>Withdrawal Date</t>
  </si>
  <si>
    <t>Withdrawal Amount</t>
  </si>
  <si>
    <t>15/8/2019</t>
  </si>
  <si>
    <t>15/2/2020</t>
  </si>
  <si>
    <t>Grand Total</t>
  </si>
  <si>
    <t>SubTotal</t>
  </si>
  <si>
    <t>FD Interest (RM381.53+RM139.82)</t>
  </si>
  <si>
    <t>Expenses(sea Cucumber 1KG)</t>
  </si>
  <si>
    <t>26 Aug 2019</t>
  </si>
  <si>
    <t>Instant Transfer
LIAU SWEE YEAN Father Fund RM30K
LIAU SWEE YEAN Father Fund RM30K
PIB LIAW SWEE LIAN</t>
  </si>
  <si>
    <t>Service Charge
LIAU SWEE YEAN Father Fund RM30K
LIAU SWEE YEAN Father Fund RM30K
PIB LIAW SWEE LIAN</t>
  </si>
  <si>
    <t>27 Aug 2019</t>
  </si>
  <si>
    <t>Instant Transfer
LIAU SWEE YEAN Father Fund RM10K
LIAU SWEE YEAN Father Fund RM10K
PIB LIAW SWEE LIAN</t>
  </si>
  <si>
    <t>Service Charge
LIAU SWEE YEAN Father Fund RM10K
LIAU SWEE YEAN Father Fund RM10K
PIB LIAW SWEE LIAN</t>
  </si>
  <si>
    <t>Txf 30K to LIAW SWEE LIAN, TXF Fees RM0.50</t>
  </si>
  <si>
    <t>Txf 10K to LIAW SWEE LIAN, TXF Fees RM0.50</t>
  </si>
  <si>
    <t>21-01-2020</t>
  </si>
  <si>
    <t>20-08-2019</t>
  </si>
  <si>
    <t>30 Aug 2019</t>
  </si>
  <si>
    <t>02 Sep 2019</t>
  </si>
  <si>
    <t>Diff (UOB)</t>
  </si>
  <si>
    <t>FD Interest (RM112.11+(RM129.52*4) ). Balance still in PBB</t>
  </si>
  <si>
    <t>Txf of PBB Interest Dated 21Aug2019</t>
  </si>
  <si>
    <t>06 Sep 2019</t>
  </si>
  <si>
    <t>TXF 3K to Global Trade Account</t>
  </si>
  <si>
    <t xml:space="preserve">Sui Cha Boh 50th Birthday </t>
  </si>
  <si>
    <t>20-09-2019</t>
  </si>
  <si>
    <t>20-10-2019</t>
  </si>
  <si>
    <t>20-11-2019</t>
  </si>
  <si>
    <t>CR NO:011774 KOPERASI SERBAGUNA M KSM-BS-2019-070</t>
  </si>
  <si>
    <t>INT CR-INT CYCLE CD: 119544</t>
  </si>
  <si>
    <t>INT CR-INT CYCLE CD: 119545</t>
  </si>
  <si>
    <t>INT CR-INT CYCLE CD: 119546</t>
  </si>
  <si>
    <t>INT CR-INT CYCLE CD: 119547</t>
  </si>
  <si>
    <t>INT CR-INT CYCLE CD: 119548</t>
  </si>
  <si>
    <t>INT CR-INT CYCLE CD: 119549</t>
  </si>
  <si>
    <t>Interest (PBB) 12Sep2019</t>
  </si>
  <si>
    <t>Interest (PBB FD) 10Aug2019</t>
  </si>
  <si>
    <t>Interest (PBB FD) 20SEP2019</t>
  </si>
  <si>
    <t>Interest (PBB FD) 10SEP2019</t>
  </si>
  <si>
    <t>Father PBB FD Interest</t>
  </si>
  <si>
    <t>Mother PBB FD Interest</t>
  </si>
  <si>
    <t>Sep2019 Salary Saving RM3K</t>
  </si>
  <si>
    <t>DuitNow/Instant Trf
LIAUSWEEYEAN RM3K
PIB LIAU SWEE YEAN @ LIA</t>
  </si>
  <si>
    <t>10 Sep 2019</t>
  </si>
  <si>
    <t>DuitNow/Instant Trf
LIAU SWEE YEAN RM419
PIB OO PHAIK SEE</t>
  </si>
  <si>
    <t>DuitNow/Instant Trf
LIAU SWEE YEAN RM2150
PIB PINE MERIDIAN</t>
  </si>
  <si>
    <t>24 Sep 2019</t>
  </si>
  <si>
    <t>DuitNow/Instant Trf
LIAUSWEEYEAN RM3K Sep2019Salary Saving
Savings
SCB LIAU SWEE YEAN @ LIAW SWEE YEAN</t>
  </si>
  <si>
    <t>FATHER: CR NO:011774 KOPERASI SERBAGUNA M KSM-BS-2019-070</t>
  </si>
  <si>
    <t>May2020 Air Ticket RM2150</t>
  </si>
  <si>
    <t>30 Sep 2019</t>
  </si>
  <si>
    <t>Txf to MBB Share Investment</t>
  </si>
  <si>
    <t>Share Investment RM6K</t>
  </si>
  <si>
    <t>04 Oct 2019</t>
  </si>
  <si>
    <t>DuitNow/Instant Trf
LIAUSWEEYEAN RM5K Share Investment
PIB LIAU SWEE YEAN @ LIA</t>
  </si>
  <si>
    <t>01 Oct 2019</t>
  </si>
  <si>
    <t>DuitNow/Instant Trf
LIAUSWEEYEAN RM5K SHARE INVESTMENT
PIB LIAU SWEE YEAN @ LIA</t>
  </si>
  <si>
    <t>DuitNow/Instant Trf
LIAUSWEEYEAN RM5K SHARE INVESTMENT2
PIB LIAU SWEE YEAN @ LIA</t>
  </si>
  <si>
    <t>DuitNow/Instant Trf
LIAUSWEEYEAN RM1K Share Investment
PIB LIAU SWEE YEAN @ LIA</t>
  </si>
  <si>
    <t>07 Oct 2019</t>
  </si>
  <si>
    <t>DuitNow/Instant Trf
07Oct2017 RM5K Share Investment 3rd
PIB LIAU SWEE YEAN @ LIA</t>
  </si>
  <si>
    <t>DuitNow/Instant Trf
07Oct2017 RM5K Share Investment 3rd * 3
PIB LIAU SWEE YEAN @ LIA</t>
  </si>
  <si>
    <t>DuitNow/Instant Trf
07Oct2017 RM5K Share Investment
PIB LIAU SWEE YEAN @ LIA</t>
  </si>
  <si>
    <t>DuitNow/Instant Trf
07Oct2017 RM5K Share Investment 2nd
PIB LIAU SWEE YEAN @ LIA</t>
  </si>
  <si>
    <t>10 Oct 2019</t>
  </si>
  <si>
    <t>DuitNow/Instant Trf
PentaKL Share Investment RM5K
PIB LIAU SWEE YEAN @ LIA</t>
  </si>
  <si>
    <t>DuitNow/Instant Trf
2nd PentaKL Share Investment RM5K
PIB LIAU SWEE YEAN @ LIA</t>
  </si>
  <si>
    <t>PENTA KL Share Investment RM10K</t>
  </si>
  <si>
    <t>INTEREST TRANSFER CD: 970414</t>
  </si>
  <si>
    <t>INTEREST TRANSFER CD: 970415</t>
  </si>
  <si>
    <t>INTEREST TRANSFER CD: 970416</t>
  </si>
  <si>
    <t>INTEREST TRANSFER CD: 119544</t>
  </si>
  <si>
    <t>INTEREST TRANSFER CD: 119545</t>
  </si>
  <si>
    <t>Vietname AirFares</t>
  </si>
  <si>
    <t>Interest (PBB FD) 10OCT2019</t>
  </si>
  <si>
    <t>Interest (PBB) 12OCT2019</t>
  </si>
  <si>
    <t xml:space="preserve">Salary RM5K </t>
  </si>
  <si>
    <t>20 Oct 2019</t>
  </si>
  <si>
    <t>DuitNow/Instant Trf
LIAU SWEE YEAN RM500 expenses
PIB LIAU SWEE YEAN @ LIA</t>
  </si>
  <si>
    <t>24 Oct 2019</t>
  </si>
  <si>
    <t>DuitNow/Instant Trf
Oct2019 Salary RM5K Saving
Savings
SCB LIAU SWEE YEAN @ LIAW SWEE YEAN</t>
  </si>
  <si>
    <t>31 Oct 2019</t>
  </si>
  <si>
    <t>01 Nov 2019</t>
  </si>
  <si>
    <t>PBB Interest</t>
  </si>
  <si>
    <t>Interest to paid to Father on the loan</t>
  </si>
  <si>
    <t>Father PBB interest on 22Oct2019</t>
  </si>
  <si>
    <t>Salary NOV2019 RM5K</t>
  </si>
  <si>
    <t>22 Nov 2019</t>
  </si>
  <si>
    <t>DuitNow/Instant Trf
Nov 2019 salary RM5K
Savings
SCB LIAU SWEE YEAN @ LIAW SWEE YEAN</t>
  </si>
  <si>
    <t>Penta HK 8k @HKD2.00</t>
  </si>
  <si>
    <t>26 Nov 2019</t>
  </si>
  <si>
    <t>DuitNow/Instant Trf
Penta HK RM4180
PIB LIAU SWEE YEAN @ LIA</t>
  </si>
  <si>
    <t>DuitNow/Instant Trf
Penta HK RM2321.23
PIB LIAU SWEE YEAN @ LIA</t>
  </si>
  <si>
    <t>27 Nov 2019</t>
  </si>
  <si>
    <t>DuitNow/Instant Trf
LIAW SWEE YEAN RM10
PIB LIAU SWEE YEAN @ LIA</t>
  </si>
  <si>
    <t>DuitNow/Instant Trf
LIAU SWEE YEAN RM20
PIB LIAU SWEE YEAN @ LIA</t>
  </si>
  <si>
    <t>29 Nov 2019</t>
  </si>
  <si>
    <t>01 Dec 2019</t>
  </si>
  <si>
    <t>03 Dec 2019</t>
  </si>
  <si>
    <t>Service Charge
LIAWSWEEKANG FatherFund RM30K
PIB LIAW SWEE KANG @ LIA</t>
  </si>
  <si>
    <t>DuitNow/Instant Trf
LIAWSWEEKANG FatherFund RM30K
PIB LIAW SWEE KANG @ LIA</t>
  </si>
  <si>
    <t>Interest (PBB FD) 20Nov2019</t>
  </si>
  <si>
    <t>Interest (PBB) 12Nov2019</t>
  </si>
  <si>
    <t>Interest (PBB FD) 10Nov2019</t>
  </si>
  <si>
    <t>LIAW SWEE KANG RM30K + fees RM0.5</t>
  </si>
  <si>
    <t>Father PBB interest on 10th and  22nd Nov 2019</t>
  </si>
  <si>
    <t>Mother PBB Interest on 12th Nov 2019</t>
  </si>
  <si>
    <t>Payback Loan 20K</t>
  </si>
  <si>
    <t>LIAW SWEE KANG RM20K + fees RM0.5</t>
  </si>
  <si>
    <t>Vietnam Trip Rm2400</t>
  </si>
  <si>
    <t>Lau Chee Yin Cloths RM350</t>
  </si>
  <si>
    <t>TXf from PBB Flora Rental RM2058.37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</si>
</sst>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/mmm/yyyy"/>
    <numFmt numFmtId="165" formatCode="[$-409]d\-mmm\-yyyy;@"/>
    <numFmt numFmtId="166" formatCode="dd\-mmm\-yyyy"/>
  </numFmts>
  <fonts count="3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4C536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color rgb="FF333333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8"/>
      <color rgb="FFFFFFFF"/>
      <name val="Arial"/>
      <family val="2"/>
    </font>
    <font>
      <sz val="8"/>
      <color theme="1"/>
      <name val="Arial"/>
      <family val="2"/>
    </font>
    <font>
      <sz val="8"/>
      <color rgb="FF333333"/>
      <name val="Arial"/>
      <family val="2"/>
    </font>
    <font>
      <b/>
      <sz val="8"/>
      <color rgb="FF333333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9"/>
      <color rgb="FF333333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b/>
      <sz val="10"/>
      <color rgb="FF333333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trike/>
      <sz val="8"/>
      <color rgb="FFFF0000"/>
      <name val="Arial"/>
      <family val="2"/>
    </font>
    <font>
      <strike/>
      <sz val="1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4B9B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D6D6D6"/>
      </left>
      <right style="medium">
        <color rgb="FFD6D6D6"/>
      </right>
      <top style="medium">
        <color rgb="FFD6D6D6"/>
      </top>
      <bottom style="medium">
        <color rgb="FFD6D6D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D6D6D6"/>
      </left>
      <right style="medium">
        <color rgb="FFD6D6D6"/>
      </right>
      <top style="medium">
        <color rgb="FFD6D6D6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D6D6D6"/>
      </left>
      <right/>
      <top style="medium">
        <color rgb="FFD6D6D6"/>
      </top>
      <bottom style="medium">
        <color rgb="FFD6D6D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D6D6D6"/>
      </right>
      <top style="medium">
        <color rgb="FFD6D6D6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D6D6D6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6" fillId="0" borderId="0"/>
    <xf numFmtId="0" fontId="11" fillId="0" borderId="0"/>
    <xf numFmtId="0" fontId="18" fillId="0" borderId="0"/>
    <xf numFmtId="0" fontId="21" fillId="0" borderId="0"/>
    <xf numFmtId="0" fontId="22" fillId="0" borderId="0"/>
    <xf numFmtId="0" fontId="30" fillId="0" borderId="0"/>
    <xf numFmtId="0" fontId="31" fillId="0" borderId="0"/>
    <xf numFmtId="0" fontId="32" fillId="0" borderId="0"/>
  </cellStyleXfs>
  <cellXfs count="39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2" borderId="0" xfId="0" applyFill="1"/>
    <xf numFmtId="4" fontId="0" fillId="2" borderId="0" xfId="0" applyNumberFormat="1" applyFill="1"/>
    <xf numFmtId="43" fontId="0" fillId="0" borderId="0" xfId="1" applyFont="1"/>
    <xf numFmtId="43" fontId="0" fillId="0" borderId="0" xfId="0" applyNumberFormat="1"/>
    <xf numFmtId="0" fontId="3" fillId="0" borderId="0" xfId="2"/>
    <xf numFmtId="0" fontId="4" fillId="0" borderId="0" xfId="2" applyFont="1"/>
    <xf numFmtId="0" fontId="3" fillId="0" borderId="0" xfId="2" applyAlignment="1">
      <alignment wrapText="1"/>
    </xf>
    <xf numFmtId="2" fontId="3" fillId="0" borderId="0" xfId="2" applyNumberFormat="1" applyAlignment="1">
      <alignment wrapText="1"/>
    </xf>
    <xf numFmtId="2" fontId="3" fillId="0" borderId="0" xfId="2" applyNumberFormat="1"/>
    <xf numFmtId="2" fontId="0" fillId="0" borderId="0" xfId="0" applyNumberFormat="1"/>
    <xf numFmtId="0" fontId="3" fillId="0" borderId="0" xfId="2" applyAlignment="1">
      <alignment wrapText="1"/>
    </xf>
    <xf numFmtId="2" fontId="3" fillId="0" borderId="0" xfId="2" applyNumberFormat="1" applyAlignment="1">
      <alignment wrapText="1"/>
    </xf>
    <xf numFmtId="2" fontId="3" fillId="0" borderId="0" xfId="2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6" fillId="0" borderId="0" xfId="3"/>
    <xf numFmtId="0" fontId="7" fillId="0" borderId="0" xfId="3" applyFont="1"/>
    <xf numFmtId="164" fontId="0" fillId="0" borderId="0" xfId="0" applyNumberFormat="1"/>
    <xf numFmtId="0" fontId="5" fillId="3" borderId="0" xfId="0" applyFont="1" applyFill="1"/>
    <xf numFmtId="4" fontId="5" fillId="3" borderId="0" xfId="0" applyNumberFormat="1" applyFont="1" applyFill="1"/>
    <xf numFmtId="43" fontId="8" fillId="0" borderId="0" xfId="1" applyFont="1"/>
    <xf numFmtId="14" fontId="9" fillId="4" borderId="1" xfId="0" applyNumberFormat="1" applyFont="1" applyFill="1" applyBorder="1" applyAlignment="1">
      <alignment vertical="top" wrapText="1"/>
    </xf>
    <xf numFmtId="0" fontId="9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right" vertical="top" wrapText="1"/>
    </xf>
    <xf numFmtId="4" fontId="9" fillId="4" borderId="1" xfId="0" applyNumberFormat="1" applyFont="1" applyFill="1" applyBorder="1" applyAlignment="1">
      <alignment horizontal="right" vertical="top" wrapText="1"/>
    </xf>
    <xf numFmtId="0" fontId="10" fillId="5" borderId="2" xfId="0" applyFont="1" applyFill="1" applyBorder="1" applyAlignment="1">
      <alignment horizontal="center" vertical="top" wrapText="1"/>
    </xf>
    <xf numFmtId="14" fontId="9" fillId="4" borderId="1" xfId="0" applyNumberFormat="1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vertical="top" wrapText="1"/>
    </xf>
    <xf numFmtId="43" fontId="9" fillId="4" borderId="1" xfId="1" applyFont="1" applyFill="1" applyBorder="1" applyAlignment="1">
      <alignment horizontal="right" vertical="top" wrapText="1"/>
    </xf>
    <xf numFmtId="0" fontId="12" fillId="5" borderId="2" xfId="0" applyFont="1" applyFill="1" applyBorder="1" applyAlignment="1">
      <alignment horizontal="center" vertical="top" wrapText="1"/>
    </xf>
    <xf numFmtId="0" fontId="13" fillId="0" borderId="0" xfId="0" applyFont="1"/>
    <xf numFmtId="0" fontId="14" fillId="4" borderId="1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right" vertical="top" wrapText="1"/>
    </xf>
    <xf numFmtId="43" fontId="13" fillId="0" borderId="0" xfId="1" applyFont="1"/>
    <xf numFmtId="4" fontId="16" fillId="5" borderId="0" xfId="0" applyNumberFormat="1" applyFont="1" applyFill="1" applyBorder="1" applyAlignment="1">
      <alignment horizontal="center" vertical="top" wrapText="1"/>
    </xf>
    <xf numFmtId="0" fontId="4" fillId="0" borderId="0" xfId="3" applyFont="1"/>
    <xf numFmtId="0" fontId="4" fillId="0" borderId="0" xfId="3" applyFont="1" applyAlignment="1">
      <alignment vertical="top"/>
    </xf>
    <xf numFmtId="0" fontId="7" fillId="0" borderId="0" xfId="3" applyFont="1" applyAlignment="1">
      <alignment vertical="top"/>
    </xf>
    <xf numFmtId="0" fontId="7" fillId="0" borderId="0" xfId="3" applyFont="1" applyAlignment="1">
      <alignment vertical="top" wrapText="1"/>
    </xf>
    <xf numFmtId="0" fontId="12" fillId="5" borderId="6" xfId="0" applyFont="1" applyFill="1" applyBorder="1" applyAlignment="1">
      <alignment horizontal="center" vertical="top" wrapText="1"/>
    </xf>
    <xf numFmtId="0" fontId="14" fillId="4" borderId="9" xfId="0" applyFont="1" applyFill="1" applyBorder="1" applyAlignment="1">
      <alignment horizontal="center" vertical="top" wrapText="1"/>
    </xf>
    <xf numFmtId="165" fontId="14" fillId="4" borderId="9" xfId="0" applyNumberFormat="1" applyFont="1" applyFill="1" applyBorder="1" applyAlignment="1">
      <alignment horizontal="center" vertical="top" wrapText="1"/>
    </xf>
    <xf numFmtId="4" fontId="14" fillId="4" borderId="9" xfId="0" applyNumberFormat="1" applyFont="1" applyFill="1" applyBorder="1" applyAlignment="1">
      <alignment horizontal="center" vertical="top" wrapText="1"/>
    </xf>
    <xf numFmtId="2" fontId="14" fillId="4" borderId="9" xfId="0" applyNumberFormat="1" applyFont="1" applyFill="1" applyBorder="1" applyAlignment="1">
      <alignment horizontal="center" vertical="top" wrapText="1"/>
    </xf>
    <xf numFmtId="0" fontId="14" fillId="4" borderId="13" xfId="0" applyFont="1" applyFill="1" applyBorder="1" applyAlignment="1">
      <alignment horizontal="center" vertical="top" wrapText="1"/>
    </xf>
    <xf numFmtId="165" fontId="14" fillId="4" borderId="13" xfId="0" applyNumberFormat="1" applyFont="1" applyFill="1" applyBorder="1" applyAlignment="1">
      <alignment horizontal="center" vertical="top" wrapText="1"/>
    </xf>
    <xf numFmtId="4" fontId="14" fillId="4" borderId="13" xfId="0" applyNumberFormat="1" applyFont="1" applyFill="1" applyBorder="1" applyAlignment="1">
      <alignment horizontal="center" vertical="top" wrapText="1"/>
    </xf>
    <xf numFmtId="2" fontId="14" fillId="4" borderId="13" xfId="0" applyNumberFormat="1" applyFont="1" applyFill="1" applyBorder="1" applyAlignment="1">
      <alignment horizontal="center" vertical="top" wrapText="1"/>
    </xf>
    <xf numFmtId="0" fontId="14" fillId="4" borderId="15" xfId="0" applyFont="1" applyFill="1" applyBorder="1" applyAlignment="1">
      <alignment horizontal="right" vertical="top" wrapText="1"/>
    </xf>
    <xf numFmtId="43" fontId="5" fillId="8" borderId="0" xfId="1" applyFont="1" applyFill="1"/>
    <xf numFmtId="0" fontId="14" fillId="6" borderId="1" xfId="0" applyFont="1" applyFill="1" applyBorder="1" applyAlignment="1">
      <alignment horizontal="center" vertical="top" wrapText="1"/>
    </xf>
    <xf numFmtId="14" fontId="14" fillId="6" borderId="1" xfId="0" applyNumberFormat="1" applyFont="1" applyFill="1" applyBorder="1" applyAlignment="1">
      <alignment horizontal="center" vertical="top" wrapText="1"/>
    </xf>
    <xf numFmtId="4" fontId="14" fillId="6" borderId="1" xfId="0" applyNumberFormat="1" applyFont="1" applyFill="1" applyBorder="1" applyAlignment="1">
      <alignment horizontal="center" vertical="top" wrapText="1"/>
    </xf>
    <xf numFmtId="0" fontId="14" fillId="7" borderId="1" xfId="0" applyFont="1" applyFill="1" applyBorder="1" applyAlignment="1">
      <alignment horizontal="center" vertical="top" wrapText="1"/>
    </xf>
    <xf numFmtId="4" fontId="14" fillId="7" borderId="1" xfId="0" applyNumberFormat="1" applyFont="1" applyFill="1" applyBorder="1" applyAlignment="1">
      <alignment horizontal="center" vertical="top" wrapText="1"/>
    </xf>
    <xf numFmtId="0" fontId="14" fillId="7" borderId="1" xfId="0" applyFont="1" applyFill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5" fillId="0" borderId="0" xfId="0" applyFont="1"/>
    <xf numFmtId="43" fontId="8" fillId="0" borderId="0" xfId="1" applyNumberFormat="1" applyFont="1"/>
    <xf numFmtId="2" fontId="14" fillId="4" borderId="15" xfId="0" applyNumberFormat="1" applyFont="1" applyFill="1" applyBorder="1" applyAlignment="1">
      <alignment horizontal="right" vertical="top" wrapText="1"/>
    </xf>
    <xf numFmtId="4" fontId="0" fillId="0" borderId="0" xfId="0" applyNumberFormat="1" applyAlignment="1">
      <alignment horizontal="right" vertical="top"/>
    </xf>
    <xf numFmtId="0" fontId="0" fillId="0" borderId="19" xfId="0" applyBorder="1"/>
    <xf numFmtId="43" fontId="8" fillId="0" borderId="19" xfId="1" applyFont="1" applyBorder="1"/>
    <xf numFmtId="0" fontId="10" fillId="5" borderId="6" xfId="0" applyFont="1" applyFill="1" applyBorder="1" applyAlignment="1">
      <alignment horizontal="center" vertical="top" wrapText="1"/>
    </xf>
    <xf numFmtId="14" fontId="19" fillId="4" borderId="19" xfId="0" applyNumberFormat="1" applyFont="1" applyFill="1" applyBorder="1" applyAlignment="1">
      <alignment horizontal="left" vertical="top" wrapText="1"/>
    </xf>
    <xf numFmtId="0" fontId="19" fillId="4" borderId="19" xfId="0" applyFont="1" applyFill="1" applyBorder="1" applyAlignment="1">
      <alignment horizontal="left" vertical="top" wrapText="1"/>
    </xf>
    <xf numFmtId="43" fontId="19" fillId="4" borderId="19" xfId="1" applyFont="1" applyFill="1" applyBorder="1" applyAlignment="1">
      <alignment horizontal="right" vertical="top" wrapText="1"/>
    </xf>
    <xf numFmtId="2" fontId="20" fillId="0" borderId="19" xfId="5" applyNumberFormat="1" applyFont="1" applyBorder="1" applyAlignment="1">
      <alignment wrapText="1"/>
    </xf>
    <xf numFmtId="0" fontId="20" fillId="0" borderId="19" xfId="5" applyFont="1" applyBorder="1" applyAlignment="1">
      <alignment wrapText="1"/>
    </xf>
    <xf numFmtId="0" fontId="14" fillId="4" borderId="19" xfId="0" applyFont="1" applyFill="1" applyBorder="1" applyAlignment="1">
      <alignment horizontal="left" vertical="top" wrapText="1"/>
    </xf>
    <xf numFmtId="43" fontId="14" fillId="4" borderId="19" xfId="1" applyFont="1" applyFill="1" applyBorder="1" applyAlignment="1">
      <alignment horizontal="right" vertical="top" wrapText="1"/>
    </xf>
    <xf numFmtId="14" fontId="14" fillId="4" borderId="19" xfId="0" applyNumberFormat="1" applyFont="1" applyFill="1" applyBorder="1" applyAlignment="1">
      <alignment vertical="top" wrapText="1"/>
    </xf>
    <xf numFmtId="43" fontId="20" fillId="0" borderId="19" xfId="1" applyFont="1" applyBorder="1" applyAlignment="1">
      <alignment vertical="top" wrapText="1"/>
    </xf>
    <xf numFmtId="2" fontId="20" fillId="0" borderId="19" xfId="5" applyNumberFormat="1" applyFont="1" applyBorder="1" applyAlignment="1">
      <alignment vertical="top" wrapText="1"/>
    </xf>
    <xf numFmtId="165" fontId="14" fillId="4" borderId="19" xfId="0" applyNumberFormat="1" applyFont="1" applyFill="1" applyBorder="1" applyAlignment="1">
      <alignment vertical="top" wrapText="1"/>
    </xf>
    <xf numFmtId="0" fontId="14" fillId="7" borderId="19" xfId="0" applyFont="1" applyFill="1" applyBorder="1" applyAlignment="1">
      <alignment horizontal="left" vertical="top" wrapText="1"/>
    </xf>
    <xf numFmtId="0" fontId="14" fillId="10" borderId="19" xfId="0" applyFont="1" applyFill="1" applyBorder="1" applyAlignment="1">
      <alignment horizontal="left" vertical="top" wrapText="1"/>
    </xf>
    <xf numFmtId="4" fontId="13" fillId="0" borderId="19" xfId="0" applyNumberFormat="1" applyFont="1" applyBorder="1"/>
    <xf numFmtId="0" fontId="14" fillId="0" borderId="19" xfId="0" applyFont="1" applyBorder="1"/>
    <xf numFmtId="0" fontId="9" fillId="4" borderId="1" xfId="0" applyFont="1" applyFill="1" applyBorder="1" applyAlignment="1">
      <alignment horizontal="center" vertical="top" wrapText="1"/>
    </xf>
    <xf numFmtId="14" fontId="9" fillId="4" borderId="1" xfId="0" applyNumberFormat="1" applyFont="1" applyFill="1" applyBorder="1" applyAlignment="1">
      <alignment horizontal="center" vertical="top" wrapText="1"/>
    </xf>
    <xf numFmtId="4" fontId="9" fillId="4" borderId="1" xfId="0" applyNumberFormat="1" applyFont="1" applyFill="1" applyBorder="1" applyAlignment="1">
      <alignment horizontal="center" vertical="top" wrapText="1"/>
    </xf>
    <xf numFmtId="2" fontId="9" fillId="4" borderId="1" xfId="0" applyNumberFormat="1" applyFont="1" applyFill="1" applyBorder="1" applyAlignment="1">
      <alignment horizontal="center" vertical="top" wrapText="1"/>
    </xf>
    <xf numFmtId="0" fontId="9" fillId="10" borderId="1" xfId="0" applyFont="1" applyFill="1" applyBorder="1" applyAlignment="1">
      <alignment horizontal="center" vertical="top" wrapText="1"/>
    </xf>
    <xf numFmtId="14" fontId="9" fillId="10" borderId="1" xfId="0" applyNumberFormat="1" applyFont="1" applyFill="1" applyBorder="1" applyAlignment="1">
      <alignment horizontal="center" vertical="top" wrapText="1"/>
    </xf>
    <xf numFmtId="4" fontId="9" fillId="10" borderId="1" xfId="0" applyNumberFormat="1" applyFont="1" applyFill="1" applyBorder="1" applyAlignment="1">
      <alignment horizontal="center" vertical="top" wrapText="1"/>
    </xf>
    <xf numFmtId="2" fontId="9" fillId="10" borderId="1" xfId="0" applyNumberFormat="1" applyFont="1" applyFill="1" applyBorder="1" applyAlignment="1">
      <alignment horizontal="center" vertical="top" wrapText="1"/>
    </xf>
    <xf numFmtId="0" fontId="14" fillId="4" borderId="1" xfId="0" applyFont="1" applyFill="1" applyBorder="1" applyAlignment="1">
      <alignment horizontal="center" vertical="top" wrapText="1"/>
    </xf>
    <xf numFmtId="4" fontId="14" fillId="4" borderId="1" xfId="0" applyNumberFormat="1" applyFont="1" applyFill="1" applyBorder="1" applyAlignment="1">
      <alignment horizontal="center" vertical="top" wrapText="1"/>
    </xf>
    <xf numFmtId="2" fontId="14" fillId="4" borderId="1" xfId="0" applyNumberFormat="1" applyFont="1" applyFill="1" applyBorder="1" applyAlignment="1">
      <alignment horizontal="center" vertical="top" wrapText="1"/>
    </xf>
    <xf numFmtId="0" fontId="14" fillId="4" borderId="1" xfId="0" applyFont="1" applyFill="1" applyBorder="1" applyAlignment="1">
      <alignment vertical="top" wrapText="1"/>
    </xf>
    <xf numFmtId="2" fontId="14" fillId="7" borderId="1" xfId="0" applyNumberFormat="1" applyFont="1" applyFill="1" applyBorder="1" applyAlignment="1">
      <alignment horizontal="center" vertical="top" wrapText="1"/>
    </xf>
    <xf numFmtId="2" fontId="14" fillId="6" borderId="1" xfId="0" applyNumberFormat="1" applyFont="1" applyFill="1" applyBorder="1" applyAlignment="1">
      <alignment horizontal="center" vertical="top" wrapText="1"/>
    </xf>
    <xf numFmtId="0" fontId="14" fillId="11" borderId="1" xfId="0" applyFont="1" applyFill="1" applyBorder="1" applyAlignment="1">
      <alignment horizontal="left" vertical="top" wrapText="1"/>
    </xf>
    <xf numFmtId="0" fontId="14" fillId="11" borderId="1" xfId="0" applyFont="1" applyFill="1" applyBorder="1" applyAlignment="1">
      <alignment horizontal="right" vertical="top" wrapText="1"/>
    </xf>
    <xf numFmtId="0" fontId="14" fillId="11" borderId="15" xfId="0" applyFont="1" applyFill="1" applyBorder="1" applyAlignment="1">
      <alignment horizontal="right" vertical="top" wrapText="1"/>
    </xf>
    <xf numFmtId="0" fontId="14" fillId="6" borderId="1" xfId="0" applyFont="1" applyFill="1" applyBorder="1" applyAlignment="1">
      <alignment horizontal="right" vertical="top" wrapText="1"/>
    </xf>
    <xf numFmtId="0" fontId="14" fillId="6" borderId="15" xfId="0" applyFont="1" applyFill="1" applyBorder="1" applyAlignment="1">
      <alignment horizontal="right" vertical="top" wrapText="1"/>
    </xf>
    <xf numFmtId="43" fontId="5" fillId="14" borderId="0" xfId="1" applyFont="1" applyFill="1"/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15" fontId="0" fillId="0" borderId="0" xfId="0" applyNumberFormat="1" applyAlignment="1">
      <alignment vertical="top"/>
    </xf>
    <xf numFmtId="43" fontId="0" fillId="0" borderId="0" xfId="1" applyFont="1" applyAlignment="1">
      <alignment vertical="top"/>
    </xf>
    <xf numFmtId="43" fontId="0" fillId="0" borderId="0" xfId="0" applyNumberFormat="1" applyAlignment="1">
      <alignment vertical="top"/>
    </xf>
    <xf numFmtId="43" fontId="17" fillId="0" borderId="0" xfId="0" applyNumberFormat="1" applyFont="1" applyAlignment="1">
      <alignment vertical="top"/>
    </xf>
    <xf numFmtId="2" fontId="0" fillId="0" borderId="0" xfId="0" applyNumberFormat="1" applyAlignment="1">
      <alignment vertical="top"/>
    </xf>
    <xf numFmtId="164" fontId="11" fillId="6" borderId="0" xfId="4" applyNumberFormat="1" applyFill="1" applyAlignment="1">
      <alignment vertical="top" wrapText="1"/>
    </xf>
    <xf numFmtId="0" fontId="4" fillId="6" borderId="0" xfId="3" applyFont="1" applyFill="1" applyAlignment="1">
      <alignment vertical="top"/>
    </xf>
    <xf numFmtId="43" fontId="7" fillId="6" borderId="0" xfId="1" applyFont="1" applyFill="1" applyAlignment="1">
      <alignment vertical="top"/>
    </xf>
    <xf numFmtId="164" fontId="11" fillId="0" borderId="0" xfId="4" applyNumberFormat="1" applyAlignment="1">
      <alignment vertical="top" wrapText="1"/>
    </xf>
    <xf numFmtId="43" fontId="7" fillId="0" borderId="0" xfId="1" applyFont="1" applyAlignment="1">
      <alignment vertical="top"/>
    </xf>
    <xf numFmtId="2" fontId="0" fillId="0" borderId="0" xfId="0" applyNumberFormat="1" applyAlignment="1">
      <alignment vertical="top" wrapText="1"/>
    </xf>
    <xf numFmtId="43" fontId="0" fillId="0" borderId="0" xfId="1" applyFont="1" applyAlignment="1">
      <alignment vertical="top" wrapText="1"/>
    </xf>
    <xf numFmtId="43" fontId="2" fillId="0" borderId="0" xfId="1" applyNumberFormat="1" applyFont="1" applyAlignment="1">
      <alignment vertical="top"/>
    </xf>
    <xf numFmtId="0" fontId="0" fillId="6" borderId="0" xfId="0" applyFill="1" applyAlignment="1">
      <alignment vertical="top"/>
    </xf>
    <xf numFmtId="43" fontId="0" fillId="6" borderId="0" xfId="1" applyFont="1" applyFill="1" applyAlignment="1">
      <alignment vertical="top"/>
    </xf>
    <xf numFmtId="166" fontId="0" fillId="6" borderId="0" xfId="0" applyNumberFormat="1" applyFill="1" applyAlignment="1">
      <alignment vertical="top"/>
    </xf>
    <xf numFmtId="166" fontId="0" fillId="0" borderId="0" xfId="0" applyNumberFormat="1" applyAlignment="1">
      <alignment vertical="top"/>
    </xf>
    <xf numFmtId="43" fontId="5" fillId="6" borderId="0" xfId="1" applyFont="1" applyFill="1" applyAlignment="1">
      <alignment vertical="top"/>
    </xf>
    <xf numFmtId="0" fontId="0" fillId="0" borderId="0" xfId="0" applyAlignment="1">
      <alignment vertical="top" wrapText="1"/>
    </xf>
    <xf numFmtId="43" fontId="5" fillId="8" borderId="0" xfId="1" applyFont="1" applyFill="1" applyAlignment="1">
      <alignment vertical="top"/>
    </xf>
    <xf numFmtId="0" fontId="11" fillId="0" borderId="0" xfId="4" applyAlignment="1">
      <alignment vertical="top" wrapText="1"/>
    </xf>
    <xf numFmtId="43" fontId="11" fillId="0" borderId="0" xfId="1" applyFont="1" applyAlignment="1">
      <alignment vertical="top" wrapText="1"/>
    </xf>
    <xf numFmtId="2" fontId="11" fillId="0" borderId="0" xfId="4" applyNumberFormat="1" applyAlignment="1">
      <alignment vertical="top" wrapText="1"/>
    </xf>
    <xf numFmtId="43" fontId="11" fillId="0" borderId="0" xfId="1" applyFont="1" applyAlignment="1">
      <alignment vertical="top"/>
    </xf>
    <xf numFmtId="0" fontId="3" fillId="0" borderId="0" xfId="2" applyAlignment="1">
      <alignment vertical="top" wrapText="1"/>
    </xf>
    <xf numFmtId="43" fontId="3" fillId="0" borderId="0" xfId="1" applyFont="1" applyAlignment="1">
      <alignment vertical="top" wrapText="1"/>
    </xf>
    <xf numFmtId="2" fontId="3" fillId="0" borderId="0" xfId="2" applyNumberFormat="1" applyAlignment="1">
      <alignment vertical="top" wrapText="1"/>
    </xf>
    <xf numFmtId="43" fontId="3" fillId="0" borderId="0" xfId="1" applyFont="1" applyAlignment="1">
      <alignment vertical="top"/>
    </xf>
    <xf numFmtId="2" fontId="18" fillId="0" borderId="0" xfId="5" applyNumberFormat="1" applyAlignment="1">
      <alignment vertical="top" wrapText="1"/>
    </xf>
    <xf numFmtId="43" fontId="18" fillId="0" borderId="0" xfId="1" applyFont="1" applyAlignment="1">
      <alignment vertical="top" wrapText="1"/>
    </xf>
    <xf numFmtId="0" fontId="18" fillId="0" borderId="0" xfId="5" applyAlignment="1">
      <alignment vertical="top" wrapText="1"/>
    </xf>
    <xf numFmtId="43" fontId="18" fillId="0" borderId="0" xfId="1" applyFont="1" applyAlignment="1">
      <alignment vertical="top"/>
    </xf>
    <xf numFmtId="2" fontId="18" fillId="0" borderId="0" xfId="5" applyNumberFormat="1" applyFill="1" applyAlignment="1">
      <alignment vertical="top" wrapText="1"/>
    </xf>
    <xf numFmtId="43" fontId="18" fillId="0" borderId="0" xfId="1" applyFont="1" applyFill="1" applyAlignment="1">
      <alignment vertical="top" wrapText="1"/>
    </xf>
    <xf numFmtId="15" fontId="5" fillId="0" borderId="0" xfId="0" applyNumberFormat="1" applyFont="1" applyAlignment="1">
      <alignment vertical="top"/>
    </xf>
    <xf numFmtId="43" fontId="20" fillId="0" borderId="19" xfId="1" applyFont="1" applyFill="1" applyBorder="1" applyAlignment="1">
      <alignment vertical="top" wrapText="1"/>
    </xf>
    <xf numFmtId="2" fontId="3" fillId="0" borderId="0" xfId="2" applyNumberFormat="1" applyAlignment="1">
      <alignment wrapText="1"/>
    </xf>
    <xf numFmtId="2" fontId="3" fillId="0" borderId="0" xfId="2" applyNumberFormat="1" applyAlignment="1">
      <alignment wrapText="1"/>
    </xf>
    <xf numFmtId="0" fontId="3" fillId="0" borderId="0" xfId="2" applyAlignment="1">
      <alignment wrapText="1"/>
    </xf>
    <xf numFmtId="2" fontId="3" fillId="0" borderId="0" xfId="2" applyNumberFormat="1" applyAlignment="1">
      <alignment wrapText="1"/>
    </xf>
    <xf numFmtId="0" fontId="14" fillId="15" borderId="19" xfId="0" applyFont="1" applyFill="1" applyBorder="1" applyAlignment="1">
      <alignment horizontal="left" vertical="top" wrapText="1"/>
    </xf>
    <xf numFmtId="14" fontId="14" fillId="15" borderId="19" xfId="0" applyNumberFormat="1" applyFont="1" applyFill="1" applyBorder="1" applyAlignment="1">
      <alignment vertical="top" wrapText="1"/>
    </xf>
    <xf numFmtId="4" fontId="13" fillId="15" borderId="19" xfId="0" applyNumberFormat="1" applyFont="1" applyFill="1" applyBorder="1"/>
    <xf numFmtId="0" fontId="14" fillId="15" borderId="19" xfId="0" applyFont="1" applyFill="1" applyBorder="1"/>
    <xf numFmtId="0" fontId="19" fillId="4" borderId="20" xfId="0" applyFont="1" applyFill="1" applyBorder="1" applyAlignment="1">
      <alignment horizontal="left" vertical="top" wrapText="1"/>
    </xf>
    <xf numFmtId="43" fontId="20" fillId="0" borderId="20" xfId="1" applyFont="1" applyFill="1" applyBorder="1" applyAlignment="1">
      <alignment vertical="top" wrapText="1"/>
    </xf>
    <xf numFmtId="2" fontId="21" fillId="0" borderId="0" xfId="6" applyNumberFormat="1" applyAlignment="1">
      <alignment wrapText="1"/>
    </xf>
    <xf numFmtId="2" fontId="21" fillId="0" borderId="0" xfId="6" applyNumberFormat="1" applyAlignment="1">
      <alignment wrapText="1"/>
    </xf>
    <xf numFmtId="0" fontId="21" fillId="0" borderId="0" xfId="6" applyAlignment="1">
      <alignment wrapText="1"/>
    </xf>
    <xf numFmtId="2" fontId="21" fillId="0" borderId="0" xfId="6" applyNumberFormat="1" applyAlignment="1">
      <alignment wrapText="1"/>
    </xf>
    <xf numFmtId="165" fontId="19" fillId="4" borderId="19" xfId="0" applyNumberFormat="1" applyFont="1" applyFill="1" applyBorder="1" applyAlignment="1">
      <alignment horizontal="left" vertical="top" wrapText="1"/>
    </xf>
    <xf numFmtId="2" fontId="21" fillId="0" borderId="0" xfId="6" applyNumberFormat="1" applyAlignment="1">
      <alignment wrapText="1"/>
    </xf>
    <xf numFmtId="0" fontId="21" fillId="0" borderId="0" xfId="6" applyAlignment="1">
      <alignment wrapText="1"/>
    </xf>
    <xf numFmtId="2" fontId="21" fillId="0" borderId="0" xfId="6" applyNumberFormat="1" applyAlignment="1">
      <alignment wrapText="1"/>
    </xf>
    <xf numFmtId="2" fontId="21" fillId="0" borderId="0" xfId="6" applyNumberFormat="1" applyAlignment="1">
      <alignment wrapText="1"/>
    </xf>
    <xf numFmtId="2" fontId="21" fillId="0" borderId="0" xfId="6" applyNumberFormat="1" applyAlignment="1">
      <alignment wrapText="1"/>
    </xf>
    <xf numFmtId="2" fontId="21" fillId="0" borderId="0" xfId="6" applyNumberFormat="1" applyAlignment="1">
      <alignment wrapText="1"/>
    </xf>
    <xf numFmtId="0" fontId="21" fillId="0" borderId="0" xfId="6" applyAlignment="1">
      <alignment wrapText="1"/>
    </xf>
    <xf numFmtId="2" fontId="21" fillId="0" borderId="0" xfId="6" applyNumberFormat="1" applyAlignment="1">
      <alignment wrapText="1"/>
    </xf>
    <xf numFmtId="14" fontId="9" fillId="4" borderId="3" xfId="0" applyNumberFormat="1" applyFont="1" applyFill="1" applyBorder="1" applyAlignment="1">
      <alignment vertical="top" wrapText="1"/>
    </xf>
    <xf numFmtId="0" fontId="9" fillId="4" borderId="3" xfId="0" applyFont="1" applyFill="1" applyBorder="1" applyAlignment="1">
      <alignment horizontal="left" vertical="top" wrapText="1"/>
    </xf>
    <xf numFmtId="0" fontId="9" fillId="4" borderId="3" xfId="0" applyFont="1" applyFill="1" applyBorder="1" applyAlignment="1">
      <alignment horizontal="right" vertical="top" wrapText="1"/>
    </xf>
    <xf numFmtId="0" fontId="9" fillId="0" borderId="19" xfId="0" applyFont="1" applyBorder="1"/>
    <xf numFmtId="43" fontId="13" fillId="0" borderId="0" xfId="0" applyNumberFormat="1" applyFont="1"/>
    <xf numFmtId="2" fontId="3" fillId="0" borderId="0" xfId="2" applyNumberFormat="1" applyAlignment="1">
      <alignment wrapText="1"/>
    </xf>
    <xf numFmtId="2" fontId="3" fillId="0" borderId="0" xfId="2" applyNumberFormat="1" applyAlignment="1">
      <alignment wrapText="1"/>
    </xf>
    <xf numFmtId="0" fontId="3" fillId="0" borderId="0" xfId="2" applyAlignment="1">
      <alignment wrapText="1"/>
    </xf>
    <xf numFmtId="2" fontId="3" fillId="0" borderId="0" xfId="2" applyNumberFormat="1" applyAlignment="1">
      <alignment wrapText="1"/>
    </xf>
    <xf numFmtId="0" fontId="14" fillId="4" borderId="3" xfId="0" applyFont="1" applyFill="1" applyBorder="1" applyAlignment="1">
      <alignment vertical="top" wrapText="1"/>
    </xf>
    <xf numFmtId="0" fontId="14" fillId="4" borderId="3" xfId="0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right" vertical="top" wrapText="1"/>
    </xf>
    <xf numFmtId="0" fontId="14" fillId="4" borderId="19" xfId="0" applyFont="1" applyFill="1" applyBorder="1" applyAlignment="1">
      <alignment vertical="top" wrapText="1"/>
    </xf>
    <xf numFmtId="0" fontId="13" fillId="0" borderId="19" xfId="0" applyFont="1" applyBorder="1"/>
    <xf numFmtId="2" fontId="13" fillId="0" borderId="0" xfId="0" applyNumberFormat="1" applyFont="1"/>
    <xf numFmtId="0" fontId="22" fillId="0" borderId="0" xfId="7" applyAlignment="1">
      <alignment wrapText="1"/>
    </xf>
    <xf numFmtId="2" fontId="22" fillId="0" borderId="0" xfId="7" applyNumberFormat="1" applyAlignment="1">
      <alignment wrapText="1"/>
    </xf>
    <xf numFmtId="2" fontId="22" fillId="0" borderId="0" xfId="7" applyNumberFormat="1" applyAlignment="1">
      <alignment wrapText="1"/>
    </xf>
    <xf numFmtId="2" fontId="22" fillId="0" borderId="0" xfId="7" applyNumberFormat="1" applyAlignment="1">
      <alignment wrapText="1"/>
    </xf>
    <xf numFmtId="2" fontId="22" fillId="0" borderId="0" xfId="7" applyNumberFormat="1" applyAlignment="1">
      <alignment wrapText="1"/>
    </xf>
    <xf numFmtId="2" fontId="22" fillId="0" borderId="0" xfId="7" applyNumberFormat="1" applyAlignment="1">
      <alignment wrapText="1"/>
    </xf>
    <xf numFmtId="0" fontId="22" fillId="0" borderId="0" xfId="7" applyAlignment="1">
      <alignment wrapText="1"/>
    </xf>
    <xf numFmtId="2" fontId="22" fillId="0" borderId="0" xfId="7" applyNumberFormat="1" applyAlignment="1">
      <alignment wrapText="1"/>
    </xf>
    <xf numFmtId="14" fontId="9" fillId="16" borderId="19" xfId="0" applyNumberFormat="1" applyFont="1" applyFill="1" applyBorder="1" applyAlignment="1">
      <alignment vertical="top" wrapText="1"/>
    </xf>
    <xf numFmtId="0" fontId="9" fillId="16" borderId="19" xfId="0" applyFont="1" applyFill="1" applyBorder="1"/>
    <xf numFmtId="0" fontId="0" fillId="16" borderId="19" xfId="0" applyFill="1" applyBorder="1"/>
    <xf numFmtId="14" fontId="9" fillId="11" borderId="19" xfId="0" applyNumberFormat="1" applyFont="1" applyFill="1" applyBorder="1" applyAlignment="1">
      <alignment vertical="top" wrapText="1"/>
    </xf>
    <xf numFmtId="0" fontId="9" fillId="11" borderId="19" xfId="0" applyFont="1" applyFill="1" applyBorder="1"/>
    <xf numFmtId="0" fontId="0" fillId="11" borderId="19" xfId="0" applyFill="1" applyBorder="1"/>
    <xf numFmtId="0" fontId="3" fillId="0" borderId="0" xfId="2" applyAlignment="1">
      <alignment wrapText="1"/>
    </xf>
    <xf numFmtId="2" fontId="3" fillId="0" borderId="0" xfId="2" applyNumberFormat="1" applyAlignment="1">
      <alignment wrapText="1"/>
    </xf>
    <xf numFmtId="0" fontId="3" fillId="0" borderId="0" xfId="6" applyFont="1" applyAlignment="1">
      <alignment wrapText="1"/>
    </xf>
    <xf numFmtId="4" fontId="0" fillId="0" borderId="19" xfId="0" applyNumberFormat="1" applyBorder="1" applyAlignment="1">
      <alignment vertical="top"/>
    </xf>
    <xf numFmtId="0" fontId="0" fillId="0" borderId="19" xfId="0" applyBorder="1" applyAlignment="1">
      <alignment vertical="top"/>
    </xf>
    <xf numFmtId="2" fontId="22" fillId="0" borderId="0" xfId="7" applyNumberFormat="1" applyAlignment="1">
      <alignment wrapText="1"/>
    </xf>
    <xf numFmtId="0" fontId="22" fillId="0" borderId="0" xfId="7" applyAlignment="1">
      <alignment wrapText="1"/>
    </xf>
    <xf numFmtId="2" fontId="22" fillId="0" borderId="0" xfId="7" applyNumberFormat="1" applyAlignment="1">
      <alignment wrapText="1"/>
    </xf>
    <xf numFmtId="2" fontId="22" fillId="0" borderId="0" xfId="7" applyNumberFormat="1" applyAlignment="1">
      <alignment wrapText="1"/>
    </xf>
    <xf numFmtId="2" fontId="22" fillId="0" borderId="0" xfId="7" applyNumberFormat="1" applyAlignment="1">
      <alignment wrapText="1"/>
    </xf>
    <xf numFmtId="2" fontId="22" fillId="0" borderId="0" xfId="7" applyNumberFormat="1" applyAlignment="1">
      <alignment wrapText="1"/>
    </xf>
    <xf numFmtId="0" fontId="22" fillId="0" borderId="0" xfId="7" applyAlignment="1">
      <alignment wrapText="1"/>
    </xf>
    <xf numFmtId="2" fontId="22" fillId="0" borderId="0" xfId="7" applyNumberFormat="1" applyAlignment="1">
      <alignment wrapText="1"/>
    </xf>
    <xf numFmtId="2" fontId="22" fillId="0" borderId="0" xfId="7" applyNumberFormat="1" applyAlignment="1">
      <alignment wrapText="1"/>
    </xf>
    <xf numFmtId="2" fontId="22" fillId="0" borderId="0" xfId="7" applyNumberFormat="1" applyAlignment="1">
      <alignment wrapText="1"/>
    </xf>
    <xf numFmtId="2" fontId="22" fillId="0" borderId="0" xfId="7" applyNumberFormat="1" applyAlignment="1">
      <alignment wrapText="1"/>
    </xf>
    <xf numFmtId="0" fontId="22" fillId="0" borderId="0" xfId="7" applyAlignment="1">
      <alignment wrapText="1"/>
    </xf>
    <xf numFmtId="0" fontId="22" fillId="0" borderId="0" xfId="7" applyAlignment="1">
      <alignment wrapText="1"/>
    </xf>
    <xf numFmtId="2" fontId="22" fillId="0" borderId="0" xfId="7" applyNumberFormat="1" applyAlignment="1">
      <alignment wrapText="1"/>
    </xf>
    <xf numFmtId="2" fontId="22" fillId="0" borderId="0" xfId="7" applyNumberFormat="1" applyAlignment="1">
      <alignment wrapText="1"/>
    </xf>
    <xf numFmtId="0" fontId="22" fillId="0" borderId="0" xfId="7" applyAlignment="1">
      <alignment wrapText="1"/>
    </xf>
    <xf numFmtId="2" fontId="22" fillId="0" borderId="0" xfId="7" applyNumberFormat="1" applyAlignment="1">
      <alignment wrapText="1"/>
    </xf>
    <xf numFmtId="4" fontId="13" fillId="0" borderId="0" xfId="0" applyNumberFormat="1" applyFont="1"/>
    <xf numFmtId="0" fontId="22" fillId="0" borderId="0" xfId="7" applyAlignment="1">
      <alignment wrapText="1"/>
    </xf>
    <xf numFmtId="2" fontId="22" fillId="0" borderId="0" xfId="7" applyNumberFormat="1" applyAlignment="1">
      <alignment wrapText="1"/>
    </xf>
    <xf numFmtId="0" fontId="22" fillId="0" borderId="0" xfId="7" applyAlignment="1">
      <alignment wrapText="1"/>
    </xf>
    <xf numFmtId="2" fontId="22" fillId="0" borderId="0" xfId="7" applyNumberFormat="1" applyAlignment="1">
      <alignment wrapText="1"/>
    </xf>
    <xf numFmtId="2" fontId="22" fillId="0" borderId="0" xfId="7" applyNumberFormat="1" applyAlignment="1">
      <alignment wrapText="1"/>
    </xf>
    <xf numFmtId="166" fontId="14" fillId="4" borderId="1" xfId="0" applyNumberFormat="1" applyFont="1" applyFill="1" applyBorder="1" applyAlignment="1">
      <alignment horizontal="center" vertical="top" wrapText="1"/>
    </xf>
    <xf numFmtId="0" fontId="22" fillId="0" borderId="0" xfId="7" applyAlignment="1">
      <alignment wrapText="1"/>
    </xf>
    <xf numFmtId="2" fontId="22" fillId="0" borderId="0" xfId="7" applyNumberFormat="1" applyAlignment="1">
      <alignment wrapText="1"/>
    </xf>
    <xf numFmtId="0" fontId="3" fillId="0" borderId="0" xfId="7" applyFont="1" applyAlignment="1">
      <alignment wrapText="1"/>
    </xf>
    <xf numFmtId="0" fontId="3" fillId="0" borderId="0" xfId="2" applyAlignment="1">
      <alignment wrapText="1"/>
    </xf>
    <xf numFmtId="2" fontId="3" fillId="0" borderId="0" xfId="2" applyNumberFormat="1" applyAlignment="1">
      <alignment wrapText="1"/>
    </xf>
    <xf numFmtId="2" fontId="22" fillId="0" borderId="0" xfId="7" applyNumberFormat="1" applyAlignment="1">
      <alignment wrapText="1"/>
    </xf>
    <xf numFmtId="0" fontId="22" fillId="0" borderId="0" xfId="7" applyAlignment="1">
      <alignment wrapText="1"/>
    </xf>
    <xf numFmtId="2" fontId="22" fillId="0" borderId="0" xfId="7" applyNumberFormat="1" applyAlignment="1">
      <alignment wrapText="1"/>
    </xf>
    <xf numFmtId="0" fontId="22" fillId="0" borderId="0" xfId="7" applyAlignment="1">
      <alignment wrapText="1"/>
    </xf>
    <xf numFmtId="2" fontId="22" fillId="0" borderId="0" xfId="7" applyNumberFormat="1" applyAlignment="1">
      <alignment wrapText="1"/>
    </xf>
    <xf numFmtId="0" fontId="19" fillId="4" borderId="19" xfId="0" applyFont="1" applyFill="1" applyBorder="1" applyAlignment="1">
      <alignment horizontal="left" vertical="top"/>
    </xf>
    <xf numFmtId="43" fontId="3" fillId="0" borderId="0" xfId="1" applyFont="1" applyAlignment="1">
      <alignment wrapText="1"/>
    </xf>
    <xf numFmtId="0" fontId="3" fillId="0" borderId="0" xfId="2" applyAlignment="1">
      <alignment wrapText="1"/>
    </xf>
    <xf numFmtId="2" fontId="3" fillId="0" borderId="0" xfId="2" applyNumberFormat="1" applyAlignment="1">
      <alignment wrapText="1"/>
    </xf>
    <xf numFmtId="0" fontId="3" fillId="0" borderId="0" xfId="2" applyAlignment="1">
      <alignment wrapText="1"/>
    </xf>
    <xf numFmtId="2" fontId="3" fillId="0" borderId="0" xfId="2" applyNumberFormat="1" applyAlignment="1">
      <alignment wrapText="1"/>
    </xf>
    <xf numFmtId="2" fontId="3" fillId="0" borderId="0" xfId="2" applyNumberFormat="1" applyAlignment="1">
      <alignment wrapText="1"/>
    </xf>
    <xf numFmtId="43" fontId="15" fillId="7" borderId="0" xfId="1" applyFont="1" applyFill="1" applyBorder="1" applyAlignment="1">
      <alignment horizontal="center" vertical="top" wrapText="1"/>
    </xf>
    <xf numFmtId="4" fontId="15" fillId="6" borderId="0" xfId="0" applyNumberFormat="1" applyFont="1" applyFill="1" applyBorder="1" applyAlignment="1">
      <alignment horizontal="center" vertical="top" wrapText="1"/>
    </xf>
    <xf numFmtId="0" fontId="15" fillId="6" borderId="0" xfId="0" applyFont="1" applyFill="1" applyBorder="1" applyAlignment="1">
      <alignment horizontal="center" vertical="top" wrapText="1"/>
    </xf>
    <xf numFmtId="0" fontId="24" fillId="5" borderId="2" xfId="0" applyFont="1" applyFill="1" applyBorder="1" applyAlignment="1">
      <alignment horizontal="center" vertical="top" wrapText="1"/>
    </xf>
    <xf numFmtId="14" fontId="23" fillId="10" borderId="1" xfId="0" applyNumberFormat="1" applyFont="1" applyFill="1" applyBorder="1" applyAlignment="1">
      <alignment horizontal="center" vertical="top" wrapText="1"/>
    </xf>
    <xf numFmtId="0" fontId="24" fillId="5" borderId="0" xfId="0" applyFont="1" applyFill="1" applyBorder="1" applyAlignment="1">
      <alignment horizontal="center" vertical="top" wrapText="1"/>
    </xf>
    <xf numFmtId="4" fontId="23" fillId="10" borderId="1" xfId="0" applyNumberFormat="1" applyFont="1" applyFill="1" applyBorder="1" applyAlignment="1">
      <alignment horizontal="center" vertical="top" wrapText="1"/>
    </xf>
    <xf numFmtId="0" fontId="26" fillId="5" borderId="2" xfId="0" applyFont="1" applyFill="1" applyBorder="1" applyAlignment="1">
      <alignment horizontal="center" vertical="top" wrapText="1"/>
    </xf>
    <xf numFmtId="0" fontId="24" fillId="5" borderId="6" xfId="0" applyFont="1" applyFill="1" applyBorder="1" applyAlignment="1">
      <alignment horizontal="center" vertical="top" wrapText="1"/>
    </xf>
    <xf numFmtId="43" fontId="15" fillId="7" borderId="19" xfId="1" applyFont="1" applyFill="1" applyBorder="1" applyAlignment="1">
      <alignment horizontal="center" vertical="top" wrapText="1"/>
    </xf>
    <xf numFmtId="4" fontId="15" fillId="6" borderId="19" xfId="0" applyNumberFormat="1" applyFont="1" applyFill="1" applyBorder="1" applyAlignment="1">
      <alignment horizontal="center" vertical="top" wrapText="1"/>
    </xf>
    <xf numFmtId="0" fontId="15" fillId="6" borderId="19" xfId="0" applyFont="1" applyFill="1" applyBorder="1" applyAlignment="1">
      <alignment horizontal="center" vertical="top" wrapText="1"/>
    </xf>
    <xf numFmtId="4" fontId="23" fillId="10" borderId="19" xfId="0" applyNumberFormat="1" applyFont="1" applyFill="1" applyBorder="1" applyAlignment="1">
      <alignment horizontal="center" vertical="top" wrapText="1"/>
    </xf>
    <xf numFmtId="0" fontId="26" fillId="5" borderId="25" xfId="0" applyFont="1" applyFill="1" applyBorder="1" applyAlignment="1">
      <alignment horizontal="center" vertical="top" wrapText="1"/>
    </xf>
    <xf numFmtId="0" fontId="24" fillId="5" borderId="28" xfId="0" applyFont="1" applyFill="1" applyBorder="1" applyAlignment="1">
      <alignment horizontal="center" vertical="top" wrapText="1"/>
    </xf>
    <xf numFmtId="43" fontId="15" fillId="7" borderId="29" xfId="1" applyFont="1" applyFill="1" applyBorder="1" applyAlignment="1">
      <alignment horizontal="center" vertical="top" wrapText="1"/>
    </xf>
    <xf numFmtId="4" fontId="15" fillId="6" borderId="29" xfId="0" applyNumberFormat="1" applyFont="1" applyFill="1" applyBorder="1" applyAlignment="1">
      <alignment horizontal="center" vertical="top" wrapText="1"/>
    </xf>
    <xf numFmtId="0" fontId="15" fillId="6" borderId="29" xfId="0" applyFont="1" applyFill="1" applyBorder="1" applyAlignment="1">
      <alignment horizontal="center" vertical="top" wrapText="1"/>
    </xf>
    <xf numFmtId="14" fontId="23" fillId="10" borderId="29" xfId="0" applyNumberFormat="1" applyFont="1" applyFill="1" applyBorder="1" applyAlignment="1">
      <alignment horizontal="center" vertical="top" wrapText="1"/>
    </xf>
    <xf numFmtId="0" fontId="20" fillId="0" borderId="19" xfId="2" applyFont="1" applyBorder="1" applyAlignment="1">
      <alignment wrapText="1"/>
    </xf>
    <xf numFmtId="2" fontId="20" fillId="0" borderId="19" xfId="2" applyNumberFormat="1" applyFont="1" applyBorder="1" applyAlignment="1">
      <alignment wrapText="1"/>
    </xf>
    <xf numFmtId="2" fontId="20" fillId="0" borderId="19" xfId="7" applyNumberFormat="1" applyFont="1" applyBorder="1" applyAlignment="1">
      <alignment wrapText="1"/>
    </xf>
    <xf numFmtId="0" fontId="20" fillId="0" borderId="19" xfId="6" applyFont="1" applyBorder="1" applyAlignment="1">
      <alignment wrapText="1"/>
    </xf>
    <xf numFmtId="0" fontId="20" fillId="0" borderId="0" xfId="7" applyFont="1" applyAlignment="1">
      <alignment wrapText="1"/>
    </xf>
    <xf numFmtId="2" fontId="20" fillId="0" borderId="0" xfId="7" applyNumberFormat="1" applyFont="1" applyAlignment="1">
      <alignment wrapText="1"/>
    </xf>
    <xf numFmtId="0" fontId="27" fillId="0" borderId="19" xfId="0" applyFont="1" applyBorder="1"/>
    <xf numFmtId="0" fontId="27" fillId="0" borderId="0" xfId="0" applyFont="1"/>
    <xf numFmtId="43" fontId="22" fillId="0" borderId="0" xfId="1" applyFont="1" applyAlignment="1">
      <alignment vertical="top" wrapText="1"/>
    </xf>
    <xf numFmtId="2" fontId="3" fillId="0" borderId="0" xfId="2" applyNumberFormat="1" applyAlignment="1">
      <alignment wrapText="1"/>
    </xf>
    <xf numFmtId="2" fontId="3" fillId="0" borderId="0" xfId="2" applyNumberFormat="1" applyAlignment="1">
      <alignment wrapText="1"/>
    </xf>
    <xf numFmtId="0" fontId="29" fillId="10" borderId="1" xfId="0" applyFont="1" applyFill="1" applyBorder="1" applyAlignment="1">
      <alignment horizontal="center" vertical="top" wrapText="1"/>
    </xf>
    <xf numFmtId="14" fontId="29" fillId="10" borderId="1" xfId="0" applyNumberFormat="1" applyFont="1" applyFill="1" applyBorder="1" applyAlignment="1">
      <alignment horizontal="center" vertical="top" wrapText="1"/>
    </xf>
    <xf numFmtId="4" fontId="29" fillId="10" borderId="1" xfId="0" applyNumberFormat="1" applyFont="1" applyFill="1" applyBorder="1" applyAlignment="1">
      <alignment horizontal="center" vertical="top" wrapText="1"/>
    </xf>
    <xf numFmtId="2" fontId="29" fillId="10" borderId="1" xfId="0" applyNumberFormat="1" applyFont="1" applyFill="1" applyBorder="1" applyAlignment="1">
      <alignment horizontal="center" vertical="top" wrapText="1"/>
    </xf>
    <xf numFmtId="0" fontId="14" fillId="12" borderId="19" xfId="0" applyFont="1" applyFill="1" applyBorder="1" applyAlignment="1">
      <alignment vertical="top" wrapText="1"/>
    </xf>
    <xf numFmtId="0" fontId="14" fillId="12" borderId="19" xfId="0" applyFont="1" applyFill="1" applyBorder="1" applyAlignment="1">
      <alignment horizontal="left" vertical="top" wrapText="1"/>
    </xf>
    <xf numFmtId="0" fontId="13" fillId="12" borderId="19" xfId="0" applyFont="1" applyFill="1" applyBorder="1"/>
    <xf numFmtId="0" fontId="9" fillId="12" borderId="19" xfId="0" applyFont="1" applyFill="1" applyBorder="1"/>
    <xf numFmtId="0" fontId="3" fillId="0" borderId="0" xfId="2" applyAlignment="1">
      <alignment wrapText="1"/>
    </xf>
    <xf numFmtId="2" fontId="3" fillId="0" borderId="0" xfId="2" applyNumberFormat="1" applyAlignment="1">
      <alignment wrapText="1"/>
    </xf>
    <xf numFmtId="4" fontId="9" fillId="0" borderId="0" xfId="0" applyNumberFormat="1" applyFont="1"/>
    <xf numFmtId="14" fontId="9" fillId="17" borderId="19" xfId="0" applyNumberFormat="1" applyFont="1" applyFill="1" applyBorder="1" applyAlignment="1">
      <alignment vertical="top" wrapText="1"/>
    </xf>
    <xf numFmtId="0" fontId="9" fillId="17" borderId="19" xfId="0" applyFont="1" applyFill="1" applyBorder="1"/>
    <xf numFmtId="0" fontId="0" fillId="17" borderId="19" xfId="0" applyFill="1" applyBorder="1"/>
    <xf numFmtId="0" fontId="14" fillId="17" borderId="1" xfId="0" applyFont="1" applyFill="1" applyBorder="1" applyAlignment="1">
      <alignment horizontal="left" vertical="top" wrapText="1"/>
    </xf>
    <xf numFmtId="0" fontId="14" fillId="17" borderId="1" xfId="0" applyFont="1" applyFill="1" applyBorder="1" applyAlignment="1">
      <alignment horizontal="right" vertical="top" wrapText="1"/>
    </xf>
    <xf numFmtId="0" fontId="14" fillId="17" borderId="15" xfId="0" applyFont="1" applyFill="1" applyBorder="1" applyAlignment="1">
      <alignment horizontal="right" vertical="top" wrapText="1"/>
    </xf>
    <xf numFmtId="2" fontId="3" fillId="0" borderId="0" xfId="2" applyNumberFormat="1" applyAlignment="1">
      <alignment wrapText="1"/>
    </xf>
    <xf numFmtId="2" fontId="3" fillId="0" borderId="0" xfId="2" applyNumberFormat="1" applyAlignment="1">
      <alignment wrapText="1"/>
    </xf>
    <xf numFmtId="2" fontId="3" fillId="0" borderId="0" xfId="2" applyNumberFormat="1" applyAlignment="1">
      <alignment wrapText="1"/>
    </xf>
    <xf numFmtId="2" fontId="3" fillId="0" borderId="0" xfId="2" applyNumberFormat="1" applyAlignment="1">
      <alignment wrapText="1"/>
    </xf>
    <xf numFmtId="0" fontId="3" fillId="0" borderId="0" xfId="2" applyAlignment="1">
      <alignment wrapText="1"/>
    </xf>
    <xf numFmtId="2" fontId="3" fillId="0" borderId="0" xfId="2" applyNumberFormat="1" applyAlignment="1">
      <alignment wrapText="1"/>
    </xf>
    <xf numFmtId="43" fontId="20" fillId="0" borderId="19" xfId="1" applyFont="1" applyBorder="1" applyAlignment="1">
      <alignment horizontal="right" vertical="top" wrapText="1"/>
    </xf>
    <xf numFmtId="2" fontId="20" fillId="0" borderId="19" xfId="2" applyNumberFormat="1" applyFont="1" applyBorder="1" applyAlignment="1">
      <alignment horizontal="right" vertical="top" wrapText="1"/>
    </xf>
    <xf numFmtId="2" fontId="20" fillId="0" borderId="19" xfId="7" applyNumberFormat="1" applyFont="1" applyBorder="1" applyAlignment="1">
      <alignment horizontal="right" vertical="top" wrapText="1"/>
    </xf>
    <xf numFmtId="43" fontId="20" fillId="0" borderId="19" xfId="1" applyFont="1" applyFill="1" applyBorder="1" applyAlignment="1">
      <alignment horizontal="right" vertical="top" wrapText="1"/>
    </xf>
    <xf numFmtId="0" fontId="27" fillId="0" borderId="19" xfId="0" applyFont="1" applyBorder="1" applyAlignment="1">
      <alignment horizontal="right" vertical="top"/>
    </xf>
    <xf numFmtId="43" fontId="20" fillId="0" borderId="20" xfId="1" applyFont="1" applyFill="1" applyBorder="1" applyAlignment="1">
      <alignment horizontal="right" vertical="top" wrapText="1"/>
    </xf>
    <xf numFmtId="0" fontId="27" fillId="0" borderId="0" xfId="0" applyFont="1" applyAlignment="1">
      <alignment horizontal="right" vertical="top"/>
    </xf>
    <xf numFmtId="0" fontId="31" fillId="0" borderId="0" xfId="9" applyAlignment="1">
      <alignment wrapText="1"/>
    </xf>
    <xf numFmtId="2" fontId="31" fillId="0" borderId="0" xfId="9" applyNumberFormat="1" applyAlignment="1">
      <alignment wrapText="1"/>
    </xf>
    <xf numFmtId="2" fontId="31" fillId="0" borderId="0" xfId="9" applyNumberFormat="1" applyAlignment="1">
      <alignment wrapText="1"/>
    </xf>
    <xf numFmtId="2" fontId="31" fillId="0" borderId="0" xfId="9" applyNumberFormat="1" applyAlignment="1">
      <alignment wrapText="1"/>
    </xf>
    <xf numFmtId="2" fontId="31" fillId="0" borderId="0" xfId="9" applyNumberFormat="1" applyAlignment="1">
      <alignment wrapText="1"/>
    </xf>
    <xf numFmtId="2" fontId="31" fillId="0" borderId="0" xfId="9" applyNumberFormat="1" applyAlignment="1">
      <alignment wrapText="1"/>
    </xf>
    <xf numFmtId="0" fontId="31" fillId="0" borderId="0" xfId="9" applyAlignment="1">
      <alignment wrapText="1"/>
    </xf>
    <xf numFmtId="2" fontId="31" fillId="0" borderId="0" xfId="9" applyNumberFormat="1" applyAlignment="1">
      <alignment wrapText="1"/>
    </xf>
    <xf numFmtId="0" fontId="31" fillId="0" borderId="0" xfId="9" applyAlignment="1">
      <alignment wrapText="1"/>
    </xf>
    <xf numFmtId="0" fontId="31" fillId="0" borderId="0" xfId="9" applyAlignment="1">
      <alignment wrapText="1"/>
    </xf>
    <xf numFmtId="2" fontId="31" fillId="0" borderId="0" xfId="9" applyNumberFormat="1" applyAlignment="1">
      <alignment wrapText="1"/>
    </xf>
    <xf numFmtId="2" fontId="31" fillId="0" borderId="0" xfId="9" applyNumberFormat="1" applyAlignment="1">
      <alignment wrapText="1"/>
    </xf>
    <xf numFmtId="2" fontId="31" fillId="0" borderId="0" xfId="9" applyNumberFormat="1" applyAlignment="1">
      <alignment wrapText="1"/>
    </xf>
    <xf numFmtId="2" fontId="32" fillId="0" borderId="0" xfId="10" applyNumberFormat="1" applyAlignment="1">
      <alignment wrapText="1"/>
    </xf>
    <xf numFmtId="0" fontId="32" fillId="0" borderId="0" xfId="10" applyAlignment="1">
      <alignment wrapText="1"/>
    </xf>
    <xf numFmtId="2" fontId="32" fillId="0" borderId="0" xfId="10" applyNumberFormat="1" applyAlignment="1">
      <alignment wrapText="1"/>
    </xf>
    <xf numFmtId="0" fontId="3" fillId="0" borderId="0" xfId="9" applyFont="1" applyAlignment="1">
      <alignment wrapText="1"/>
    </xf>
    <xf numFmtId="0" fontId="3" fillId="0" borderId="19" xfId="9" applyFont="1" applyBorder="1" applyAlignment="1">
      <alignment wrapText="1"/>
    </xf>
    <xf numFmtId="2" fontId="0" fillId="0" borderId="19" xfId="0" applyNumberFormat="1" applyBorder="1" applyAlignment="1">
      <alignment wrapText="1"/>
    </xf>
    <xf numFmtId="165" fontId="5" fillId="12" borderId="19" xfId="0" applyNumberFormat="1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4" fontId="25" fillId="10" borderId="19" xfId="0" applyNumberFormat="1" applyFont="1" applyFill="1" applyBorder="1" applyAlignment="1">
      <alignment horizontal="center" vertical="top" wrapText="1"/>
    </xf>
    <xf numFmtId="4" fontId="4" fillId="5" borderId="30" xfId="0" applyNumberFormat="1" applyFont="1" applyFill="1" applyBorder="1" applyAlignment="1">
      <alignment horizontal="center" vertical="top" wrapText="1"/>
    </xf>
    <xf numFmtId="4" fontId="4" fillId="5" borderId="16" xfId="0" applyNumberFormat="1" applyFont="1" applyFill="1" applyBorder="1" applyAlignment="1">
      <alignment horizontal="center" vertical="top" wrapText="1"/>
    </xf>
    <xf numFmtId="4" fontId="4" fillId="5" borderId="17" xfId="0" applyNumberFormat="1" applyFont="1" applyFill="1" applyBorder="1" applyAlignment="1">
      <alignment horizontal="center" vertical="top" wrapText="1"/>
    </xf>
    <xf numFmtId="0" fontId="14" fillId="13" borderId="3" xfId="0" applyFont="1" applyFill="1" applyBorder="1" applyAlignment="1">
      <alignment horizontal="left" vertical="top" wrapText="1"/>
    </xf>
    <xf numFmtId="0" fontId="14" fillId="13" borderId="5" xfId="0" applyFont="1" applyFill="1" applyBorder="1" applyAlignment="1">
      <alignment horizontal="left" vertical="top" wrapText="1"/>
    </xf>
    <xf numFmtId="0" fontId="14" fillId="7" borderId="3" xfId="0" applyFont="1" applyFill="1" applyBorder="1" applyAlignment="1">
      <alignment horizontal="left" vertical="top" wrapText="1"/>
    </xf>
    <xf numFmtId="0" fontId="14" fillId="7" borderId="4" xfId="0" applyFont="1" applyFill="1" applyBorder="1" applyAlignment="1">
      <alignment horizontal="left" vertical="top" wrapText="1"/>
    </xf>
    <xf numFmtId="0" fontId="14" fillId="7" borderId="5" xfId="0" applyFont="1" applyFill="1" applyBorder="1" applyAlignment="1">
      <alignment horizontal="left" vertical="top" wrapText="1"/>
    </xf>
    <xf numFmtId="0" fontId="15" fillId="7" borderId="3" xfId="0" applyFont="1" applyFill="1" applyBorder="1" applyAlignment="1">
      <alignment horizontal="center" vertical="top" wrapText="1"/>
    </xf>
    <xf numFmtId="0" fontId="15" fillId="7" borderId="4" xfId="0" applyFont="1" applyFill="1" applyBorder="1" applyAlignment="1">
      <alignment horizontal="center" vertical="top" wrapText="1"/>
    </xf>
    <xf numFmtId="0" fontId="15" fillId="7" borderId="5" xfId="0" applyFont="1" applyFill="1" applyBorder="1" applyAlignment="1">
      <alignment horizontal="center" vertical="top" wrapText="1"/>
    </xf>
    <xf numFmtId="43" fontId="15" fillId="7" borderId="26" xfId="1" applyFont="1" applyFill="1" applyBorder="1" applyAlignment="1">
      <alignment horizontal="center" vertical="top" wrapText="1"/>
    </xf>
    <xf numFmtId="43" fontId="15" fillId="7" borderId="24" xfId="1" applyFont="1" applyFill="1" applyBorder="1" applyAlignment="1">
      <alignment horizontal="center" vertical="top" wrapText="1"/>
    </xf>
    <xf numFmtId="43" fontId="15" fillId="7" borderId="27" xfId="1" applyFont="1" applyFill="1" applyBorder="1" applyAlignment="1">
      <alignment horizontal="center" vertical="top" wrapText="1"/>
    </xf>
    <xf numFmtId="0" fontId="14" fillId="6" borderId="3" xfId="0" applyFont="1" applyFill="1" applyBorder="1" applyAlignment="1">
      <alignment horizontal="left" vertical="top" wrapText="1"/>
    </xf>
    <xf numFmtId="0" fontId="14" fillId="6" borderId="4" xfId="0" applyFont="1" applyFill="1" applyBorder="1" applyAlignment="1">
      <alignment horizontal="left" vertical="top" wrapText="1"/>
    </xf>
    <xf numFmtId="0" fontId="14" fillId="6" borderId="5" xfId="0" applyFont="1" applyFill="1" applyBorder="1" applyAlignment="1">
      <alignment horizontal="left" vertical="top" wrapText="1"/>
    </xf>
    <xf numFmtId="0" fontId="15" fillId="6" borderId="3" xfId="0" applyFont="1" applyFill="1" applyBorder="1" applyAlignment="1">
      <alignment horizontal="center" vertical="top" wrapText="1"/>
    </xf>
    <xf numFmtId="0" fontId="15" fillId="6" borderId="4" xfId="0" applyFont="1" applyFill="1" applyBorder="1" applyAlignment="1">
      <alignment horizontal="center" vertical="top" wrapText="1"/>
    </xf>
    <xf numFmtId="0" fontId="15" fillId="6" borderId="5" xfId="0" applyFont="1" applyFill="1" applyBorder="1" applyAlignment="1">
      <alignment horizontal="center" vertical="top" wrapText="1"/>
    </xf>
    <xf numFmtId="4" fontId="15" fillId="6" borderId="26" xfId="0" applyNumberFormat="1" applyFont="1" applyFill="1" applyBorder="1" applyAlignment="1">
      <alignment horizontal="center" vertical="top" wrapText="1"/>
    </xf>
    <xf numFmtId="0" fontId="15" fillId="6" borderId="24" xfId="0" applyFont="1" applyFill="1" applyBorder="1" applyAlignment="1">
      <alignment horizontal="center" vertical="top" wrapText="1"/>
    </xf>
    <xf numFmtId="0" fontId="15" fillId="6" borderId="27" xfId="0" applyFont="1" applyFill="1" applyBorder="1" applyAlignment="1">
      <alignment horizontal="center" vertical="top" wrapText="1"/>
    </xf>
    <xf numFmtId="4" fontId="9" fillId="10" borderId="26" xfId="0" applyNumberFormat="1" applyFont="1" applyFill="1" applyBorder="1" applyAlignment="1">
      <alignment horizontal="center" vertical="top" wrapText="1"/>
    </xf>
    <xf numFmtId="4" fontId="9" fillId="10" borderId="27" xfId="0" applyNumberFormat="1" applyFont="1" applyFill="1" applyBorder="1" applyAlignment="1">
      <alignment horizontal="center" vertical="top" wrapText="1"/>
    </xf>
    <xf numFmtId="165" fontId="14" fillId="9" borderId="3" xfId="0" applyNumberFormat="1" applyFont="1" applyFill="1" applyBorder="1" applyAlignment="1">
      <alignment horizontal="center" vertical="center" wrapText="1"/>
    </xf>
    <xf numFmtId="165" fontId="14" fillId="9" borderId="4" xfId="0" applyNumberFormat="1" applyFont="1" applyFill="1" applyBorder="1" applyAlignment="1">
      <alignment horizontal="center" vertical="center" wrapText="1"/>
    </xf>
    <xf numFmtId="165" fontId="14" fillId="9" borderId="5" xfId="0" applyNumberFormat="1" applyFont="1" applyFill="1" applyBorder="1" applyAlignment="1">
      <alignment horizontal="center" vertical="center" wrapText="1"/>
    </xf>
    <xf numFmtId="43" fontId="14" fillId="6" borderId="22" xfId="1" applyFont="1" applyFill="1" applyBorder="1" applyAlignment="1">
      <alignment horizontal="center" vertical="center" wrapText="1"/>
    </xf>
    <xf numFmtId="43" fontId="14" fillId="6" borderId="21" xfId="1" applyFont="1" applyFill="1" applyBorder="1" applyAlignment="1">
      <alignment horizontal="center" vertical="center" wrapText="1"/>
    </xf>
    <xf numFmtId="43" fontId="14" fillId="6" borderId="23" xfId="1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center"/>
    </xf>
    <xf numFmtId="165" fontId="14" fillId="4" borderId="3" xfId="0" applyNumberFormat="1" applyFont="1" applyFill="1" applyBorder="1" applyAlignment="1">
      <alignment horizontal="center" vertical="center" wrapText="1"/>
    </xf>
    <xf numFmtId="165" fontId="14" fillId="4" borderId="4" xfId="0" applyNumberFormat="1" applyFont="1" applyFill="1" applyBorder="1" applyAlignment="1">
      <alignment horizontal="center" vertical="center" wrapText="1"/>
    </xf>
    <xf numFmtId="165" fontId="14" fillId="4" borderId="5" xfId="0" applyNumberFormat="1" applyFont="1" applyFill="1" applyBorder="1" applyAlignment="1">
      <alignment horizontal="center" vertical="center" wrapText="1"/>
    </xf>
    <xf numFmtId="43" fontId="13" fillId="0" borderId="22" xfId="1" applyFont="1" applyBorder="1" applyAlignment="1">
      <alignment horizontal="center" vertical="center"/>
    </xf>
    <xf numFmtId="43" fontId="13" fillId="0" borderId="21" xfId="1" applyFont="1" applyBorder="1" applyAlignment="1">
      <alignment horizontal="center" vertical="center"/>
    </xf>
    <xf numFmtId="43" fontId="13" fillId="0" borderId="23" xfId="1" applyFont="1" applyBorder="1" applyAlignment="1">
      <alignment horizontal="center" vertical="center"/>
    </xf>
    <xf numFmtId="2" fontId="14" fillId="11" borderId="18" xfId="0" applyNumberFormat="1" applyFont="1" applyFill="1" applyBorder="1" applyAlignment="1">
      <alignment horizontal="center" vertical="center" wrapText="1"/>
    </xf>
    <xf numFmtId="2" fontId="14" fillId="11" borderId="17" xfId="0" applyNumberFormat="1" applyFont="1" applyFill="1" applyBorder="1" applyAlignment="1">
      <alignment horizontal="center" vertical="center" wrapText="1"/>
    </xf>
    <xf numFmtId="43" fontId="14" fillId="6" borderId="18" xfId="1" applyFont="1" applyFill="1" applyBorder="1" applyAlignment="1">
      <alignment horizontal="center" vertical="center" wrapText="1"/>
    </xf>
    <xf numFmtId="43" fontId="14" fillId="6" borderId="16" xfId="1" applyFont="1" applyFill="1" applyBorder="1" applyAlignment="1">
      <alignment horizontal="center" vertical="center" wrapText="1"/>
    </xf>
    <xf numFmtId="43" fontId="14" fillId="6" borderId="17" xfId="1" applyFont="1" applyFill="1" applyBorder="1" applyAlignment="1">
      <alignment horizontal="center" vertical="center" wrapText="1"/>
    </xf>
    <xf numFmtId="0" fontId="28" fillId="13" borderId="3" xfId="0" applyFont="1" applyFill="1" applyBorder="1" applyAlignment="1">
      <alignment horizontal="left" vertical="top" wrapText="1"/>
    </xf>
    <xf numFmtId="0" fontId="28" fillId="13" borderId="5" xfId="0" applyFont="1" applyFill="1" applyBorder="1" applyAlignment="1">
      <alignment horizontal="left" vertical="top" wrapText="1"/>
    </xf>
    <xf numFmtId="43" fontId="15" fillId="7" borderId="3" xfId="1" applyFont="1" applyFill="1" applyBorder="1" applyAlignment="1">
      <alignment horizontal="center" vertical="top" wrapText="1"/>
    </xf>
    <xf numFmtId="43" fontId="15" fillId="7" borderId="4" xfId="1" applyFont="1" applyFill="1" applyBorder="1" applyAlignment="1">
      <alignment horizontal="center" vertical="top" wrapText="1"/>
    </xf>
    <xf numFmtId="43" fontId="15" fillId="7" borderId="5" xfId="1" applyFont="1" applyFill="1" applyBorder="1" applyAlignment="1">
      <alignment horizontal="center" vertical="top" wrapText="1"/>
    </xf>
    <xf numFmtId="4" fontId="15" fillId="6" borderId="3" xfId="0" applyNumberFormat="1" applyFont="1" applyFill="1" applyBorder="1" applyAlignment="1">
      <alignment horizontal="center" vertical="top" wrapText="1"/>
    </xf>
    <xf numFmtId="4" fontId="29" fillId="10" borderId="3" xfId="0" applyNumberFormat="1" applyFont="1" applyFill="1" applyBorder="1" applyAlignment="1">
      <alignment horizontal="center" vertical="top" wrapText="1"/>
    </xf>
    <xf numFmtId="4" fontId="29" fillId="10" borderId="5" xfId="0" applyNumberFormat="1" applyFont="1" applyFill="1" applyBorder="1" applyAlignment="1">
      <alignment horizontal="center" vertical="top" wrapText="1"/>
    </xf>
    <xf numFmtId="4" fontId="16" fillId="5" borderId="0" xfId="0" applyNumberFormat="1" applyFont="1" applyFill="1" applyBorder="1" applyAlignment="1">
      <alignment horizontal="center" vertical="top" wrapText="1"/>
    </xf>
    <xf numFmtId="4" fontId="25" fillId="10" borderId="24" xfId="0" applyNumberFormat="1" applyFont="1" applyFill="1" applyBorder="1" applyAlignment="1">
      <alignment horizontal="center" vertical="top" wrapText="1"/>
    </xf>
    <xf numFmtId="165" fontId="14" fillId="4" borderId="8" xfId="0" applyNumberFormat="1" applyFont="1" applyFill="1" applyBorder="1" applyAlignment="1">
      <alignment horizontal="center" vertical="top" wrapText="1"/>
    </xf>
    <xf numFmtId="165" fontId="14" fillId="4" borderId="5" xfId="0" applyNumberFormat="1" applyFont="1" applyFill="1" applyBorder="1" applyAlignment="1">
      <alignment horizontal="center" vertical="top" wrapText="1"/>
    </xf>
    <xf numFmtId="2" fontId="14" fillId="4" borderId="18" xfId="0" applyNumberFormat="1" applyFont="1" applyFill="1" applyBorder="1" applyAlignment="1">
      <alignment horizontal="center" vertical="top" wrapText="1"/>
    </xf>
    <xf numFmtId="2" fontId="14" fillId="4" borderId="17" xfId="0" applyNumberFormat="1" applyFont="1" applyFill="1" applyBorder="1" applyAlignment="1">
      <alignment horizontal="center" vertical="top" wrapText="1"/>
    </xf>
    <xf numFmtId="165" fontId="14" fillId="17" borderId="8" xfId="0" applyNumberFormat="1" applyFont="1" applyFill="1" applyBorder="1" applyAlignment="1">
      <alignment horizontal="center" vertical="top" wrapText="1"/>
    </xf>
    <xf numFmtId="165" fontId="14" fillId="17" borderId="5" xfId="0" applyNumberFormat="1" applyFont="1" applyFill="1" applyBorder="1" applyAlignment="1">
      <alignment horizontal="center" vertical="top" wrapText="1"/>
    </xf>
    <xf numFmtId="2" fontId="14" fillId="17" borderId="18" xfId="0" applyNumberFormat="1" applyFont="1" applyFill="1" applyBorder="1" applyAlignment="1">
      <alignment horizontal="center" vertical="top" wrapText="1"/>
    </xf>
    <xf numFmtId="2" fontId="14" fillId="17" borderId="17" xfId="0" applyNumberFormat="1" applyFont="1" applyFill="1" applyBorder="1" applyAlignment="1">
      <alignment horizontal="center" vertical="top" wrapText="1"/>
    </xf>
    <xf numFmtId="165" fontId="14" fillId="4" borderId="12" xfId="0" applyNumberFormat="1" applyFont="1" applyFill="1" applyBorder="1" applyAlignment="1">
      <alignment horizontal="center" vertical="top" wrapText="1"/>
    </xf>
    <xf numFmtId="165" fontId="14" fillId="17" borderId="12" xfId="0" applyNumberFormat="1" applyFont="1" applyFill="1" applyBorder="1" applyAlignment="1">
      <alignment horizontal="center" vertical="top" wrapText="1"/>
    </xf>
    <xf numFmtId="0" fontId="14" fillId="6" borderId="7" xfId="0" applyFont="1" applyFill="1" applyBorder="1" applyAlignment="1">
      <alignment horizontal="left" vertical="top" wrapText="1"/>
    </xf>
    <xf numFmtId="0" fontId="14" fillId="6" borderId="11" xfId="0" applyFont="1" applyFill="1" applyBorder="1" applyAlignment="1">
      <alignment horizontal="left" vertical="top" wrapText="1"/>
    </xf>
    <xf numFmtId="0" fontId="15" fillId="6" borderId="8" xfId="0" applyFont="1" applyFill="1" applyBorder="1" applyAlignment="1">
      <alignment horizontal="center" vertical="top" wrapText="1"/>
    </xf>
    <xf numFmtId="0" fontId="15" fillId="6" borderId="12" xfId="0" applyFont="1" applyFill="1" applyBorder="1" applyAlignment="1">
      <alignment horizontal="center" vertical="top" wrapText="1"/>
    </xf>
    <xf numFmtId="4" fontId="15" fillId="6" borderId="10" xfId="0" applyNumberFormat="1" applyFont="1" applyFill="1" applyBorder="1" applyAlignment="1">
      <alignment horizontal="center" vertical="top" wrapText="1"/>
    </xf>
    <xf numFmtId="0" fontId="15" fillId="6" borderId="14" xfId="0" applyFont="1" applyFill="1" applyBorder="1" applyAlignment="1">
      <alignment horizontal="center" vertical="top" wrapText="1"/>
    </xf>
  </cellXfs>
  <cellStyles count="11">
    <cellStyle name="Comma" xfId="1" builtinId="3"/>
    <cellStyle name="Normal" xfId="0" builtinId="0"/>
    <cellStyle name="Normal 10" xfId="10" xr:uid="{00000000-0005-0000-0000-000037000000}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  <cellStyle name="Normal 6" xfId="6" xr:uid="{00000000-0005-0000-0000-000006000000}"/>
    <cellStyle name="Normal 7" xfId="7" xr:uid="{00000000-0005-0000-0000-000007000000}"/>
    <cellStyle name="Normal 8" xfId="8" xr:uid="{00000000-0005-0000-0000-000035000000}"/>
    <cellStyle name="Normal 9" xfId="9" xr:uid="{00000000-0005-0000-0000-000036000000}"/>
  </cellStyles>
  <dxfs count="8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workbookViewId="0">
      <selection activeCell="M3" sqref="M3"/>
    </sheetView>
  </sheetViews>
  <sheetFormatPr defaultRowHeight="12.75" x14ac:dyDescent="0.2"/>
  <cols>
    <col min="1" max="1" width="19" bestFit="1" customWidth="1"/>
    <col min="2" max="2" width="11" bestFit="1" customWidth="1"/>
    <col min="3" max="3" width="12.140625" bestFit="1" customWidth="1"/>
    <col min="5" max="5" width="11" bestFit="1" customWidth="1"/>
    <col min="6" max="6" width="23.28515625" bestFit="1" customWidth="1"/>
    <col min="7" max="8" width="11.28515625" bestFit="1" customWidth="1"/>
    <col min="9" max="9" width="18.5703125" bestFit="1" customWidth="1"/>
    <col min="10" max="10" width="10.140625" bestFit="1" customWidth="1"/>
    <col min="12" max="12" width="11.85546875" bestFit="1" customWidth="1"/>
    <col min="13" max="13" width="17.140625" bestFit="1" customWidth="1"/>
    <col min="18" max="18" width="38.7109375" customWidth="1"/>
  </cols>
  <sheetData>
    <row r="1" spans="1:21" ht="26.25" thickBot="1" x14ac:dyDescent="0.3">
      <c r="C1" s="1">
        <f>SUM(C3:C15)</f>
        <v>10311.48</v>
      </c>
      <c r="G1" s="6">
        <f>G6</f>
        <v>31013.42</v>
      </c>
      <c r="I1" s="3" t="s">
        <v>77</v>
      </c>
      <c r="J1" s="4">
        <f>G1-C1</f>
        <v>20701.939999999999</v>
      </c>
      <c r="L1" t="s">
        <v>78</v>
      </c>
      <c r="M1" s="23">
        <v>147886.13</v>
      </c>
      <c r="N1">
        <v>0</v>
      </c>
      <c r="O1" s="2">
        <f>M1+N1</f>
        <v>147886.13</v>
      </c>
      <c r="Q1" s="28" t="s">
        <v>58</v>
      </c>
      <c r="R1" s="28" t="s">
        <v>26</v>
      </c>
      <c r="S1" s="28" t="s">
        <v>59</v>
      </c>
      <c r="T1" s="28" t="s">
        <v>60</v>
      </c>
      <c r="U1" s="28" t="s">
        <v>8</v>
      </c>
    </row>
    <row r="2" spans="1:21" ht="18.75" thickBot="1" x14ac:dyDescent="0.3">
      <c r="A2" s="21" t="s">
        <v>52</v>
      </c>
      <c r="B2" s="21" t="s">
        <v>53</v>
      </c>
      <c r="C2" s="22" t="s">
        <v>54</v>
      </c>
      <c r="E2" s="21" t="s">
        <v>56</v>
      </c>
      <c r="F2" s="21" t="s">
        <v>13</v>
      </c>
      <c r="G2" s="22" t="s">
        <v>55</v>
      </c>
      <c r="I2" s="3"/>
      <c r="J2" s="4"/>
      <c r="L2" t="s">
        <v>79</v>
      </c>
      <c r="M2" s="23">
        <f>G4</f>
        <v>106517.57</v>
      </c>
      <c r="O2" s="2"/>
      <c r="Q2" s="29">
        <v>43466</v>
      </c>
      <c r="R2" s="25" t="s">
        <v>61</v>
      </c>
      <c r="S2" s="26"/>
      <c r="T2" s="26"/>
      <c r="U2" s="26">
        <v>34</v>
      </c>
    </row>
    <row r="3" spans="1:21" ht="39" thickBot="1" x14ac:dyDescent="0.3">
      <c r="A3" t="s">
        <v>0</v>
      </c>
      <c r="B3" s="20">
        <v>43493</v>
      </c>
      <c r="C3" s="1">
        <v>0</v>
      </c>
      <c r="E3" s="20">
        <v>43488</v>
      </c>
      <c r="F3" t="s">
        <v>6</v>
      </c>
      <c r="G3" s="5">
        <f>9869.23+1080.41</f>
        <v>10949.64</v>
      </c>
      <c r="L3" t="s">
        <v>80</v>
      </c>
      <c r="M3" s="23">
        <f>G5</f>
        <v>10000</v>
      </c>
      <c r="Q3" s="24">
        <v>43497</v>
      </c>
      <c r="R3" s="25" t="s">
        <v>62</v>
      </c>
      <c r="S3" s="26"/>
      <c r="T3" s="27">
        <v>1250</v>
      </c>
      <c r="U3" s="27">
        <v>1284</v>
      </c>
    </row>
    <row r="4" spans="1:21" ht="13.5" thickBot="1" x14ac:dyDescent="0.25">
      <c r="A4" t="s">
        <v>1</v>
      </c>
      <c r="B4" s="20">
        <v>43493</v>
      </c>
      <c r="C4" s="1">
        <v>2710.69</v>
      </c>
      <c r="E4" s="20">
        <v>43489</v>
      </c>
      <c r="F4" t="s">
        <v>74</v>
      </c>
      <c r="G4" s="5">
        <v>106517.57</v>
      </c>
      <c r="Q4" s="24">
        <v>43739</v>
      </c>
      <c r="R4" s="25" t="s">
        <v>57</v>
      </c>
      <c r="S4" s="26"/>
      <c r="T4" s="26">
        <v>164.65</v>
      </c>
      <c r="U4" s="27">
        <v>1448.65</v>
      </c>
    </row>
    <row r="5" spans="1:21" ht="13.5" thickBot="1" x14ac:dyDescent="0.25">
      <c r="A5" t="s">
        <v>2</v>
      </c>
      <c r="B5" s="20">
        <v>43493</v>
      </c>
      <c r="C5" s="1">
        <v>1494.45</v>
      </c>
      <c r="E5" s="20">
        <v>43489</v>
      </c>
      <c r="F5" t="s">
        <v>75</v>
      </c>
      <c r="G5" s="5">
        <v>10000</v>
      </c>
      <c r="Q5" s="24">
        <v>43739</v>
      </c>
      <c r="R5" s="25" t="s">
        <v>57</v>
      </c>
      <c r="S5" s="26"/>
      <c r="T5" s="26">
        <v>174.11</v>
      </c>
      <c r="U5" s="27">
        <v>1622.76</v>
      </c>
    </row>
    <row r="6" spans="1:21" ht="13.5" thickBot="1" x14ac:dyDescent="0.25">
      <c r="A6" t="s">
        <v>4</v>
      </c>
      <c r="B6" s="20">
        <v>43489</v>
      </c>
      <c r="C6" s="1">
        <v>1377.69</v>
      </c>
      <c r="E6" s="20">
        <v>43489</v>
      </c>
      <c r="F6" t="s">
        <v>76</v>
      </c>
      <c r="G6" s="5">
        <f>147886.13-G4-G5-G7</f>
        <v>31013.42</v>
      </c>
      <c r="Q6" s="24">
        <v>43739</v>
      </c>
      <c r="R6" s="25" t="s">
        <v>57</v>
      </c>
      <c r="S6" s="26"/>
      <c r="T6" s="26">
        <v>174.11</v>
      </c>
      <c r="U6" s="27">
        <v>1796.87</v>
      </c>
    </row>
    <row r="7" spans="1:21" ht="26.25" thickBot="1" x14ac:dyDescent="0.25">
      <c r="A7" t="s">
        <v>3</v>
      </c>
      <c r="B7" s="20"/>
      <c r="C7" s="1">
        <v>108.65</v>
      </c>
      <c r="E7" s="20">
        <v>43489</v>
      </c>
      <c r="F7" t="s">
        <v>141</v>
      </c>
      <c r="G7" s="5">
        <f>I16</f>
        <v>355.14</v>
      </c>
      <c r="Q7" s="24">
        <v>43739</v>
      </c>
      <c r="R7" s="25" t="s">
        <v>63</v>
      </c>
      <c r="S7" s="27">
        <v>1751</v>
      </c>
      <c r="T7" s="26"/>
      <c r="U7" s="26">
        <v>45.87</v>
      </c>
    </row>
    <row r="8" spans="1:21" ht="13.5" thickBot="1" x14ac:dyDescent="0.25">
      <c r="A8" t="s">
        <v>5</v>
      </c>
      <c r="B8" s="20"/>
      <c r="C8" s="1">
        <v>120</v>
      </c>
      <c r="Q8" s="29">
        <v>43739</v>
      </c>
      <c r="R8" s="25" t="s">
        <v>64</v>
      </c>
      <c r="S8" s="30"/>
      <c r="T8" s="26"/>
      <c r="U8" s="26">
        <v>45.87</v>
      </c>
    </row>
    <row r="9" spans="1:21" x14ac:dyDescent="0.2">
      <c r="A9" t="s">
        <v>7</v>
      </c>
      <c r="B9" s="20">
        <v>43489</v>
      </c>
      <c r="C9" s="1">
        <v>4500</v>
      </c>
    </row>
    <row r="12" spans="1:21" ht="13.5" thickBot="1" x14ac:dyDescent="0.25">
      <c r="E12" t="s">
        <v>67</v>
      </c>
      <c r="I12">
        <f>SUM(I13:I99)</f>
        <v>868.01</v>
      </c>
    </row>
    <row r="13" spans="1:21" ht="26.25" thickBot="1" x14ac:dyDescent="0.25">
      <c r="E13" s="24">
        <v>43739</v>
      </c>
      <c r="F13" s="25" t="s">
        <v>68</v>
      </c>
      <c r="G13" s="24" t="s">
        <v>72</v>
      </c>
      <c r="H13" s="26" t="s">
        <v>65</v>
      </c>
      <c r="I13" s="26">
        <v>164.65</v>
      </c>
    </row>
    <row r="14" spans="1:21" ht="26.25" thickBot="1" x14ac:dyDescent="0.25">
      <c r="E14" s="24">
        <v>43739</v>
      </c>
      <c r="F14" s="25" t="s">
        <v>69</v>
      </c>
      <c r="G14" s="24" t="s">
        <v>72</v>
      </c>
      <c r="H14" s="26" t="s">
        <v>66</v>
      </c>
      <c r="I14" s="26">
        <v>174.11</v>
      </c>
    </row>
    <row r="15" spans="1:21" ht="26.25" thickBot="1" x14ac:dyDescent="0.25">
      <c r="E15" s="24">
        <v>43739</v>
      </c>
      <c r="F15" s="25" t="s">
        <v>70</v>
      </c>
      <c r="G15" s="24" t="s">
        <v>72</v>
      </c>
      <c r="H15" s="26" t="s">
        <v>66</v>
      </c>
      <c r="I15" s="26">
        <v>174.11</v>
      </c>
    </row>
    <row r="16" spans="1:21" ht="26.25" thickBot="1" x14ac:dyDescent="0.25">
      <c r="E16" s="24" t="s">
        <v>71</v>
      </c>
      <c r="F16" s="25" t="s">
        <v>57</v>
      </c>
      <c r="G16" s="24" t="s">
        <v>73</v>
      </c>
      <c r="H16" s="31">
        <v>136517.57</v>
      </c>
      <c r="I16" s="26">
        <v>355.14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B327F-DF21-4D44-A11B-52024DDE299F}">
  <dimension ref="A1:X23"/>
  <sheetViews>
    <sheetView topLeftCell="J1" zoomScale="90" zoomScaleNormal="90" workbookViewId="0">
      <selection activeCell="T12" sqref="T12"/>
    </sheetView>
  </sheetViews>
  <sheetFormatPr defaultRowHeight="12.75" x14ac:dyDescent="0.2"/>
  <cols>
    <col min="1" max="1" width="29.42578125" bestFit="1" customWidth="1"/>
    <col min="2" max="2" width="11.7109375" bestFit="1" customWidth="1"/>
    <col min="3" max="3" width="12.140625" bestFit="1" customWidth="1"/>
    <col min="5" max="5" width="11.7109375" bestFit="1" customWidth="1"/>
    <col min="6" max="6" width="23.28515625" bestFit="1" customWidth="1"/>
    <col min="7" max="7" width="15.7109375" bestFit="1" customWidth="1"/>
    <col min="8" max="8" width="11.28515625" bestFit="1" customWidth="1"/>
    <col min="9" max="9" width="18.5703125" bestFit="1" customWidth="1"/>
    <col min="10" max="10" width="10.140625" bestFit="1" customWidth="1"/>
    <col min="11" max="11" width="10.140625" customWidth="1"/>
    <col min="12" max="13" width="11.85546875" bestFit="1" customWidth="1"/>
    <col min="14" max="14" width="17.140625" bestFit="1" customWidth="1"/>
    <col min="15" max="16" width="11.28515625" bestFit="1" customWidth="1"/>
    <col min="18" max="18" width="11.140625" bestFit="1" customWidth="1"/>
    <col min="19" max="19" width="38.7109375" customWidth="1"/>
    <col min="20" max="20" width="10.7109375" bestFit="1" customWidth="1"/>
    <col min="21" max="21" width="10.28515625" bestFit="1" customWidth="1"/>
    <col min="22" max="22" width="10.42578125" bestFit="1" customWidth="1"/>
    <col min="24" max="24" width="11.28515625" bestFit="1" customWidth="1"/>
  </cols>
  <sheetData>
    <row r="1" spans="1:24" ht="25.5" x14ac:dyDescent="0.25">
      <c r="C1" s="1">
        <f>SUM(C3:C12)</f>
        <v>9628.9500000000007</v>
      </c>
      <c r="G1" s="6">
        <f>G3+G8</f>
        <v>9963.77</v>
      </c>
      <c r="I1" s="3" t="s">
        <v>77</v>
      </c>
      <c r="J1" s="4">
        <f>G1-C1</f>
        <v>334.81999999999971</v>
      </c>
      <c r="L1" s="320">
        <v>43739</v>
      </c>
      <c r="M1" s="67" t="s">
        <v>78</v>
      </c>
      <c r="N1" s="68">
        <f>SUM(N2:N4)</f>
        <v>86648.80196001046</v>
      </c>
      <c r="O1" s="235">
        <f>'UOB TXN 2019'!E95</f>
        <v>86648.799999999974</v>
      </c>
      <c r="P1" s="5">
        <f>N1-O1</f>
        <v>1.9600104860728607E-3</v>
      </c>
      <c r="R1" s="69" t="s">
        <v>25</v>
      </c>
      <c r="S1" s="69" t="s">
        <v>26</v>
      </c>
      <c r="T1" s="69" t="s">
        <v>59</v>
      </c>
      <c r="U1" s="69" t="s">
        <v>60</v>
      </c>
      <c r="V1" s="69" t="s">
        <v>8</v>
      </c>
    </row>
    <row r="2" spans="1:24" ht="18" x14ac:dyDescent="0.25">
      <c r="A2" s="21" t="s">
        <v>52</v>
      </c>
      <c r="B2" s="21" t="s">
        <v>53</v>
      </c>
      <c r="C2" s="22" t="s">
        <v>54</v>
      </c>
      <c r="E2" s="21" t="s">
        <v>56</v>
      </c>
      <c r="F2" s="21" t="s">
        <v>13</v>
      </c>
      <c r="G2" s="22" t="s">
        <v>55</v>
      </c>
      <c r="I2" s="3"/>
      <c r="J2" s="4"/>
      <c r="L2" s="320"/>
      <c r="M2" s="67" t="s">
        <v>79</v>
      </c>
      <c r="N2" s="68">
        <f>UOB!S69</f>
        <v>57372.217533269868</v>
      </c>
      <c r="O2" s="6"/>
      <c r="P2" s="2"/>
      <c r="R2" s="157">
        <v>43739</v>
      </c>
      <c r="S2" s="71" t="s">
        <v>61</v>
      </c>
      <c r="T2" s="72">
        <v>0</v>
      </c>
      <c r="U2" s="72">
        <v>0</v>
      </c>
      <c r="V2" s="72">
        <v>16006.18</v>
      </c>
    </row>
    <row r="3" spans="1:24" ht="17.25" customHeight="1" x14ac:dyDescent="0.25">
      <c r="A3" t="s">
        <v>0</v>
      </c>
      <c r="B3" s="20">
        <v>43767</v>
      </c>
      <c r="C3" s="1">
        <v>0</v>
      </c>
      <c r="E3" s="20">
        <v>43762</v>
      </c>
      <c r="F3" t="s">
        <v>128</v>
      </c>
      <c r="G3" s="5">
        <v>9868.73</v>
      </c>
      <c r="H3" s="6">
        <f>G3-C1</f>
        <v>239.77999999999884</v>
      </c>
      <c r="L3" s="320"/>
      <c r="M3" s="67" t="s">
        <v>80</v>
      </c>
      <c r="N3" s="68">
        <f>UOB!S70</f>
        <v>13213.164426740592</v>
      </c>
      <c r="R3" s="157">
        <v>43739</v>
      </c>
      <c r="S3" s="71" t="s">
        <v>317</v>
      </c>
      <c r="T3" s="72">
        <v>0</v>
      </c>
      <c r="U3" s="294">
        <v>57.24</v>
      </c>
      <c r="V3" s="72">
        <f>V2+U3-T3</f>
        <v>16063.42</v>
      </c>
    </row>
    <row r="4" spans="1:24" ht="17.25" customHeight="1" x14ac:dyDescent="0.25">
      <c r="A4" t="s">
        <v>1</v>
      </c>
      <c r="B4" s="20">
        <v>43767</v>
      </c>
      <c r="C4" s="1">
        <v>856.95</v>
      </c>
      <c r="E4" s="20">
        <v>43739</v>
      </c>
      <c r="F4" t="s">
        <v>74</v>
      </c>
      <c r="G4" s="52">
        <f>UOB!S38</f>
        <v>106644.30313242109</v>
      </c>
      <c r="L4" s="320"/>
      <c r="M4" s="67" t="s">
        <v>123</v>
      </c>
      <c r="N4" s="68">
        <f>V3</f>
        <v>16063.42</v>
      </c>
      <c r="R4" s="157">
        <v>43739</v>
      </c>
      <c r="S4" s="260" t="s">
        <v>370</v>
      </c>
      <c r="T4" s="294">
        <v>10000</v>
      </c>
      <c r="U4" s="72">
        <v>0</v>
      </c>
      <c r="V4" s="72">
        <f t="shared" ref="V4:V19" si="0">V3+U4-T4</f>
        <v>6063.42</v>
      </c>
    </row>
    <row r="5" spans="1:24" ht="17.25" customHeight="1" x14ac:dyDescent="0.2">
      <c r="A5" t="s">
        <v>2</v>
      </c>
      <c r="B5" s="20">
        <v>43767</v>
      </c>
      <c r="C5" s="1">
        <v>387.79</v>
      </c>
      <c r="E5" s="20">
        <v>43739</v>
      </c>
      <c r="F5" t="s">
        <v>75</v>
      </c>
      <c r="G5" s="124">
        <f>UOB!S37</f>
        <v>12561.575157371772</v>
      </c>
      <c r="R5" s="157">
        <v>43740</v>
      </c>
      <c r="S5" s="260" t="s">
        <v>44</v>
      </c>
      <c r="T5" s="294">
        <v>2208</v>
      </c>
      <c r="U5" s="72">
        <v>0</v>
      </c>
      <c r="V5" s="72">
        <f t="shared" si="0"/>
        <v>3855.42</v>
      </c>
    </row>
    <row r="6" spans="1:24" ht="17.25" customHeight="1" x14ac:dyDescent="0.25">
      <c r="A6" t="s">
        <v>4</v>
      </c>
      <c r="B6" s="20">
        <v>43768</v>
      </c>
      <c r="C6" s="1">
        <v>2302.16</v>
      </c>
      <c r="E6" s="20">
        <v>43739</v>
      </c>
      <c r="F6" t="s">
        <v>76</v>
      </c>
      <c r="G6" s="5">
        <f>'UOB TXN 2019'!E62-'OCT2019'!G4-'OCT2019'!G5</f>
        <v>25198.671710207127</v>
      </c>
      <c r="L6" s="320">
        <v>43762</v>
      </c>
      <c r="M6" s="67" t="s">
        <v>78</v>
      </c>
      <c r="N6" s="68">
        <f>SUM(N7:N9)</f>
        <v>47940.801960010453</v>
      </c>
      <c r="O6" s="132">
        <f>'UOB TXN 2019'!E107</f>
        <v>47940.799999999974</v>
      </c>
      <c r="P6" s="6">
        <f>N6-O6</f>
        <v>1.960010478796903E-3</v>
      </c>
      <c r="R6" s="157">
        <v>43742</v>
      </c>
      <c r="S6" s="262" t="s">
        <v>371</v>
      </c>
      <c r="T6" s="294">
        <v>6000</v>
      </c>
      <c r="U6" s="72"/>
      <c r="V6" s="72">
        <f t="shared" si="0"/>
        <v>-2144.58</v>
      </c>
      <c r="X6" s="6"/>
    </row>
    <row r="7" spans="1:24" ht="15.75" customHeight="1" x14ac:dyDescent="0.25">
      <c r="A7" s="60" t="s">
        <v>246</v>
      </c>
      <c r="B7" s="20">
        <v>43768</v>
      </c>
      <c r="C7" s="62">
        <v>0</v>
      </c>
      <c r="D7" s="60"/>
      <c r="E7" s="20"/>
      <c r="G7" s="5"/>
      <c r="L7" s="320"/>
      <c r="M7" s="67" t="s">
        <v>79</v>
      </c>
      <c r="N7" s="68">
        <f>UOB!S71</f>
        <v>57741.437533269869</v>
      </c>
      <c r="O7" s="6"/>
      <c r="P7" s="6"/>
      <c r="R7" s="157">
        <v>43745</v>
      </c>
      <c r="S7" s="309" t="s">
        <v>380</v>
      </c>
      <c r="T7" s="294">
        <v>15000</v>
      </c>
      <c r="U7" s="72"/>
      <c r="V7" s="72">
        <f>V6+U7-T7</f>
        <v>-17144.580000000002</v>
      </c>
    </row>
    <row r="8" spans="1:24" ht="15.75" customHeight="1" x14ac:dyDescent="0.25">
      <c r="A8" s="60" t="s">
        <v>3</v>
      </c>
      <c r="B8" s="20">
        <v>43763</v>
      </c>
      <c r="C8" s="62">
        <v>93</v>
      </c>
      <c r="E8" s="20">
        <v>43739</v>
      </c>
      <c r="F8" t="s">
        <v>127</v>
      </c>
      <c r="G8" s="5">
        <v>95.04</v>
      </c>
      <c r="L8" s="320"/>
      <c r="M8" s="67" t="s">
        <v>80</v>
      </c>
      <c r="N8" s="68">
        <f>UOB!S72</f>
        <v>13316.344426740592</v>
      </c>
      <c r="R8" s="157">
        <v>43748</v>
      </c>
      <c r="S8" s="263" t="s">
        <v>386</v>
      </c>
      <c r="T8" s="294">
        <v>10000</v>
      </c>
      <c r="U8" s="72"/>
      <c r="V8" s="72">
        <f>V7+U8-T8</f>
        <v>-27144.58</v>
      </c>
    </row>
    <row r="9" spans="1:24" ht="16.5" customHeight="1" x14ac:dyDescent="0.25">
      <c r="A9" t="s">
        <v>5</v>
      </c>
      <c r="B9" s="20">
        <v>43748</v>
      </c>
      <c r="C9" s="1">
        <v>120</v>
      </c>
      <c r="L9" s="320"/>
      <c r="M9" s="67" t="s">
        <v>123</v>
      </c>
      <c r="N9" s="68">
        <f>V19</f>
        <v>-23116.980000000003</v>
      </c>
      <c r="R9" s="157">
        <v>43752</v>
      </c>
      <c r="S9" s="263" t="s">
        <v>392</v>
      </c>
      <c r="T9" s="294">
        <v>379</v>
      </c>
      <c r="U9" s="72"/>
      <c r="V9" s="72">
        <f>V8+U9-T9</f>
        <v>-27523.58</v>
      </c>
    </row>
    <row r="10" spans="1:24" x14ac:dyDescent="0.2">
      <c r="A10" t="s">
        <v>7</v>
      </c>
      <c r="B10" s="20">
        <v>43762</v>
      </c>
      <c r="C10" s="1">
        <v>500</v>
      </c>
      <c r="R10" s="157">
        <v>43762</v>
      </c>
      <c r="S10" s="263" t="s">
        <v>395</v>
      </c>
      <c r="T10" s="296">
        <v>0</v>
      </c>
      <c r="U10" s="72">
        <v>5000</v>
      </c>
      <c r="V10" s="72">
        <f t="shared" ref="V10:V11" si="1">V9+U10-T10</f>
        <v>-22523.58</v>
      </c>
    </row>
    <row r="11" spans="1:24" ht="10.5" customHeight="1" x14ac:dyDescent="0.2">
      <c r="A11" t="s">
        <v>129</v>
      </c>
      <c r="B11" s="20">
        <v>43767</v>
      </c>
      <c r="C11" s="1">
        <v>369.05</v>
      </c>
      <c r="R11" s="157" t="s">
        <v>396</v>
      </c>
      <c r="S11" s="263" t="s">
        <v>397</v>
      </c>
      <c r="T11" s="296">
        <v>500</v>
      </c>
      <c r="U11" s="72">
        <v>0</v>
      </c>
      <c r="V11" s="72">
        <f t="shared" si="1"/>
        <v>-23023.58</v>
      </c>
    </row>
    <row r="12" spans="1:24" x14ac:dyDescent="0.2">
      <c r="A12" t="s">
        <v>13</v>
      </c>
      <c r="B12" s="20">
        <v>43762</v>
      </c>
      <c r="C12" s="1">
        <v>5000</v>
      </c>
      <c r="E12" t="s">
        <v>67</v>
      </c>
      <c r="I12" s="6">
        <f>SUM(I13:I22)</f>
        <v>1082.25</v>
      </c>
      <c r="R12" s="157">
        <v>43750</v>
      </c>
      <c r="S12" s="263" t="s">
        <v>402</v>
      </c>
      <c r="T12" s="72">
        <v>93.4</v>
      </c>
      <c r="U12" s="294"/>
      <c r="V12" s="72">
        <f t="shared" si="0"/>
        <v>-23116.980000000003</v>
      </c>
    </row>
    <row r="13" spans="1:24" ht="13.5" customHeight="1" x14ac:dyDescent="0.2">
      <c r="B13" s="20"/>
      <c r="C13" s="1"/>
      <c r="E13" s="80">
        <v>43748</v>
      </c>
      <c r="F13" s="75" t="s">
        <v>68</v>
      </c>
      <c r="G13" s="77" t="s">
        <v>72</v>
      </c>
      <c r="H13" s="76">
        <v>35000</v>
      </c>
      <c r="I13" s="76">
        <v>118.54</v>
      </c>
      <c r="R13" s="157"/>
      <c r="S13" s="71"/>
      <c r="T13" s="294"/>
      <c r="U13" s="297"/>
      <c r="V13" s="72">
        <f t="shared" si="0"/>
        <v>-23116.980000000003</v>
      </c>
    </row>
    <row r="14" spans="1:24" x14ac:dyDescent="0.2">
      <c r="B14" s="20"/>
      <c r="C14" s="1"/>
      <c r="E14" s="80">
        <v>43748</v>
      </c>
      <c r="F14" s="75" t="s">
        <v>69</v>
      </c>
      <c r="G14" s="77" t="s">
        <v>72</v>
      </c>
      <c r="H14" s="76">
        <v>50000</v>
      </c>
      <c r="I14" s="76">
        <v>125.34</v>
      </c>
      <c r="R14" s="157"/>
      <c r="S14" s="71"/>
      <c r="T14" s="294"/>
      <c r="U14" s="297"/>
      <c r="V14" s="72">
        <f t="shared" si="0"/>
        <v>-23116.980000000003</v>
      </c>
    </row>
    <row r="15" spans="1:24" x14ac:dyDescent="0.2">
      <c r="E15" s="80">
        <v>43748</v>
      </c>
      <c r="F15" s="75" t="s">
        <v>70</v>
      </c>
      <c r="G15" s="77" t="s">
        <v>72</v>
      </c>
      <c r="H15" s="76">
        <v>50000</v>
      </c>
      <c r="I15" s="76">
        <v>125.34</v>
      </c>
      <c r="J15" s="6">
        <f>SUM(I13:I15)</f>
        <v>369.22</v>
      </c>
      <c r="R15" s="157"/>
      <c r="S15" s="71"/>
      <c r="T15" s="298"/>
      <c r="U15" s="297"/>
      <c r="V15" s="72">
        <f t="shared" si="0"/>
        <v>-23116.980000000003</v>
      </c>
    </row>
    <row r="16" spans="1:24" x14ac:dyDescent="0.2">
      <c r="E16" s="80">
        <v>43750</v>
      </c>
      <c r="F16" s="147" t="s">
        <v>158</v>
      </c>
      <c r="G16" s="148" t="s">
        <v>72</v>
      </c>
      <c r="H16" s="149">
        <v>11156.9</v>
      </c>
      <c r="I16" s="150">
        <v>27.97</v>
      </c>
      <c r="R16" s="157"/>
      <c r="S16" s="71"/>
      <c r="T16" s="294"/>
      <c r="U16" s="297"/>
      <c r="V16" s="72">
        <f t="shared" si="0"/>
        <v>-23116.980000000003</v>
      </c>
    </row>
    <row r="17" spans="5:24" x14ac:dyDescent="0.2">
      <c r="E17" s="80">
        <v>43750</v>
      </c>
      <c r="F17" s="147" t="s">
        <v>159</v>
      </c>
      <c r="G17" s="148" t="s">
        <v>72</v>
      </c>
      <c r="H17" s="149">
        <v>30000</v>
      </c>
      <c r="I17" s="150">
        <v>75.209999999999994</v>
      </c>
      <c r="R17" s="157"/>
      <c r="S17" s="71"/>
      <c r="T17" s="299"/>
      <c r="U17" s="300"/>
      <c r="V17" s="72">
        <f t="shared" si="0"/>
        <v>-23116.980000000003</v>
      </c>
    </row>
    <row r="18" spans="5:24" x14ac:dyDescent="0.2">
      <c r="E18" s="80">
        <v>43759</v>
      </c>
      <c r="F18" s="81" t="s">
        <v>138</v>
      </c>
      <c r="G18" s="77" t="s">
        <v>72</v>
      </c>
      <c r="H18" s="76">
        <v>50000</v>
      </c>
      <c r="I18" s="76">
        <v>125.34</v>
      </c>
      <c r="R18" s="157"/>
      <c r="S18" s="71"/>
      <c r="T18" s="294"/>
      <c r="U18" s="294"/>
      <c r="V18" s="72">
        <f t="shared" si="0"/>
        <v>-23116.980000000003</v>
      </c>
      <c r="X18" s="6"/>
    </row>
    <row r="19" spans="5:24" x14ac:dyDescent="0.2">
      <c r="E19" s="80">
        <v>43759</v>
      </c>
      <c r="F19" s="81" t="s">
        <v>137</v>
      </c>
      <c r="G19" s="77" t="s">
        <v>72</v>
      </c>
      <c r="H19" s="76">
        <v>50000</v>
      </c>
      <c r="I19" s="76">
        <v>125.34</v>
      </c>
      <c r="R19" s="157">
        <v>43768</v>
      </c>
      <c r="S19" s="71" t="s">
        <v>64</v>
      </c>
      <c r="T19" s="294">
        <v>0</v>
      </c>
      <c r="U19" s="294">
        <v>0</v>
      </c>
      <c r="V19" s="72">
        <f t="shared" si="0"/>
        <v>-23116.980000000003</v>
      </c>
      <c r="X19" s="6"/>
    </row>
    <row r="20" spans="5:24" x14ac:dyDescent="0.2">
      <c r="E20" s="80">
        <v>43759</v>
      </c>
      <c r="F20" s="81" t="s">
        <v>136</v>
      </c>
      <c r="G20" s="77" t="s">
        <v>72</v>
      </c>
      <c r="H20" s="76">
        <v>50000</v>
      </c>
      <c r="I20" s="76">
        <v>125.34</v>
      </c>
    </row>
    <row r="21" spans="5:24" x14ac:dyDescent="0.2">
      <c r="E21" s="80">
        <v>43759</v>
      </c>
      <c r="F21" s="81" t="s">
        <v>135</v>
      </c>
      <c r="G21" s="77" t="s">
        <v>72</v>
      </c>
      <c r="H21" s="76">
        <v>50000</v>
      </c>
      <c r="I21" s="76">
        <v>125.34</v>
      </c>
      <c r="X21" s="6"/>
    </row>
    <row r="22" spans="5:24" x14ac:dyDescent="0.2">
      <c r="E22" s="80">
        <v>43759</v>
      </c>
      <c r="F22" s="81" t="s">
        <v>134</v>
      </c>
      <c r="G22" s="77" t="s">
        <v>72</v>
      </c>
      <c r="H22" s="76">
        <v>43278.7</v>
      </c>
      <c r="I22" s="76">
        <v>108.49</v>
      </c>
    </row>
    <row r="23" spans="5:24" x14ac:dyDescent="0.2">
      <c r="E23" s="80">
        <v>43768</v>
      </c>
      <c r="F23" s="75" t="s">
        <v>57</v>
      </c>
      <c r="G23" s="77" t="s">
        <v>73</v>
      </c>
      <c r="H23" s="76">
        <v>141110.65</v>
      </c>
      <c r="I23" s="76">
        <v>558.25</v>
      </c>
    </row>
  </sheetData>
  <mergeCells count="2">
    <mergeCell ref="L1:L4"/>
    <mergeCell ref="L6:L9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B85A-3C0C-4372-8ABE-C40B8C88524E}">
  <dimension ref="A1:X23"/>
  <sheetViews>
    <sheetView topLeftCell="J1" zoomScale="90" zoomScaleNormal="90" workbookViewId="0">
      <selection activeCell="V19" sqref="V19"/>
    </sheetView>
  </sheetViews>
  <sheetFormatPr defaultRowHeight="12.75" x14ac:dyDescent="0.2"/>
  <cols>
    <col min="1" max="1" width="29.42578125" bestFit="1" customWidth="1"/>
    <col min="2" max="3" width="12.140625" bestFit="1" customWidth="1"/>
    <col min="5" max="5" width="11.7109375" bestFit="1" customWidth="1"/>
    <col min="6" max="6" width="23.28515625" bestFit="1" customWidth="1"/>
    <col min="7" max="7" width="15.7109375" bestFit="1" customWidth="1"/>
    <col min="8" max="8" width="11.28515625" bestFit="1" customWidth="1"/>
    <col min="9" max="9" width="18.5703125" bestFit="1" customWidth="1"/>
    <col min="10" max="10" width="10.140625" bestFit="1" customWidth="1"/>
    <col min="11" max="11" width="10.140625" customWidth="1"/>
    <col min="12" max="12" width="12.42578125" bestFit="1" customWidth="1"/>
    <col min="13" max="13" width="11.85546875" bestFit="1" customWidth="1"/>
    <col min="14" max="14" width="17.140625" bestFit="1" customWidth="1"/>
    <col min="15" max="16" width="11.28515625" bestFit="1" customWidth="1"/>
    <col min="18" max="18" width="11.140625" bestFit="1" customWidth="1"/>
    <col min="19" max="19" width="38.7109375" customWidth="1"/>
    <col min="20" max="20" width="10.7109375" bestFit="1" customWidth="1"/>
    <col min="21" max="21" width="10.28515625" bestFit="1" customWidth="1"/>
    <col min="22" max="22" width="10.42578125" bestFit="1" customWidth="1"/>
    <col min="24" max="24" width="11.28515625" bestFit="1" customWidth="1"/>
  </cols>
  <sheetData>
    <row r="1" spans="1:24" ht="25.5" x14ac:dyDescent="0.25">
      <c r="C1" s="1">
        <f>SUM(C3:C12)</f>
        <v>8568.39</v>
      </c>
      <c r="G1" s="6">
        <f>G3+G8</f>
        <v>9907.08</v>
      </c>
      <c r="I1" s="3" t="s">
        <v>77</v>
      </c>
      <c r="J1" s="4">
        <f>G1-C1</f>
        <v>1338.6900000000005</v>
      </c>
      <c r="L1" s="320">
        <v>43770</v>
      </c>
      <c r="M1" s="67" t="s">
        <v>78</v>
      </c>
      <c r="N1" s="68">
        <f>SUM(N2:N4)</f>
        <v>45923.958212836369</v>
      </c>
      <c r="O1" s="235">
        <f>'UOB TXN 2019'!E109</f>
        <v>45923.959999999977</v>
      </c>
      <c r="P1" s="5">
        <f>N1-O1</f>
        <v>-1.7871636082418263E-3</v>
      </c>
      <c r="R1" s="69" t="s">
        <v>25</v>
      </c>
      <c r="S1" s="69" t="s">
        <v>26</v>
      </c>
      <c r="T1" s="69" t="s">
        <v>59</v>
      </c>
      <c r="U1" s="69" t="s">
        <v>60</v>
      </c>
      <c r="V1" s="69" t="s">
        <v>8</v>
      </c>
    </row>
    <row r="2" spans="1:24" ht="18" x14ac:dyDescent="0.25">
      <c r="A2" s="21" t="s">
        <v>52</v>
      </c>
      <c r="B2" s="21" t="s">
        <v>53</v>
      </c>
      <c r="C2" s="22" t="s">
        <v>54</v>
      </c>
      <c r="E2" s="21" t="s">
        <v>56</v>
      </c>
      <c r="F2" s="21" t="s">
        <v>13</v>
      </c>
      <c r="G2" s="22" t="s">
        <v>55</v>
      </c>
      <c r="I2" s="3"/>
      <c r="J2" s="4"/>
      <c r="L2" s="320"/>
      <c r="M2" s="67" t="s">
        <v>79</v>
      </c>
      <c r="N2" s="68">
        <f>UOB!S74</f>
        <v>58025.246839447122</v>
      </c>
      <c r="O2" s="6"/>
      <c r="P2" s="2"/>
      <c r="R2" s="157">
        <v>43770</v>
      </c>
      <c r="S2" s="71" t="s">
        <v>61</v>
      </c>
      <c r="T2" s="72">
        <v>0</v>
      </c>
      <c r="U2" s="72">
        <v>0</v>
      </c>
      <c r="V2" s="72">
        <v>-23116.980000000003</v>
      </c>
    </row>
    <row r="3" spans="1:24" ht="17.25" customHeight="1" x14ac:dyDescent="0.25">
      <c r="A3" t="s">
        <v>0</v>
      </c>
      <c r="B3" s="20">
        <v>43796</v>
      </c>
      <c r="C3" s="1">
        <v>0</v>
      </c>
      <c r="E3" s="20">
        <v>43793</v>
      </c>
      <c r="F3" t="s">
        <v>128</v>
      </c>
      <c r="G3" s="5">
        <v>9868.73</v>
      </c>
      <c r="H3" s="6">
        <f>G3-C1</f>
        <v>1300.3400000000001</v>
      </c>
      <c r="L3" s="320"/>
      <c r="M3" s="67" t="s">
        <v>80</v>
      </c>
      <c r="N3" s="68">
        <f>UOB!S75</f>
        <v>13369.231373389259</v>
      </c>
      <c r="R3" s="157">
        <v>43770</v>
      </c>
      <c r="S3" s="16" t="s">
        <v>44</v>
      </c>
      <c r="T3" s="17">
        <v>2208</v>
      </c>
      <c r="U3" s="17">
        <v>0</v>
      </c>
      <c r="V3" s="72">
        <f>V2+U3-T3</f>
        <v>-25324.980000000003</v>
      </c>
    </row>
    <row r="4" spans="1:24" ht="17.25" customHeight="1" x14ac:dyDescent="0.25">
      <c r="A4" t="s">
        <v>1</v>
      </c>
      <c r="B4" s="20">
        <v>43796</v>
      </c>
      <c r="C4" s="1">
        <v>1263.3699999999999</v>
      </c>
      <c r="E4" s="20">
        <v>43770</v>
      </c>
      <c r="F4" t="s">
        <v>74</v>
      </c>
      <c r="G4" s="52">
        <f>N2</f>
        <v>58025.246839447122</v>
      </c>
      <c r="L4" s="320"/>
      <c r="M4" s="67" t="s">
        <v>123</v>
      </c>
      <c r="N4" s="68">
        <f>V4</f>
        <v>-25470.520000000004</v>
      </c>
      <c r="R4" s="157">
        <v>43770</v>
      </c>
      <c r="S4" s="260" t="s">
        <v>403</v>
      </c>
      <c r="T4" s="294">
        <v>145.54</v>
      </c>
      <c r="U4" s="72"/>
      <c r="V4" s="72">
        <f t="shared" ref="V4:V19" si="0">V3+U4-T4</f>
        <v>-25470.520000000004</v>
      </c>
    </row>
    <row r="5" spans="1:24" ht="17.25" customHeight="1" x14ac:dyDescent="0.2">
      <c r="A5" t="s">
        <v>2</v>
      </c>
      <c r="B5" s="20">
        <v>43796</v>
      </c>
      <c r="C5" s="1">
        <v>141.79</v>
      </c>
      <c r="E5" s="20">
        <v>43770</v>
      </c>
      <c r="F5" t="s">
        <v>75</v>
      </c>
      <c r="G5" s="124">
        <f>N3</f>
        <v>13369.231373389259</v>
      </c>
      <c r="R5" s="157">
        <v>43770</v>
      </c>
      <c r="S5" s="260" t="s">
        <v>404</v>
      </c>
      <c r="T5" s="294">
        <v>0</v>
      </c>
      <c r="U5" s="72"/>
      <c r="V5" s="72">
        <f t="shared" si="0"/>
        <v>-25470.520000000004</v>
      </c>
    </row>
    <row r="6" spans="1:24" ht="17.25" customHeight="1" x14ac:dyDescent="0.25">
      <c r="A6" t="s">
        <v>4</v>
      </c>
      <c r="B6" s="20">
        <v>43800</v>
      </c>
      <c r="C6" s="1">
        <v>1081.18</v>
      </c>
      <c r="E6" s="20">
        <v>43770</v>
      </c>
      <c r="F6" t="s">
        <v>76</v>
      </c>
      <c r="G6" s="5">
        <f>N4</f>
        <v>-25470.520000000004</v>
      </c>
      <c r="L6" s="320">
        <v>43793</v>
      </c>
      <c r="M6" s="67" t="s">
        <v>78</v>
      </c>
      <c r="N6" s="68">
        <f>SUM(N7:N9)</f>
        <v>44613.958212836376</v>
      </c>
      <c r="O6" s="132">
        <f>'UOB TXN 2019'!E114</f>
        <v>44613.959999999977</v>
      </c>
      <c r="P6" s="6">
        <f>N6-O6</f>
        <v>-1.7871636009658687E-3</v>
      </c>
      <c r="R6" s="157">
        <v>43791</v>
      </c>
      <c r="S6" s="262" t="s">
        <v>405</v>
      </c>
      <c r="T6" s="294"/>
      <c r="U6" s="72">
        <v>5000</v>
      </c>
      <c r="V6" s="72">
        <f t="shared" si="0"/>
        <v>-20470.520000000004</v>
      </c>
      <c r="X6" s="6"/>
    </row>
    <row r="7" spans="1:24" ht="15.75" customHeight="1" x14ac:dyDescent="0.25">
      <c r="A7" s="60" t="s">
        <v>246</v>
      </c>
      <c r="B7" s="20">
        <v>43800</v>
      </c>
      <c r="C7" s="62">
        <v>0</v>
      </c>
      <c r="D7" s="60"/>
      <c r="E7" s="20"/>
      <c r="G7" s="5"/>
      <c r="L7" s="320"/>
      <c r="M7" s="67" t="s">
        <v>79</v>
      </c>
      <c r="N7" s="68">
        <f>UOB!S78</f>
        <v>59036.956839447121</v>
      </c>
      <c r="O7" s="6"/>
      <c r="P7" s="6"/>
      <c r="R7" s="157">
        <v>43795</v>
      </c>
      <c r="S7" s="317" t="s">
        <v>408</v>
      </c>
      <c r="T7" s="294">
        <f>2100+4180</f>
        <v>6280</v>
      </c>
      <c r="U7" s="72"/>
      <c r="V7" s="72">
        <f>V6+U7-T7</f>
        <v>-26750.520000000004</v>
      </c>
    </row>
    <row r="8" spans="1:24" ht="15.75" customHeight="1" x14ac:dyDescent="0.25">
      <c r="A8" s="60" t="s">
        <v>3</v>
      </c>
      <c r="B8" s="20">
        <v>43794</v>
      </c>
      <c r="C8" s="62">
        <v>93</v>
      </c>
      <c r="E8" s="20">
        <v>43770</v>
      </c>
      <c r="F8" t="s">
        <v>127</v>
      </c>
      <c r="G8" s="5">
        <v>38.35</v>
      </c>
      <c r="J8" s="1"/>
      <c r="L8" s="320"/>
      <c r="M8" s="67" t="s">
        <v>80</v>
      </c>
      <c r="N8" s="68">
        <f>UOB!S77</f>
        <v>13475.841373389259</v>
      </c>
      <c r="R8" s="157">
        <v>43796</v>
      </c>
      <c r="S8" s="17" t="s">
        <v>413</v>
      </c>
      <c r="T8" s="17">
        <v>10</v>
      </c>
      <c r="U8" s="17">
        <v>0</v>
      </c>
      <c r="V8" s="72">
        <f>V7+U8-T8</f>
        <v>-26760.520000000004</v>
      </c>
    </row>
    <row r="9" spans="1:24" ht="16.5" customHeight="1" x14ac:dyDescent="0.25">
      <c r="A9" t="s">
        <v>5</v>
      </c>
      <c r="B9" s="20">
        <v>43780</v>
      </c>
      <c r="C9" s="1">
        <v>120</v>
      </c>
      <c r="L9" s="320"/>
      <c r="M9" s="67" t="s">
        <v>123</v>
      </c>
      <c r="N9" s="68">
        <f>V19</f>
        <v>-27898.840000000004</v>
      </c>
      <c r="R9" s="157">
        <v>43796</v>
      </c>
      <c r="S9" s="17" t="s">
        <v>414</v>
      </c>
      <c r="T9" s="17">
        <v>20</v>
      </c>
      <c r="U9" s="17">
        <v>0</v>
      </c>
      <c r="V9" s="72">
        <f>V8+U9-T9</f>
        <v>-26780.520000000004</v>
      </c>
    </row>
    <row r="10" spans="1:24" ht="14.25" customHeight="1" x14ac:dyDescent="0.2">
      <c r="A10" t="s">
        <v>7</v>
      </c>
      <c r="B10" s="20">
        <v>43793</v>
      </c>
      <c r="C10" s="1">
        <v>500</v>
      </c>
      <c r="R10" s="157">
        <v>43796</v>
      </c>
      <c r="S10" s="263" t="s">
        <v>424</v>
      </c>
      <c r="T10" s="296">
        <f>381.52+630.19</f>
        <v>1011.71</v>
      </c>
      <c r="U10" s="17">
        <v>0</v>
      </c>
      <c r="V10" s="72">
        <f t="shared" ref="V10:V11" si="1">V9+U10-T10</f>
        <v>-27792.230000000003</v>
      </c>
    </row>
    <row r="11" spans="1:24" ht="10.5" customHeight="1" x14ac:dyDescent="0.2">
      <c r="A11" t="s">
        <v>129</v>
      </c>
      <c r="B11" s="20">
        <v>43798</v>
      </c>
      <c r="C11" s="1">
        <v>369.05</v>
      </c>
      <c r="R11" s="157">
        <v>43796</v>
      </c>
      <c r="S11" s="263" t="s">
        <v>425</v>
      </c>
      <c r="T11" s="296">
        <v>106.61</v>
      </c>
      <c r="U11" s="72"/>
      <c r="V11" s="72">
        <f t="shared" si="1"/>
        <v>-27898.840000000004</v>
      </c>
    </row>
    <row r="12" spans="1:24" x14ac:dyDescent="0.2">
      <c r="A12" t="s">
        <v>13</v>
      </c>
      <c r="B12" s="20">
        <v>43793</v>
      </c>
      <c r="C12" s="1">
        <v>5000</v>
      </c>
      <c r="E12" t="s">
        <v>67</v>
      </c>
      <c r="I12" s="6">
        <f>SUM(I13:I22)</f>
        <v>1331.03</v>
      </c>
      <c r="R12" s="157"/>
      <c r="S12" s="263"/>
      <c r="T12" s="72"/>
      <c r="U12" s="294"/>
      <c r="V12" s="72">
        <f t="shared" si="0"/>
        <v>-27898.840000000004</v>
      </c>
    </row>
    <row r="13" spans="1:24" ht="13.5" customHeight="1" x14ac:dyDescent="0.2">
      <c r="B13" s="20"/>
      <c r="C13" s="1"/>
      <c r="E13" s="80">
        <v>43780</v>
      </c>
      <c r="F13" s="75" t="s">
        <v>68</v>
      </c>
      <c r="G13" s="77" t="s">
        <v>72</v>
      </c>
      <c r="H13" s="76">
        <v>35000</v>
      </c>
      <c r="I13" s="76">
        <v>118.53</v>
      </c>
      <c r="R13" s="157"/>
      <c r="S13" s="71"/>
      <c r="T13" s="294"/>
      <c r="U13" s="297"/>
      <c r="V13" s="72">
        <f t="shared" si="0"/>
        <v>-27898.840000000004</v>
      </c>
    </row>
    <row r="14" spans="1:24" x14ac:dyDescent="0.2">
      <c r="B14" s="20"/>
      <c r="C14" s="1"/>
      <c r="E14" s="80">
        <v>43780</v>
      </c>
      <c r="F14" s="75" t="s">
        <v>69</v>
      </c>
      <c r="G14" s="77" t="s">
        <v>72</v>
      </c>
      <c r="H14" s="76">
        <v>50000</v>
      </c>
      <c r="I14" s="76">
        <v>125.34</v>
      </c>
      <c r="R14" s="157"/>
      <c r="S14" s="71"/>
      <c r="T14" s="294"/>
      <c r="U14" s="297"/>
      <c r="V14" s="72">
        <f t="shared" si="0"/>
        <v>-27898.840000000004</v>
      </c>
    </row>
    <row r="15" spans="1:24" x14ac:dyDescent="0.2">
      <c r="C15" s="1"/>
      <c r="E15" s="80">
        <v>43780</v>
      </c>
      <c r="F15" s="75" t="s">
        <v>70</v>
      </c>
      <c r="G15" s="77" t="s">
        <v>72</v>
      </c>
      <c r="H15" s="76">
        <v>50000</v>
      </c>
      <c r="I15" s="76">
        <v>125.34</v>
      </c>
      <c r="J15" s="6">
        <f>SUM(I13:I15)</f>
        <v>369.21000000000004</v>
      </c>
      <c r="R15" s="157"/>
      <c r="S15" s="71"/>
      <c r="T15" s="298"/>
      <c r="U15" s="297"/>
      <c r="V15" s="72">
        <f t="shared" si="0"/>
        <v>-27898.840000000004</v>
      </c>
    </row>
    <row r="16" spans="1:24" x14ac:dyDescent="0.2">
      <c r="E16" s="80">
        <v>43781</v>
      </c>
      <c r="F16" s="147" t="s">
        <v>158</v>
      </c>
      <c r="G16" s="148" t="s">
        <v>72</v>
      </c>
      <c r="H16" s="149">
        <v>11156.9</v>
      </c>
      <c r="I16" s="150">
        <v>36.68</v>
      </c>
      <c r="R16" s="157"/>
      <c r="S16" s="71"/>
      <c r="T16" s="294"/>
      <c r="U16" s="297"/>
      <c r="V16" s="72">
        <f t="shared" si="0"/>
        <v>-27898.840000000004</v>
      </c>
    </row>
    <row r="17" spans="5:24" x14ac:dyDescent="0.2">
      <c r="E17" s="80">
        <v>43781</v>
      </c>
      <c r="F17" s="147" t="s">
        <v>159</v>
      </c>
      <c r="G17" s="148" t="s">
        <v>72</v>
      </c>
      <c r="H17" s="149">
        <v>30000</v>
      </c>
      <c r="I17" s="150">
        <v>98.63</v>
      </c>
      <c r="R17" s="157"/>
      <c r="S17" s="71"/>
      <c r="T17" s="299"/>
      <c r="U17" s="300"/>
      <c r="V17" s="72">
        <f t="shared" si="0"/>
        <v>-27898.840000000004</v>
      </c>
    </row>
    <row r="18" spans="5:24" x14ac:dyDescent="0.2">
      <c r="E18" s="80">
        <v>43790</v>
      </c>
      <c r="F18" s="81" t="s">
        <v>138</v>
      </c>
      <c r="G18" s="77" t="s">
        <v>72</v>
      </c>
      <c r="H18" s="76">
        <v>50000</v>
      </c>
      <c r="I18" s="76">
        <v>169.87</v>
      </c>
      <c r="R18" s="157"/>
      <c r="S18" s="71"/>
      <c r="T18" s="294"/>
      <c r="U18" s="294"/>
      <c r="V18" s="72">
        <f t="shared" si="0"/>
        <v>-27898.840000000004</v>
      </c>
      <c r="X18" s="6"/>
    </row>
    <row r="19" spans="5:24" x14ac:dyDescent="0.2">
      <c r="E19" s="80">
        <v>43790</v>
      </c>
      <c r="F19" s="81" t="s">
        <v>137</v>
      </c>
      <c r="G19" s="77" t="s">
        <v>72</v>
      </c>
      <c r="H19" s="76">
        <v>50000</v>
      </c>
      <c r="I19" s="76">
        <v>169.87</v>
      </c>
      <c r="R19" s="157">
        <v>43799</v>
      </c>
      <c r="S19" s="71" t="s">
        <v>64</v>
      </c>
      <c r="T19" s="294">
        <v>0</v>
      </c>
      <c r="U19" s="294">
        <v>0</v>
      </c>
      <c r="V19" s="72">
        <f t="shared" si="0"/>
        <v>-27898.840000000004</v>
      </c>
      <c r="X19" s="6"/>
    </row>
    <row r="20" spans="5:24" x14ac:dyDescent="0.2">
      <c r="E20" s="80">
        <v>43790</v>
      </c>
      <c r="F20" s="81" t="s">
        <v>136</v>
      </c>
      <c r="G20" s="77" t="s">
        <v>72</v>
      </c>
      <c r="H20" s="76">
        <v>50000</v>
      </c>
      <c r="I20" s="76">
        <v>169.87</v>
      </c>
    </row>
    <row r="21" spans="5:24" x14ac:dyDescent="0.2">
      <c r="E21" s="80">
        <v>43790</v>
      </c>
      <c r="F21" s="81" t="s">
        <v>135</v>
      </c>
      <c r="G21" s="77" t="s">
        <v>72</v>
      </c>
      <c r="H21" s="76">
        <v>50000</v>
      </c>
      <c r="I21" s="76">
        <v>169.87</v>
      </c>
      <c r="X21" s="6"/>
    </row>
    <row r="22" spans="5:24" x14ac:dyDescent="0.2">
      <c r="E22" s="80">
        <v>43790</v>
      </c>
      <c r="F22" s="81" t="s">
        <v>134</v>
      </c>
      <c r="G22" s="77" t="s">
        <v>72</v>
      </c>
      <c r="H22" s="76">
        <v>43278.7</v>
      </c>
      <c r="I22" s="76">
        <v>147.03</v>
      </c>
    </row>
    <row r="23" spans="5:24" x14ac:dyDescent="0.2">
      <c r="E23" s="80">
        <v>43799</v>
      </c>
      <c r="F23" s="75" t="s">
        <v>57</v>
      </c>
      <c r="G23" s="77" t="s">
        <v>73</v>
      </c>
      <c r="H23" s="76">
        <v>141110.65</v>
      </c>
      <c r="I23" s="76">
        <v>558.25</v>
      </c>
    </row>
  </sheetData>
  <mergeCells count="2">
    <mergeCell ref="L1:L4"/>
    <mergeCell ref="L6:L9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BB845-DB5E-4829-AF95-33749D80BB9D}">
  <dimension ref="A1:X23"/>
  <sheetViews>
    <sheetView tabSelected="1" topLeftCell="I1" zoomScale="90" zoomScaleNormal="90" workbookViewId="0">
      <selection activeCell="U9" sqref="U9"/>
    </sheetView>
  </sheetViews>
  <sheetFormatPr defaultRowHeight="12.75" x14ac:dyDescent="0.2"/>
  <cols>
    <col min="1" max="1" width="29.42578125" bestFit="1" customWidth="1"/>
    <col min="2" max="3" width="12.140625" bestFit="1" customWidth="1"/>
    <col min="5" max="5" width="11.7109375" bestFit="1" customWidth="1"/>
    <col min="6" max="6" width="23.28515625" bestFit="1" customWidth="1"/>
    <col min="7" max="7" width="15.7109375" bestFit="1" customWidth="1"/>
    <col min="8" max="8" width="11.28515625" bestFit="1" customWidth="1"/>
    <col min="9" max="9" width="18.5703125" bestFit="1" customWidth="1"/>
    <col min="10" max="10" width="10.140625" bestFit="1" customWidth="1"/>
    <col min="11" max="11" width="10.140625" customWidth="1"/>
    <col min="12" max="12" width="12.42578125" bestFit="1" customWidth="1"/>
    <col min="13" max="13" width="11.85546875" bestFit="1" customWidth="1"/>
    <col min="14" max="14" width="17.140625" bestFit="1" customWidth="1"/>
    <col min="15" max="15" width="11.28515625" bestFit="1" customWidth="1"/>
    <col min="16" max="16" width="11.7109375" bestFit="1" customWidth="1"/>
    <col min="18" max="18" width="11.140625" bestFit="1" customWidth="1"/>
    <col min="19" max="19" width="38.7109375" customWidth="1"/>
    <col min="20" max="20" width="10.7109375" bestFit="1" customWidth="1"/>
    <col min="21" max="21" width="10.28515625" bestFit="1" customWidth="1"/>
    <col min="22" max="22" width="10.42578125" bestFit="1" customWidth="1"/>
    <col min="24" max="24" width="11.28515625" bestFit="1" customWidth="1"/>
  </cols>
  <sheetData>
    <row r="1" spans="1:24" ht="25.5" x14ac:dyDescent="0.25">
      <c r="C1" s="1">
        <f>SUM(C3:C12)</f>
        <v>582.04999999999995</v>
      </c>
      <c r="G1" s="6">
        <f>G3+G8</f>
        <v>9907.08</v>
      </c>
      <c r="I1" s="3" t="s">
        <v>77</v>
      </c>
      <c r="J1" s="4">
        <f>G1-C1</f>
        <v>9325.0300000000007</v>
      </c>
      <c r="L1" s="320">
        <v>43800</v>
      </c>
      <c r="M1" s="67" t="s">
        <v>78</v>
      </c>
      <c r="N1" s="68">
        <f>SUM(N2:N4)</f>
        <v>42679.762779544515</v>
      </c>
      <c r="O1" s="235">
        <f>'UOB TXN 2019'!E116</f>
        <v>42574.419999999976</v>
      </c>
      <c r="P1" s="5">
        <f>N1-O1</f>
        <v>105.34277954453864</v>
      </c>
      <c r="R1" s="69" t="s">
        <v>25</v>
      </c>
      <c r="S1" s="69" t="s">
        <v>26</v>
      </c>
      <c r="T1" s="69" t="s">
        <v>59</v>
      </c>
      <c r="U1" s="69" t="s">
        <v>60</v>
      </c>
      <c r="V1" s="69" t="s">
        <v>8</v>
      </c>
    </row>
    <row r="2" spans="1:24" ht="18" x14ac:dyDescent="0.25">
      <c r="A2" s="21" t="s">
        <v>52</v>
      </c>
      <c r="B2" s="21" t="s">
        <v>53</v>
      </c>
      <c r="C2" s="22" t="s">
        <v>54</v>
      </c>
      <c r="E2" s="21" t="s">
        <v>56</v>
      </c>
      <c r="F2" s="21" t="s">
        <v>13</v>
      </c>
      <c r="G2" s="22" t="s">
        <v>55</v>
      </c>
      <c r="I2" s="3"/>
      <c r="J2" s="4"/>
      <c r="L2" s="320"/>
      <c r="M2" s="67" t="s">
        <v>79</v>
      </c>
      <c r="N2" s="68">
        <f>UOB!S80</f>
        <v>59365.221901225392</v>
      </c>
      <c r="O2" s="6"/>
      <c r="P2" s="2"/>
      <c r="R2" s="157">
        <v>43800</v>
      </c>
      <c r="S2" s="71" t="s">
        <v>61</v>
      </c>
      <c r="T2" s="72">
        <v>0</v>
      </c>
      <c r="U2" s="72">
        <v>0</v>
      </c>
      <c r="V2" s="72">
        <v>-27898.840000000004</v>
      </c>
    </row>
    <row r="3" spans="1:24" ht="17.25" customHeight="1" x14ac:dyDescent="0.25">
      <c r="A3" t="s">
        <v>0</v>
      </c>
      <c r="B3" s="20">
        <v>43826</v>
      </c>
      <c r="C3" s="1">
        <v>0</v>
      </c>
      <c r="E3" s="20">
        <v>43823</v>
      </c>
      <c r="F3" t="s">
        <v>128</v>
      </c>
      <c r="G3" s="5">
        <v>9868.73</v>
      </c>
      <c r="H3" s="6">
        <f>G3-C1</f>
        <v>9286.68</v>
      </c>
      <c r="L3" s="320"/>
      <c r="M3" s="67" t="s">
        <v>80</v>
      </c>
      <c r="N3" s="68">
        <f>UOB!S81</f>
        <v>13526.725451775512</v>
      </c>
      <c r="R3" s="157">
        <v>43800</v>
      </c>
      <c r="S3" s="260" t="s">
        <v>403</v>
      </c>
      <c r="T3" s="294">
        <v>105.34457345638</v>
      </c>
      <c r="U3" s="17">
        <v>0</v>
      </c>
      <c r="V3" s="72">
        <f>V2+U3-T3</f>
        <v>-28004.184573456383</v>
      </c>
    </row>
    <row r="4" spans="1:24" ht="17.25" customHeight="1" x14ac:dyDescent="0.25">
      <c r="A4" t="s">
        <v>1</v>
      </c>
      <c r="B4" s="20">
        <v>43826</v>
      </c>
      <c r="C4" s="1"/>
      <c r="E4" s="20">
        <v>43800</v>
      </c>
      <c r="F4" t="s">
        <v>74</v>
      </c>
      <c r="G4" s="52">
        <f>N2</f>
        <v>59365.221901225392</v>
      </c>
      <c r="L4" s="320"/>
      <c r="M4" s="67" t="s">
        <v>123</v>
      </c>
      <c r="N4" s="68">
        <f>V4</f>
        <v>-30212.184573456383</v>
      </c>
      <c r="R4" s="157">
        <v>43800</v>
      </c>
      <c r="S4" s="17" t="s">
        <v>44</v>
      </c>
      <c r="T4" s="294">
        <v>2208</v>
      </c>
      <c r="U4" s="72"/>
      <c r="V4" s="72">
        <f t="shared" ref="V4:V19" si="0">V3+U4-T4</f>
        <v>-30212.184573456383</v>
      </c>
    </row>
    <row r="5" spans="1:24" ht="17.25" customHeight="1" x14ac:dyDescent="0.2">
      <c r="A5" t="s">
        <v>2</v>
      </c>
      <c r="B5" s="20">
        <v>43826</v>
      </c>
      <c r="C5" s="1"/>
      <c r="E5" s="20">
        <v>43800</v>
      </c>
      <c r="F5" t="s">
        <v>75</v>
      </c>
      <c r="G5" s="124">
        <f>N3</f>
        <v>13526.725451775512</v>
      </c>
      <c r="R5" s="157">
        <v>43803</v>
      </c>
      <c r="S5" s="260" t="s">
        <v>426</v>
      </c>
      <c r="T5" s="294"/>
      <c r="U5" s="72">
        <v>20000</v>
      </c>
      <c r="V5" s="72">
        <f t="shared" si="0"/>
        <v>-10212.184573456383</v>
      </c>
    </row>
    <row r="6" spans="1:24" ht="17.25" customHeight="1" x14ac:dyDescent="0.25">
      <c r="A6" t="s">
        <v>4</v>
      </c>
      <c r="B6" s="20">
        <v>43800</v>
      </c>
      <c r="C6" s="1"/>
      <c r="E6" s="20">
        <v>43800</v>
      </c>
      <c r="F6" t="s">
        <v>76</v>
      </c>
      <c r="G6" s="5">
        <f>N4</f>
        <v>-30212.184573456383</v>
      </c>
      <c r="L6" s="320">
        <v>43823</v>
      </c>
      <c r="M6" s="67" t="s">
        <v>78</v>
      </c>
      <c r="N6" s="68">
        <f>SUM(N7:N9)</f>
        <v>11987.132779544521</v>
      </c>
      <c r="O6" s="132">
        <f>'UOB TXN 2019'!E114</f>
        <v>44613.959999999977</v>
      </c>
      <c r="P6" s="6">
        <f>N6-O6</f>
        <v>-32626.827220455456</v>
      </c>
      <c r="R6" s="157">
        <v>43803</v>
      </c>
      <c r="S6" s="262" t="s">
        <v>428</v>
      </c>
      <c r="T6" s="294">
        <v>2400</v>
      </c>
      <c r="U6" s="72"/>
      <c r="V6" s="72">
        <f t="shared" si="0"/>
        <v>-12612.184573456383</v>
      </c>
      <c r="X6" s="6"/>
    </row>
    <row r="7" spans="1:24" ht="15.75" customHeight="1" x14ac:dyDescent="0.25">
      <c r="A7" s="60" t="s">
        <v>246</v>
      </c>
      <c r="B7" s="20">
        <v>43800</v>
      </c>
      <c r="C7" s="62">
        <v>0</v>
      </c>
      <c r="D7" s="60"/>
      <c r="E7" s="20"/>
      <c r="G7" s="5"/>
      <c r="L7" s="320"/>
      <c r="M7" s="67" t="s">
        <v>79</v>
      </c>
      <c r="N7" s="68">
        <f>UOB!S83</f>
        <v>9364.2219012253918</v>
      </c>
      <c r="O7" s="6"/>
      <c r="P7" s="6"/>
      <c r="R7" s="157">
        <v>43809</v>
      </c>
      <c r="S7" s="318" t="s">
        <v>429</v>
      </c>
      <c r="T7" s="294">
        <v>350</v>
      </c>
      <c r="U7" s="72"/>
      <c r="V7" s="72">
        <f>V6+U7-T7</f>
        <v>-12962.184573456383</v>
      </c>
    </row>
    <row r="8" spans="1:24" ht="15.75" customHeight="1" x14ac:dyDescent="0.25">
      <c r="A8" s="60" t="s">
        <v>3</v>
      </c>
      <c r="B8" s="20">
        <v>43824</v>
      </c>
      <c r="C8" s="62">
        <v>93</v>
      </c>
      <c r="E8" s="20">
        <v>43800</v>
      </c>
      <c r="F8" t="s">
        <v>127</v>
      </c>
      <c r="G8" s="5">
        <v>38.35</v>
      </c>
      <c r="J8" s="1"/>
      <c r="L8" s="320"/>
      <c r="M8" s="67" t="s">
        <v>80</v>
      </c>
      <c r="N8" s="68">
        <f>UOB!S81</f>
        <v>13526.725451775512</v>
      </c>
      <c r="R8" s="157">
        <v>43810</v>
      </c>
      <c r="S8" s="319" t="s">
        <v>430</v>
      </c>
      <c r="T8" s="319"/>
      <c r="U8" s="319">
        <v>2058.37</v>
      </c>
      <c r="V8" s="72">
        <f>V7+U8-T8</f>
        <v>-10903.814573456384</v>
      </c>
    </row>
    <row r="9" spans="1:24" ht="16.5" customHeight="1" x14ac:dyDescent="0.25">
      <c r="A9" t="s">
        <v>5</v>
      </c>
      <c r="B9" s="20">
        <v>43811</v>
      </c>
      <c r="C9" s="1">
        <v>120</v>
      </c>
      <c r="L9" s="320"/>
      <c r="M9" s="67" t="s">
        <v>123</v>
      </c>
      <c r="N9" s="68">
        <f>V19</f>
        <v>-10903.814573456384</v>
      </c>
      <c r="R9" s="157"/>
      <c r="S9" s="319"/>
      <c r="T9" s="319"/>
      <c r="U9" s="319"/>
      <c r="V9" s="72">
        <f>V8+U9-T9</f>
        <v>-10903.814573456384</v>
      </c>
    </row>
    <row r="10" spans="1:24" ht="14.25" customHeight="1" x14ac:dyDescent="0.2">
      <c r="A10" t="s">
        <v>7</v>
      </c>
      <c r="B10" s="20">
        <v>43823</v>
      </c>
      <c r="C10" s="1"/>
      <c r="R10" s="157"/>
      <c r="S10" s="263"/>
      <c r="T10" s="296"/>
      <c r="U10" s="319"/>
      <c r="V10" s="72">
        <f t="shared" ref="V10:V11" si="1">V9+U10-T10</f>
        <v>-10903.814573456384</v>
      </c>
    </row>
    <row r="11" spans="1:24" ht="10.5" customHeight="1" x14ac:dyDescent="0.2">
      <c r="A11" t="s">
        <v>129</v>
      </c>
      <c r="B11" s="20">
        <v>43828</v>
      </c>
      <c r="C11" s="1">
        <v>369.05</v>
      </c>
      <c r="R11" s="157"/>
      <c r="S11" s="263"/>
      <c r="T11" s="296"/>
      <c r="U11" s="72"/>
      <c r="V11" s="72">
        <f t="shared" si="1"/>
        <v>-10903.814573456384</v>
      </c>
    </row>
    <row r="12" spans="1:24" x14ac:dyDescent="0.2">
      <c r="A12" t="s">
        <v>13</v>
      </c>
      <c r="B12" s="20">
        <v>43823</v>
      </c>
      <c r="C12" s="1"/>
      <c r="E12" t="s">
        <v>67</v>
      </c>
      <c r="I12" s="6">
        <f>SUM(I13:I22)</f>
        <v>1331.03</v>
      </c>
      <c r="R12" s="157"/>
      <c r="S12" s="263"/>
      <c r="T12" s="72"/>
      <c r="U12" s="294"/>
      <c r="V12" s="72">
        <f t="shared" si="0"/>
        <v>-10903.814573456384</v>
      </c>
    </row>
    <row r="13" spans="1:24" ht="13.5" customHeight="1" x14ac:dyDescent="0.2">
      <c r="B13" s="20"/>
      <c r="C13" s="1"/>
      <c r="E13" s="80">
        <v>43811</v>
      </c>
      <c r="F13" s="75" t="s">
        <v>68</v>
      </c>
      <c r="G13" s="77" t="s">
        <v>72</v>
      </c>
      <c r="H13" s="76">
        <v>35000</v>
      </c>
      <c r="I13" s="76">
        <v>118.53</v>
      </c>
      <c r="R13" s="157"/>
      <c r="S13" s="71"/>
      <c r="T13" s="294"/>
      <c r="U13" s="297"/>
      <c r="V13" s="72">
        <f t="shared" si="0"/>
        <v>-10903.814573456384</v>
      </c>
    </row>
    <row r="14" spans="1:24" x14ac:dyDescent="0.2">
      <c r="B14" s="20"/>
      <c r="C14" s="1"/>
      <c r="E14" s="80">
        <v>43811</v>
      </c>
      <c r="F14" s="75" t="s">
        <v>69</v>
      </c>
      <c r="G14" s="77" t="s">
        <v>72</v>
      </c>
      <c r="H14" s="76">
        <v>50000</v>
      </c>
      <c r="I14" s="76">
        <v>125.34</v>
      </c>
      <c r="R14" s="157"/>
      <c r="S14" s="71"/>
      <c r="T14" s="294"/>
      <c r="U14" s="297"/>
      <c r="V14" s="72">
        <f t="shared" si="0"/>
        <v>-10903.814573456384</v>
      </c>
    </row>
    <row r="15" spans="1:24" x14ac:dyDescent="0.2">
      <c r="C15" s="1"/>
      <c r="E15" s="80">
        <v>43811</v>
      </c>
      <c r="F15" s="75" t="s">
        <v>70</v>
      </c>
      <c r="G15" s="77" t="s">
        <v>72</v>
      </c>
      <c r="H15" s="76">
        <v>50000</v>
      </c>
      <c r="I15" s="76">
        <v>125.34</v>
      </c>
      <c r="J15" s="6">
        <f>SUM(I13:I15)</f>
        <v>369.21000000000004</v>
      </c>
      <c r="R15" s="157"/>
      <c r="S15" s="71"/>
      <c r="T15" s="298"/>
      <c r="U15" s="297"/>
      <c r="V15" s="72">
        <f t="shared" si="0"/>
        <v>-10903.814573456384</v>
      </c>
    </row>
    <row r="16" spans="1:24" x14ac:dyDescent="0.2">
      <c r="E16" s="80">
        <v>43811</v>
      </c>
      <c r="F16" s="147" t="s">
        <v>158</v>
      </c>
      <c r="G16" s="148" t="s">
        <v>72</v>
      </c>
      <c r="H16" s="149">
        <v>11156.9</v>
      </c>
      <c r="I16" s="150">
        <v>36.68</v>
      </c>
      <c r="R16" s="157"/>
      <c r="S16" s="71"/>
      <c r="T16" s="294"/>
      <c r="U16" s="297"/>
      <c r="V16" s="72">
        <f t="shared" si="0"/>
        <v>-10903.814573456384</v>
      </c>
    </row>
    <row r="17" spans="5:24" x14ac:dyDescent="0.2">
      <c r="E17" s="80">
        <v>43811</v>
      </c>
      <c r="F17" s="147" t="s">
        <v>159</v>
      </c>
      <c r="G17" s="148" t="s">
        <v>72</v>
      </c>
      <c r="H17" s="149">
        <v>30000</v>
      </c>
      <c r="I17" s="150">
        <v>98.63</v>
      </c>
      <c r="R17" s="157"/>
      <c r="S17" s="71"/>
      <c r="T17" s="299"/>
      <c r="U17" s="300"/>
      <c r="V17" s="72">
        <f t="shared" si="0"/>
        <v>-10903.814573456384</v>
      </c>
    </row>
    <row r="18" spans="5:24" x14ac:dyDescent="0.2">
      <c r="E18" s="80">
        <v>43820</v>
      </c>
      <c r="F18" s="81" t="s">
        <v>138</v>
      </c>
      <c r="G18" s="77" t="s">
        <v>72</v>
      </c>
      <c r="H18" s="76">
        <v>50000</v>
      </c>
      <c r="I18" s="76">
        <v>169.87</v>
      </c>
      <c r="R18" s="157"/>
      <c r="S18" s="71"/>
      <c r="T18" s="294"/>
      <c r="U18" s="294"/>
      <c r="V18" s="72">
        <f t="shared" si="0"/>
        <v>-10903.814573456384</v>
      </c>
      <c r="X18" s="6"/>
    </row>
    <row r="19" spans="5:24" x14ac:dyDescent="0.2">
      <c r="E19" s="80">
        <v>43820</v>
      </c>
      <c r="F19" s="81" t="s">
        <v>137</v>
      </c>
      <c r="G19" s="77" t="s">
        <v>72</v>
      </c>
      <c r="H19" s="76">
        <v>50000</v>
      </c>
      <c r="I19" s="76">
        <v>169.87</v>
      </c>
      <c r="R19" s="157">
        <v>43830</v>
      </c>
      <c r="S19" s="71" t="s">
        <v>64</v>
      </c>
      <c r="T19" s="294">
        <v>0</v>
      </c>
      <c r="U19" s="294">
        <v>0</v>
      </c>
      <c r="V19" s="72">
        <f t="shared" si="0"/>
        <v>-10903.814573456384</v>
      </c>
      <c r="X19" s="6"/>
    </row>
    <row r="20" spans="5:24" x14ac:dyDescent="0.2">
      <c r="E20" s="80">
        <v>43820</v>
      </c>
      <c r="F20" s="81" t="s">
        <v>136</v>
      </c>
      <c r="G20" s="77" t="s">
        <v>72</v>
      </c>
      <c r="H20" s="76">
        <v>50000</v>
      </c>
      <c r="I20" s="76">
        <v>169.87</v>
      </c>
    </row>
    <row r="21" spans="5:24" x14ac:dyDescent="0.2">
      <c r="E21" s="80">
        <v>43820</v>
      </c>
      <c r="F21" s="81" t="s">
        <v>135</v>
      </c>
      <c r="G21" s="77" t="s">
        <v>72</v>
      </c>
      <c r="H21" s="76">
        <v>50000</v>
      </c>
      <c r="I21" s="76">
        <v>169.87</v>
      </c>
      <c r="X21" s="6"/>
    </row>
    <row r="22" spans="5:24" x14ac:dyDescent="0.2">
      <c r="E22" s="80">
        <v>43820</v>
      </c>
      <c r="F22" s="81" t="s">
        <v>134</v>
      </c>
      <c r="G22" s="77" t="s">
        <v>72</v>
      </c>
      <c r="H22" s="76">
        <v>43278.7</v>
      </c>
      <c r="I22" s="76">
        <v>147.03</v>
      </c>
    </row>
    <row r="23" spans="5:24" x14ac:dyDescent="0.2">
      <c r="E23" s="80">
        <v>43829</v>
      </c>
      <c r="F23" s="75" t="s">
        <v>57</v>
      </c>
      <c r="G23" s="77" t="s">
        <v>73</v>
      </c>
      <c r="H23" s="76">
        <v>141110.65</v>
      </c>
      <c r="I23" s="76">
        <v>558.25</v>
      </c>
    </row>
  </sheetData>
  <mergeCells count="2">
    <mergeCell ref="L1:L4"/>
    <mergeCell ref="L6:L9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83"/>
  <sheetViews>
    <sheetView topLeftCell="G73" workbookViewId="0">
      <selection activeCell="S83" sqref="S83"/>
    </sheetView>
  </sheetViews>
  <sheetFormatPr defaultRowHeight="15.75" customHeight="1" x14ac:dyDescent="0.2"/>
  <cols>
    <col min="1" max="1" width="10.5703125" style="60" bestFit="1" customWidth="1"/>
    <col min="2" max="2" width="11.28515625" style="60" bestFit="1" customWidth="1"/>
    <col min="3" max="3" width="11.42578125" style="60" bestFit="1" customWidth="1"/>
    <col min="4" max="4" width="11.28515625" style="60" bestFit="1" customWidth="1"/>
    <col min="5" max="5" width="14.28515625" style="60" bestFit="1" customWidth="1"/>
    <col min="6" max="6" width="10.42578125" style="60" customWidth="1"/>
    <col min="7" max="7" width="9.85546875" style="60" bestFit="1" customWidth="1"/>
    <col min="8" max="10" width="10.42578125" style="60" customWidth="1"/>
    <col min="11" max="11" width="12.85546875" style="60" bestFit="1" customWidth="1"/>
    <col min="12" max="12" width="10.42578125" style="60" customWidth="1"/>
    <col min="13" max="13" width="11.28515625" style="60" bestFit="1" customWidth="1"/>
    <col min="14" max="14" width="7" style="60" bestFit="1" customWidth="1"/>
    <col min="15" max="15" width="12.85546875" style="60" customWidth="1"/>
    <col min="16" max="16" width="44.42578125" style="60" bestFit="1" customWidth="1"/>
    <col min="17" max="17" width="11.42578125" style="60" bestFit="1" customWidth="1"/>
    <col min="18" max="18" width="10.5703125" style="60" bestFit="1" customWidth="1"/>
    <col min="19" max="19" width="11.42578125" style="60" customWidth="1"/>
    <col min="20" max="20" width="9.140625" style="60"/>
    <col min="21" max="21" width="10.28515625" style="60" bestFit="1" customWidth="1"/>
    <col min="22" max="16384" width="9.140625" style="60"/>
  </cols>
  <sheetData>
    <row r="1" spans="1:19" ht="15.75" customHeight="1" x14ac:dyDescent="0.2">
      <c r="A1" s="105" t="s">
        <v>56</v>
      </c>
      <c r="B1" s="105" t="s">
        <v>9</v>
      </c>
      <c r="C1" s="105" t="s">
        <v>10</v>
      </c>
      <c r="D1" s="105" t="s">
        <v>11</v>
      </c>
      <c r="E1" s="105" t="s">
        <v>12</v>
      </c>
      <c r="G1" s="105" t="s">
        <v>115</v>
      </c>
      <c r="H1" s="105" t="s">
        <v>9</v>
      </c>
      <c r="I1" s="105" t="s">
        <v>10</v>
      </c>
      <c r="J1" s="105" t="s">
        <v>11</v>
      </c>
      <c r="K1" s="105" t="s">
        <v>116</v>
      </c>
      <c r="L1" s="106" t="s">
        <v>117</v>
      </c>
      <c r="N1" s="39" t="s">
        <v>107</v>
      </c>
      <c r="O1" s="41" t="s">
        <v>25</v>
      </c>
      <c r="P1" s="40" t="s">
        <v>26</v>
      </c>
      <c r="Q1" s="40" t="s">
        <v>27</v>
      </c>
      <c r="R1" s="40" t="s">
        <v>28</v>
      </c>
      <c r="S1" s="41" t="s">
        <v>29</v>
      </c>
    </row>
    <row r="2" spans="1:19" ht="15.75" customHeight="1" x14ac:dyDescent="0.2">
      <c r="A2" s="141">
        <v>43496</v>
      </c>
      <c r="B2" s="108">
        <v>30500.55</v>
      </c>
      <c r="C2" s="109">
        <v>10000</v>
      </c>
      <c r="D2" s="109">
        <v>106517.57</v>
      </c>
      <c r="E2" s="110">
        <f>SUM(B2:D2)</f>
        <v>147018.12</v>
      </c>
      <c r="G2" s="141">
        <v>43496</v>
      </c>
      <c r="H2" s="111">
        <f>(B2/$B$20) *$C$20</f>
        <v>130.10869895303907</v>
      </c>
      <c r="I2" s="111">
        <f>(C2/$B$20) *$C$20</f>
        <v>42.657820581281022</v>
      </c>
      <c r="J2" s="111">
        <f>(D2/$B$20) *$C$20</f>
        <v>454.38073898140419</v>
      </c>
      <c r="K2" s="111">
        <f>SUM(H2:J2)</f>
        <v>627.14725851572427</v>
      </c>
      <c r="L2" s="111">
        <f t="shared" ref="L2:L7" si="0">C20-K2</f>
        <v>3.702741484275748</v>
      </c>
      <c r="N2" s="60" t="s">
        <v>10</v>
      </c>
      <c r="O2" s="112">
        <v>43466</v>
      </c>
      <c r="P2" s="113" t="s">
        <v>108</v>
      </c>
      <c r="Q2" s="114">
        <v>0</v>
      </c>
      <c r="R2" s="114">
        <v>0</v>
      </c>
      <c r="S2" s="114">
        <v>10000</v>
      </c>
    </row>
    <row r="3" spans="1:19" ht="15.75" customHeight="1" x14ac:dyDescent="0.2">
      <c r="A3" s="141">
        <v>43507</v>
      </c>
      <c r="B3" s="109">
        <f>B2-4500+(141369.98-140359.16)</f>
        <v>27011.370000000006</v>
      </c>
      <c r="C3" s="109">
        <f>S15</f>
        <v>11962.65782058128</v>
      </c>
      <c r="D3" s="109">
        <f>S14</f>
        <v>102751.09073898141</v>
      </c>
      <c r="E3" s="110">
        <f>SUM(B3:D3)</f>
        <v>141725.11855956269</v>
      </c>
      <c r="G3" s="141">
        <v>43524</v>
      </c>
      <c r="H3" s="111">
        <f>(B3/$B$21) *$C$21</f>
        <v>95.965632027403061</v>
      </c>
      <c r="I3" s="111">
        <f>(C3/$B$21) *$C$21</f>
        <v>42.50076980470218</v>
      </c>
      <c r="J3" s="111">
        <f>(D3/$B$21) *$C$21</f>
        <v>365.05269315371231</v>
      </c>
      <c r="K3" s="111">
        <f>(E3/$B$21) *$C$21</f>
        <v>503.51909498581756</v>
      </c>
      <c r="L3" s="111">
        <f t="shared" si="0"/>
        <v>7.9009050141824559</v>
      </c>
      <c r="N3" s="60" t="s">
        <v>11</v>
      </c>
      <c r="O3" s="115">
        <v>43466</v>
      </c>
      <c r="P3" s="39" t="s">
        <v>108</v>
      </c>
      <c r="Q3" s="116">
        <v>0</v>
      </c>
      <c r="R3" s="116">
        <v>0</v>
      </c>
      <c r="S3" s="108">
        <v>136517.57</v>
      </c>
    </row>
    <row r="4" spans="1:19" ht="15.75" customHeight="1" x14ac:dyDescent="0.2">
      <c r="A4" s="141">
        <v>43555</v>
      </c>
      <c r="B4" s="109">
        <f>E4-C4-D4</f>
        <v>24137.13797747888</v>
      </c>
      <c r="C4" s="109">
        <f>S16</f>
        <v>12005.158590385983</v>
      </c>
      <c r="D4" s="109">
        <f>S18</f>
        <v>104968.35343213513</v>
      </c>
      <c r="E4" s="110">
        <v>141110.65</v>
      </c>
      <c r="G4" s="141">
        <v>43555</v>
      </c>
      <c r="H4" s="111">
        <f>(B4/$B22) *$C$22</f>
        <v>95.489300601532094</v>
      </c>
      <c r="I4" s="111">
        <f t="shared" ref="I4:J6" si="1">(C4/$B$22) *$C22</f>
        <v>47.493791454315996</v>
      </c>
      <c r="J4" s="111">
        <f t="shared" si="1"/>
        <v>415.26690794415191</v>
      </c>
      <c r="K4" s="111">
        <f t="shared" ref="K4:K9" si="2">(E4/$B22) *$C22</f>
        <v>558.25</v>
      </c>
      <c r="L4" s="111">
        <f t="shared" si="0"/>
        <v>0</v>
      </c>
      <c r="N4" s="60" t="s">
        <v>11</v>
      </c>
      <c r="O4" s="115">
        <v>43479</v>
      </c>
      <c r="P4" s="117" t="s">
        <v>118</v>
      </c>
      <c r="Q4" s="118">
        <v>30000</v>
      </c>
      <c r="R4" s="116"/>
      <c r="S4" s="108">
        <f>S3-Q4</f>
        <v>106517.57</v>
      </c>
    </row>
    <row r="5" spans="1:19" ht="15.75" customHeight="1" x14ac:dyDescent="0.2">
      <c r="A5" s="141">
        <v>43585</v>
      </c>
      <c r="B5" s="109">
        <f>'Apr2019'!N9</f>
        <v>74554.5972780804</v>
      </c>
      <c r="C5" s="109">
        <f>S25</f>
        <v>12318.762381840299</v>
      </c>
      <c r="D5" s="109">
        <f>S28</f>
        <v>107694.94034007929</v>
      </c>
      <c r="E5" s="110">
        <f>SUM(B5:D5)</f>
        <v>194568.3</v>
      </c>
      <c r="G5" s="141">
        <v>43585</v>
      </c>
      <c r="H5" s="111">
        <f>(B5/$B23) *$C$22</f>
        <v>213.90999423075797</v>
      </c>
      <c r="I5" s="111">
        <f t="shared" si="1"/>
        <v>59.074963539543837</v>
      </c>
      <c r="J5" s="111">
        <f t="shared" si="1"/>
        <v>516.4540460137606</v>
      </c>
      <c r="K5" s="111">
        <f t="shared" si="2"/>
        <v>676.7</v>
      </c>
      <c r="L5" s="111">
        <f t="shared" si="0"/>
        <v>0</v>
      </c>
      <c r="N5" s="60" t="s">
        <v>11</v>
      </c>
      <c r="O5" s="107">
        <v>43465</v>
      </c>
      <c r="P5" s="60" t="s">
        <v>140</v>
      </c>
      <c r="Q5" s="108">
        <v>0</v>
      </c>
      <c r="R5" s="108">
        <v>355.14</v>
      </c>
      <c r="S5" s="108">
        <f>S4+R5</f>
        <v>106872.71</v>
      </c>
    </row>
    <row r="6" spans="1:19" ht="15.75" customHeight="1" x14ac:dyDescent="0.2">
      <c r="A6" s="141">
        <v>43616</v>
      </c>
      <c r="B6" s="109">
        <f>B24-C6-D6</f>
        <v>25658.238268527086</v>
      </c>
      <c r="C6" s="109">
        <f>S32</f>
        <v>12513.147345379843</v>
      </c>
      <c r="D6" s="109">
        <f>S36</f>
        <v>106233.16438609306</v>
      </c>
      <c r="E6" s="110">
        <f>SUM(B6:D6)</f>
        <v>144404.54999999999</v>
      </c>
      <c r="G6" s="141">
        <v>43616</v>
      </c>
      <c r="H6" s="111">
        <f>(B6/$B24) *$C24</f>
        <v>97.036257397762142</v>
      </c>
      <c r="I6" s="111">
        <f t="shared" si="1"/>
        <v>48.4278119919286</v>
      </c>
      <c r="J6" s="111">
        <f t="shared" si="1"/>
        <v>411.13874632802799</v>
      </c>
      <c r="K6" s="111">
        <f t="shared" si="2"/>
        <v>546.12</v>
      </c>
      <c r="L6" s="111">
        <f t="shared" si="0"/>
        <v>0</v>
      </c>
      <c r="N6" s="60" t="s">
        <v>10</v>
      </c>
      <c r="O6" s="112">
        <v>43502</v>
      </c>
      <c r="P6" s="120" t="s">
        <v>109</v>
      </c>
      <c r="Q6" s="121">
        <v>1000</v>
      </c>
      <c r="R6" s="121">
        <v>0</v>
      </c>
      <c r="S6" s="121">
        <f>S2-Q6</f>
        <v>9000</v>
      </c>
    </row>
    <row r="7" spans="1:19" ht="15.75" customHeight="1" x14ac:dyDescent="0.2">
      <c r="A7" s="141">
        <v>43646</v>
      </c>
      <c r="B7" s="109">
        <v>25447.40452592486</v>
      </c>
      <c r="C7" s="109">
        <v>12652.967345379842</v>
      </c>
      <c r="D7" s="109">
        <v>69094.68313242108</v>
      </c>
      <c r="E7" s="110">
        <f t="shared" ref="E7:E12" si="3">SUM(B7:D7)</f>
        <v>107195.05500372578</v>
      </c>
      <c r="G7" s="141">
        <v>43646</v>
      </c>
      <c r="H7" s="111">
        <f>(B7/$B25) *$C25</f>
        <v>120.10446537182931</v>
      </c>
      <c r="I7" s="111">
        <f t="shared" ref="I7" si="4">(C7/$B$22) *$C25</f>
        <v>45.365220619762034</v>
      </c>
      <c r="J7" s="111">
        <f t="shared" ref="J7" si="5">(D7/$B$22) *$C25</f>
        <v>247.72809874510392</v>
      </c>
      <c r="K7" s="111">
        <f t="shared" si="2"/>
        <v>505.92997641901582</v>
      </c>
      <c r="L7" s="111">
        <f t="shared" si="0"/>
        <v>2.3580984191085008E-5</v>
      </c>
      <c r="N7" s="60" t="s">
        <v>11</v>
      </c>
      <c r="O7" s="115">
        <v>43502</v>
      </c>
      <c r="P7" s="60" t="s">
        <v>109</v>
      </c>
      <c r="Q7" s="108">
        <v>1000</v>
      </c>
      <c r="R7" s="108">
        <v>0</v>
      </c>
      <c r="S7" s="108">
        <f>S5-Q7</f>
        <v>105872.71</v>
      </c>
    </row>
    <row r="8" spans="1:19" ht="15.75" customHeight="1" x14ac:dyDescent="0.2">
      <c r="A8" s="141">
        <v>43677</v>
      </c>
      <c r="B8" s="109">
        <v>25326.98899129669</v>
      </c>
      <c r="C8" s="109">
        <v>12833.642565999604</v>
      </c>
      <c r="D8" s="109">
        <v>94225.168442703696</v>
      </c>
      <c r="E8" s="110">
        <f t="shared" si="3"/>
        <v>132385.79999999999</v>
      </c>
      <c r="G8" s="141">
        <v>43677</v>
      </c>
      <c r="H8" s="111">
        <f>(B8/$B26) *$C26</f>
        <v>91.163982799761754</v>
      </c>
      <c r="I8" s="111">
        <f t="shared" ref="I8" si="6">(C8/$B$22) *$C26</f>
        <v>43.338240987126994</v>
      </c>
      <c r="J8" s="111">
        <f t="shared" ref="J8" si="7">(D8/$B$22) *$C26</f>
        <v>318.19127235483052</v>
      </c>
      <c r="K8" s="111">
        <f t="shared" si="2"/>
        <v>476.52</v>
      </c>
      <c r="L8" s="111">
        <f>K8-C26</f>
        <v>0</v>
      </c>
      <c r="M8" s="109">
        <f>E8+K8</f>
        <v>132862.31999999998</v>
      </c>
      <c r="N8" s="60" t="s">
        <v>10</v>
      </c>
      <c r="O8" s="112">
        <v>43502</v>
      </c>
      <c r="P8" s="120" t="s">
        <v>110</v>
      </c>
      <c r="Q8" s="121">
        <v>80</v>
      </c>
      <c r="R8" s="121">
        <v>0</v>
      </c>
      <c r="S8" s="121">
        <f>S6-Q8</f>
        <v>8920</v>
      </c>
    </row>
    <row r="9" spans="1:19" ht="15.75" customHeight="1" x14ac:dyDescent="0.2">
      <c r="A9" s="141">
        <v>43708</v>
      </c>
      <c r="B9" s="109">
        <v>22088.802974096452</v>
      </c>
      <c r="C9" s="109">
        <v>13016.80080698673</v>
      </c>
      <c r="D9" s="109">
        <f>S60</f>
        <v>55547.719715058527</v>
      </c>
      <c r="E9" s="110">
        <f t="shared" si="3"/>
        <v>90653.323496141704</v>
      </c>
      <c r="G9" s="141">
        <v>43708</v>
      </c>
      <c r="H9" s="111">
        <f>($B9/$B27) *$C27</f>
        <v>112.72064552913683</v>
      </c>
      <c r="I9" s="111">
        <f>($C9/$B22) *$C27</f>
        <v>42.673619753860763</v>
      </c>
      <c r="J9" s="111">
        <f>($D9/$B22) *$C27</f>
        <v>182.10482778857036</v>
      </c>
      <c r="K9" s="111">
        <f t="shared" si="2"/>
        <v>462.61</v>
      </c>
      <c r="L9" s="111">
        <f>K9-C27</f>
        <v>0</v>
      </c>
      <c r="M9" s="109">
        <f>E9+K9</f>
        <v>91115.933496141704</v>
      </c>
      <c r="N9" s="60" t="s">
        <v>11</v>
      </c>
      <c r="O9" s="115">
        <v>43502</v>
      </c>
      <c r="P9" s="60" t="s">
        <v>110</v>
      </c>
      <c r="Q9" s="108">
        <v>80</v>
      </c>
      <c r="R9" s="108">
        <v>0</v>
      </c>
      <c r="S9" s="108">
        <f>S7-Q9</f>
        <v>105792.71</v>
      </c>
    </row>
    <row r="10" spans="1:19" ht="15.75" customHeight="1" x14ac:dyDescent="0.2">
      <c r="A10" s="141">
        <v>43738</v>
      </c>
      <c r="B10" s="72">
        <v>16006.183619625588</v>
      </c>
      <c r="C10" s="108">
        <v>13166.084426740592</v>
      </c>
      <c r="D10" s="109">
        <v>57166.657533269863</v>
      </c>
      <c r="E10" s="110">
        <f t="shared" si="3"/>
        <v>86338.925579636038</v>
      </c>
      <c r="G10" s="141">
        <v>43738</v>
      </c>
      <c r="H10" s="111">
        <f>($B10/$B28) *$C28</f>
        <v>57.240678673142412</v>
      </c>
      <c r="I10" s="111">
        <f>($C10/$B28) *$C28</f>
        <v>47.084028645683595</v>
      </c>
      <c r="J10" s="111">
        <f>($D10/$B28) *$C28</f>
        <v>204.43713207608573</v>
      </c>
      <c r="K10" s="111">
        <f>(E10/$B28) *$C28</f>
        <v>308.7618393949117</v>
      </c>
      <c r="L10" s="111">
        <f>K10-C28</f>
        <v>-1.1081606050883011</v>
      </c>
      <c r="M10" s="109">
        <f>E10+K10</f>
        <v>86647.687419030946</v>
      </c>
      <c r="N10" s="60" t="s">
        <v>11</v>
      </c>
      <c r="O10" s="115">
        <v>43449</v>
      </c>
      <c r="P10" s="60" t="s">
        <v>111</v>
      </c>
      <c r="Q10" s="108">
        <f>90*14</f>
        <v>1260</v>
      </c>
      <c r="R10" s="108">
        <v>0</v>
      </c>
      <c r="S10" s="108">
        <f>S9-Q10</f>
        <v>104532.71</v>
      </c>
    </row>
    <row r="11" spans="1:19" ht="15.75" customHeight="1" x14ac:dyDescent="0.2">
      <c r="A11" s="141">
        <v>43769</v>
      </c>
      <c r="B11" s="109">
        <v>-22523.58</v>
      </c>
      <c r="C11" s="109">
        <f>'OCT2019'!N8</f>
        <v>13316.344426740592</v>
      </c>
      <c r="D11" s="109">
        <f>'OCT2019'!N7</f>
        <v>57741.437533269869</v>
      </c>
      <c r="E11" s="110">
        <f t="shared" si="3"/>
        <v>48534.201960010461</v>
      </c>
      <c r="G11" s="141">
        <v>43769</v>
      </c>
      <c r="H11" s="111">
        <f>($B11/$B29) *$C29</f>
        <v>-89.454232755117431</v>
      </c>
      <c r="I11" s="111">
        <f>($C11/$B29) *$C29</f>
        <v>52.886946648666147</v>
      </c>
      <c r="J11" s="111">
        <f>($D11/$B29) *$C29</f>
        <v>229.32482281751822</v>
      </c>
      <c r="K11" s="111">
        <f>(E11/$B29) *$C29</f>
        <v>192.7575367110669</v>
      </c>
      <c r="L11" s="111">
        <f>K11-C29</f>
        <v>1.5975367110669083</v>
      </c>
      <c r="M11" s="109">
        <f t="shared" ref="M11:M12" si="8">E11+K11</f>
        <v>48726.959496721531</v>
      </c>
      <c r="N11" s="60" t="s">
        <v>11</v>
      </c>
      <c r="O11" s="115">
        <v>43483</v>
      </c>
      <c r="P11" s="60" t="s">
        <v>111</v>
      </c>
      <c r="Q11" s="108">
        <f>90*14-(7*8)</f>
        <v>1204</v>
      </c>
      <c r="R11" s="108">
        <v>0</v>
      </c>
      <c r="S11" s="108">
        <f t="shared" ref="S11:S12" si="9">S10-Q11</f>
        <v>103328.71</v>
      </c>
    </row>
    <row r="12" spans="1:19" ht="15.75" customHeight="1" x14ac:dyDescent="0.2">
      <c r="A12" s="141">
        <v>43799</v>
      </c>
      <c r="B12" s="109">
        <f>'Nov2019'!$N9</f>
        <v>-27898.840000000004</v>
      </c>
      <c r="C12" s="109">
        <f>'Nov2019'!$N8</f>
        <v>13475.841373389259</v>
      </c>
      <c r="D12" s="109">
        <f>'Nov2019'!$N7</f>
        <v>59036.956839447121</v>
      </c>
      <c r="E12" s="110">
        <f t="shared" si="3"/>
        <v>44613.958212836376</v>
      </c>
      <c r="G12" s="141">
        <v>43799</v>
      </c>
      <c r="H12" s="111">
        <f>($B12/$B30) *$C30</f>
        <v>-105.34457345638009</v>
      </c>
      <c r="I12" s="111">
        <f>($C12/$B30) *$C30</f>
        <v>50.884078386252995</v>
      </c>
      <c r="J12" s="111">
        <f>($D12/$B30) *$C30</f>
        <v>222.92048832188999</v>
      </c>
      <c r="K12" s="111">
        <f>(E12/$B30) *$C30</f>
        <v>168.45999325176291</v>
      </c>
      <c r="L12" s="111">
        <f>K12-C30</f>
        <v>-6.748237098008758E-6</v>
      </c>
      <c r="M12" s="109">
        <f t="shared" si="8"/>
        <v>44782.418206088136</v>
      </c>
      <c r="N12" s="60" t="s">
        <v>11</v>
      </c>
      <c r="O12" s="115">
        <v>43490</v>
      </c>
      <c r="P12" s="60" t="s">
        <v>112</v>
      </c>
      <c r="Q12" s="108">
        <f>90*12-(6*8)</f>
        <v>1032</v>
      </c>
      <c r="R12" s="108">
        <v>0</v>
      </c>
      <c r="S12" s="108">
        <f t="shared" si="9"/>
        <v>102296.71</v>
      </c>
    </row>
    <row r="13" spans="1:19" ht="15.75" customHeight="1" x14ac:dyDescent="0.2">
      <c r="A13" s="141">
        <v>43830</v>
      </c>
      <c r="G13" s="141">
        <v>43830</v>
      </c>
      <c r="N13" s="60" t="s">
        <v>10</v>
      </c>
      <c r="O13" s="122">
        <v>43496</v>
      </c>
      <c r="P13" s="120" t="s">
        <v>140</v>
      </c>
      <c r="Q13" s="121">
        <v>0</v>
      </c>
      <c r="R13" s="121">
        <f>I2</f>
        <v>42.657820581281022</v>
      </c>
      <c r="S13" s="121">
        <f>S8+R13</f>
        <v>8962.6578205812802</v>
      </c>
    </row>
    <row r="14" spans="1:19" ht="15.75" customHeight="1" x14ac:dyDescent="0.2">
      <c r="A14" s="119"/>
      <c r="H14" s="109"/>
      <c r="I14" s="109"/>
      <c r="J14" s="109"/>
      <c r="K14" s="109"/>
      <c r="N14" s="60" t="s">
        <v>11</v>
      </c>
      <c r="O14" s="123">
        <v>43496</v>
      </c>
      <c r="P14" s="60" t="s">
        <v>140</v>
      </c>
      <c r="Q14" s="108">
        <v>0</v>
      </c>
      <c r="R14" s="108">
        <f>J2</f>
        <v>454.38073898140419</v>
      </c>
      <c r="S14" s="108">
        <f>S12+R14</f>
        <v>102751.09073898141</v>
      </c>
    </row>
    <row r="15" spans="1:19" ht="15.75" customHeight="1" x14ac:dyDescent="0.2">
      <c r="N15" s="60" t="s">
        <v>10</v>
      </c>
      <c r="O15" s="122">
        <v>43501</v>
      </c>
      <c r="P15" s="120" t="s">
        <v>122</v>
      </c>
      <c r="Q15" s="121">
        <v>0</v>
      </c>
      <c r="R15" s="121">
        <v>3000</v>
      </c>
      <c r="S15" s="121">
        <f>S13+R15</f>
        <v>11962.65782058128</v>
      </c>
    </row>
    <row r="16" spans="1:19" ht="15.75" customHeight="1" x14ac:dyDescent="0.2">
      <c r="N16" s="60" t="s">
        <v>10</v>
      </c>
      <c r="O16" s="122">
        <v>43524</v>
      </c>
      <c r="P16" s="120" t="s">
        <v>140</v>
      </c>
      <c r="Q16" s="121">
        <v>0</v>
      </c>
      <c r="R16" s="121">
        <f>I3</f>
        <v>42.50076980470218</v>
      </c>
      <c r="S16" s="124">
        <f>S15+R16</f>
        <v>12005.158590385983</v>
      </c>
    </row>
    <row r="17" spans="1:22" ht="15.75" customHeight="1" x14ac:dyDescent="0.2">
      <c r="A17" s="105" t="s">
        <v>56</v>
      </c>
      <c r="B17" s="105" t="s">
        <v>13</v>
      </c>
      <c r="C17" s="105" t="s">
        <v>14</v>
      </c>
      <c r="N17" s="60" t="s">
        <v>11</v>
      </c>
      <c r="O17" s="123">
        <v>43524</v>
      </c>
      <c r="P17" s="60" t="s">
        <v>140</v>
      </c>
      <c r="Q17" s="108">
        <v>0</v>
      </c>
      <c r="R17" s="108">
        <f>J3</f>
        <v>365.05269315371231</v>
      </c>
      <c r="S17" s="108">
        <f>S14+R17</f>
        <v>103116.14343213513</v>
      </c>
    </row>
    <row r="18" spans="1:22" ht="15.75" customHeight="1" x14ac:dyDescent="0.2">
      <c r="A18" s="141">
        <v>43465</v>
      </c>
      <c r="B18" s="62">
        <v>37990.160000000003</v>
      </c>
      <c r="C18" s="60">
        <v>139.88</v>
      </c>
      <c r="N18" s="60" t="s">
        <v>11</v>
      </c>
      <c r="O18" s="123">
        <v>43528</v>
      </c>
      <c r="P18" s="60" t="s">
        <v>139</v>
      </c>
      <c r="Q18" s="108">
        <v>0</v>
      </c>
      <c r="R18" s="108">
        <v>1852.21</v>
      </c>
      <c r="S18" s="126">
        <f>S17+R18</f>
        <v>104968.35343213513</v>
      </c>
    </row>
    <row r="19" spans="1:22" ht="15.75" customHeight="1" x14ac:dyDescent="0.2">
      <c r="A19" s="141">
        <v>43465</v>
      </c>
      <c r="B19" s="60">
        <v>177579.61</v>
      </c>
      <c r="C19" s="117">
        <v>495.02</v>
      </c>
      <c r="N19" s="60" t="s">
        <v>10</v>
      </c>
      <c r="O19" s="122">
        <v>43555</v>
      </c>
      <c r="P19" s="120" t="s">
        <v>140</v>
      </c>
      <c r="Q19" s="121">
        <v>0</v>
      </c>
      <c r="R19" s="121">
        <f>I4</f>
        <v>47.493791454315996</v>
      </c>
      <c r="S19" s="124">
        <f>S16+R19</f>
        <v>12052.652381840298</v>
      </c>
    </row>
    <row r="20" spans="1:22" ht="15.75" customHeight="1" x14ac:dyDescent="0.2">
      <c r="A20" s="141">
        <v>43496</v>
      </c>
      <c r="B20" s="60">
        <v>147886.13</v>
      </c>
      <c r="C20" s="60">
        <v>630.85</v>
      </c>
      <c r="N20" s="60" t="s">
        <v>11</v>
      </c>
      <c r="O20" s="123">
        <v>43555</v>
      </c>
      <c r="P20" s="60" t="s">
        <v>140</v>
      </c>
      <c r="Q20" s="108">
        <v>0</v>
      </c>
      <c r="R20" s="108">
        <f>J4</f>
        <v>415.26690794415191</v>
      </c>
      <c r="S20" s="126">
        <f>S18+R20</f>
        <v>105383.62034007929</v>
      </c>
    </row>
    <row r="21" spans="1:22" ht="15.75" customHeight="1" x14ac:dyDescent="0.2">
      <c r="A21" s="141">
        <v>43524</v>
      </c>
      <c r="B21" s="60">
        <v>143948.98000000001</v>
      </c>
      <c r="C21" s="60">
        <v>511.42</v>
      </c>
      <c r="N21" s="60" t="s">
        <v>10</v>
      </c>
      <c r="O21" s="122">
        <v>43564</v>
      </c>
      <c r="P21" s="120" t="s">
        <v>174</v>
      </c>
      <c r="Q21" s="121">
        <v>0</v>
      </c>
      <c r="R21" s="121">
        <v>126.28</v>
      </c>
      <c r="S21" s="124">
        <f>S19+R21</f>
        <v>12178.932381840299</v>
      </c>
    </row>
    <row r="22" spans="1:22" ht="15.75" customHeight="1" x14ac:dyDescent="0.2">
      <c r="A22" s="141">
        <v>43555</v>
      </c>
      <c r="B22" s="60">
        <v>141110.65</v>
      </c>
      <c r="C22" s="60">
        <v>558.25</v>
      </c>
      <c r="N22" s="60" t="s">
        <v>11</v>
      </c>
      <c r="O22" s="123">
        <v>43564</v>
      </c>
      <c r="P22" s="60" t="s">
        <v>174</v>
      </c>
      <c r="Q22" s="108">
        <v>0</v>
      </c>
      <c r="R22" s="108">
        <v>3061.97</v>
      </c>
      <c r="S22" s="126">
        <f>S20+R22</f>
        <v>108445.59034007929</v>
      </c>
    </row>
    <row r="23" spans="1:22" ht="15.75" customHeight="1" x14ac:dyDescent="0.2">
      <c r="A23" s="141">
        <v>43585</v>
      </c>
      <c r="B23" s="60">
        <v>194568.3</v>
      </c>
      <c r="C23" s="60">
        <v>676.7</v>
      </c>
      <c r="N23" s="60" t="s">
        <v>11</v>
      </c>
      <c r="O23" s="123">
        <v>43566</v>
      </c>
      <c r="P23" s="60" t="s">
        <v>185</v>
      </c>
      <c r="Q23" s="108">
        <v>0</v>
      </c>
      <c r="R23" s="108">
        <v>512.88</v>
      </c>
      <c r="S23" s="126">
        <f>S22+R23-Q23</f>
        <v>108958.47034007929</v>
      </c>
    </row>
    <row r="24" spans="1:22" ht="15.75" customHeight="1" x14ac:dyDescent="0.2">
      <c r="A24" s="141">
        <v>43616</v>
      </c>
      <c r="B24" s="132">
        <v>144404.54999999999</v>
      </c>
      <c r="C24" s="60">
        <v>546.12</v>
      </c>
      <c r="N24" s="60" t="s">
        <v>11</v>
      </c>
      <c r="O24" s="123">
        <v>43569</v>
      </c>
      <c r="P24" s="60" t="s">
        <v>186</v>
      </c>
      <c r="Q24" s="108">
        <v>427</v>
      </c>
      <c r="R24" s="108">
        <v>0</v>
      </c>
      <c r="S24" s="126">
        <f>S23+R24-Q24</f>
        <v>108531.47034007929</v>
      </c>
    </row>
    <row r="25" spans="1:22" ht="15.75" customHeight="1" x14ac:dyDescent="0.2">
      <c r="A25" s="141">
        <v>43646</v>
      </c>
      <c r="B25" s="108">
        <v>107195.06</v>
      </c>
      <c r="C25" s="216">
        <v>505.93</v>
      </c>
      <c r="G25" s="125"/>
      <c r="H25" s="125"/>
      <c r="I25" s="125"/>
      <c r="J25" s="125"/>
      <c r="K25" s="125"/>
      <c r="L25" s="125"/>
      <c r="M25" s="125"/>
      <c r="N25" s="60" t="s">
        <v>10</v>
      </c>
      <c r="O25" s="122">
        <v>43570</v>
      </c>
      <c r="P25" s="120" t="s">
        <v>189</v>
      </c>
      <c r="Q25" s="121">
        <v>0</v>
      </c>
      <c r="R25" s="121">
        <f>101.92+37.91</f>
        <v>139.82999999999998</v>
      </c>
      <c r="S25" s="124">
        <f>S21+R25-Q25</f>
        <v>12318.762381840299</v>
      </c>
    </row>
    <row r="26" spans="1:22" ht="15.75" customHeight="1" x14ac:dyDescent="0.2">
      <c r="A26" s="141">
        <v>43677</v>
      </c>
      <c r="B26" s="235">
        <v>132385.79999999999</v>
      </c>
      <c r="C26" s="239">
        <v>476.52</v>
      </c>
      <c r="G26" s="111"/>
      <c r="H26" s="111"/>
      <c r="I26" s="111"/>
      <c r="J26" s="111"/>
      <c r="K26" s="111"/>
      <c r="L26" s="111"/>
      <c r="M26" s="111"/>
      <c r="N26" s="60" t="s">
        <v>11</v>
      </c>
      <c r="O26" s="123">
        <v>43564</v>
      </c>
      <c r="P26" s="60" t="s">
        <v>207</v>
      </c>
      <c r="Q26" s="108">
        <v>0</v>
      </c>
      <c r="R26" s="108">
        <v>826.47</v>
      </c>
      <c r="S26" s="126">
        <f>S24+R26</f>
        <v>109357.94034007929</v>
      </c>
    </row>
    <row r="27" spans="1:22" ht="15.75" customHeight="1" x14ac:dyDescent="0.2">
      <c r="A27" s="141">
        <v>43708</v>
      </c>
      <c r="B27" s="132">
        <v>90653.323496141704</v>
      </c>
      <c r="C27" s="60">
        <v>462.61</v>
      </c>
      <c r="G27" s="111"/>
      <c r="H27" s="111"/>
      <c r="I27" s="111"/>
      <c r="J27" s="111"/>
      <c r="K27" s="111"/>
      <c r="L27" s="111"/>
      <c r="N27" s="60" t="s">
        <v>11</v>
      </c>
      <c r="O27" s="123">
        <v>43578</v>
      </c>
      <c r="P27" s="60" t="s">
        <v>215</v>
      </c>
      <c r="Q27" s="108">
        <f>(90*12)+(27*4)</f>
        <v>1188</v>
      </c>
      <c r="R27" s="108">
        <v>0</v>
      </c>
      <c r="S27" s="126">
        <f>S26-Q27+R27</f>
        <v>108169.94034007929</v>
      </c>
      <c r="U27" s="109">
        <f>191043.3-S27-S25</f>
        <v>70554.5972780804</v>
      </c>
      <c r="V27" s="109">
        <f>U27-'Apr2019'!V18</f>
        <v>-4000</v>
      </c>
    </row>
    <row r="28" spans="1:22" ht="15.75" customHeight="1" x14ac:dyDescent="0.2">
      <c r="A28" s="141">
        <v>43738</v>
      </c>
      <c r="B28" s="60">
        <v>86648.799999999974</v>
      </c>
      <c r="C28" s="60">
        <v>309.87</v>
      </c>
      <c r="N28" s="60" t="s">
        <v>11</v>
      </c>
      <c r="O28" s="123">
        <v>43581</v>
      </c>
      <c r="P28" s="108" t="s">
        <v>228</v>
      </c>
      <c r="Q28" s="108">
        <v>475</v>
      </c>
      <c r="R28" s="108">
        <v>0</v>
      </c>
      <c r="S28" s="126">
        <f>S27-Q28+R28</f>
        <v>107694.94034007929</v>
      </c>
    </row>
    <row r="29" spans="1:22" ht="15.75" customHeight="1" x14ac:dyDescent="0.2">
      <c r="A29" s="141">
        <v>43769</v>
      </c>
      <c r="B29" s="60">
        <v>48131.959999999977</v>
      </c>
      <c r="C29" s="60">
        <v>191.16</v>
      </c>
      <c r="N29" s="60" t="s">
        <v>10</v>
      </c>
      <c r="O29" s="122">
        <v>43585</v>
      </c>
      <c r="P29" s="120" t="s">
        <v>140</v>
      </c>
      <c r="Q29" s="121">
        <v>0</v>
      </c>
      <c r="R29" s="121">
        <f>I5</f>
        <v>59.074963539543837</v>
      </c>
      <c r="S29" s="124">
        <f>S25+R29-Q29</f>
        <v>12377.837345379843</v>
      </c>
    </row>
    <row r="30" spans="1:22" ht="15.75" customHeight="1" x14ac:dyDescent="0.2">
      <c r="A30" s="141">
        <v>43799</v>
      </c>
      <c r="B30" s="60">
        <v>44613.959999999977</v>
      </c>
      <c r="C30" s="60">
        <v>168.46</v>
      </c>
      <c r="N30" s="60" t="s">
        <v>11</v>
      </c>
      <c r="O30" s="123">
        <v>43585</v>
      </c>
      <c r="P30" s="60" t="s">
        <v>140</v>
      </c>
      <c r="Q30" s="108">
        <v>0</v>
      </c>
      <c r="R30" s="108">
        <f>J5</f>
        <v>516.4540460137606</v>
      </c>
      <c r="S30" s="126">
        <f>S28-Q30+R30</f>
        <v>108211.39438609306</v>
      </c>
    </row>
    <row r="31" spans="1:22" ht="15.75" customHeight="1" x14ac:dyDescent="0.2">
      <c r="A31" s="141">
        <v>43830</v>
      </c>
      <c r="N31" s="60" t="s">
        <v>11</v>
      </c>
      <c r="O31" s="123">
        <v>43591</v>
      </c>
      <c r="P31" s="71" t="s">
        <v>232</v>
      </c>
      <c r="Q31" s="108">
        <v>300</v>
      </c>
      <c r="R31" s="108">
        <v>0</v>
      </c>
      <c r="S31" s="126">
        <f>S30-Q31+R31</f>
        <v>107911.39438609306</v>
      </c>
    </row>
    <row r="32" spans="1:22" ht="15.75" customHeight="1" x14ac:dyDescent="0.2">
      <c r="N32" s="60" t="s">
        <v>10</v>
      </c>
      <c r="O32" s="122">
        <v>43599</v>
      </c>
      <c r="P32" s="120" t="s">
        <v>245</v>
      </c>
      <c r="Q32" s="121">
        <v>0</v>
      </c>
      <c r="R32" s="121">
        <v>135.31</v>
      </c>
      <c r="S32" s="124">
        <f>S29+R32-Q32</f>
        <v>12513.147345379843</v>
      </c>
    </row>
    <row r="33" spans="14:19" ht="15.75" customHeight="1" x14ac:dyDescent="0.2">
      <c r="N33" s="60" t="s">
        <v>11</v>
      </c>
      <c r="O33" s="123">
        <v>43599</v>
      </c>
      <c r="P33" s="60" t="s">
        <v>140</v>
      </c>
      <c r="Q33" s="108">
        <v>0</v>
      </c>
      <c r="R33" s="108">
        <v>496.32</v>
      </c>
      <c r="S33" s="126">
        <f>S31-Q33+R33</f>
        <v>108407.71438609307</v>
      </c>
    </row>
    <row r="34" spans="14:19" ht="15.75" customHeight="1" x14ac:dyDescent="0.2">
      <c r="N34" s="60" t="s">
        <v>11</v>
      </c>
      <c r="O34" s="123">
        <v>43606</v>
      </c>
      <c r="P34" s="60" t="s">
        <v>207</v>
      </c>
      <c r="Q34" s="108">
        <v>0</v>
      </c>
      <c r="R34" s="108">
        <v>799.8</v>
      </c>
      <c r="S34" s="126">
        <f>S33+R34-Q34</f>
        <v>109207.51438609307</v>
      </c>
    </row>
    <row r="35" spans="14:19" ht="15.75" customHeight="1" x14ac:dyDescent="0.2">
      <c r="N35" s="60" t="s">
        <v>11</v>
      </c>
      <c r="O35" s="123">
        <v>43595</v>
      </c>
      <c r="P35" s="60" t="s">
        <v>260</v>
      </c>
      <c r="Q35" s="108">
        <v>1241.3499999999999</v>
      </c>
      <c r="R35" s="108">
        <v>0</v>
      </c>
      <c r="S35" s="126">
        <f t="shared" ref="S35:S36" si="10">S34+R35-Q35</f>
        <v>107966.16438609306</v>
      </c>
    </row>
    <row r="36" spans="14:19" ht="15.75" customHeight="1" x14ac:dyDescent="0.2">
      <c r="N36" s="60" t="s">
        <v>11</v>
      </c>
      <c r="O36" s="123">
        <v>43605</v>
      </c>
      <c r="P36" s="60" t="s">
        <v>261</v>
      </c>
      <c r="Q36" s="108">
        <v>1733</v>
      </c>
      <c r="R36" s="108">
        <v>0</v>
      </c>
      <c r="S36" s="126">
        <f t="shared" si="10"/>
        <v>106233.16438609306</v>
      </c>
    </row>
    <row r="37" spans="14:19" ht="15.75" customHeight="1" x14ac:dyDescent="0.2">
      <c r="N37" s="60" t="s">
        <v>10</v>
      </c>
      <c r="O37" s="122">
        <v>43616</v>
      </c>
      <c r="P37" s="120" t="s">
        <v>140</v>
      </c>
      <c r="Q37" s="121">
        <v>0</v>
      </c>
      <c r="R37" s="121">
        <f>I6</f>
        <v>48.4278119919286</v>
      </c>
      <c r="S37" s="121">
        <f>S32+R37</f>
        <v>12561.575157371772</v>
      </c>
    </row>
    <row r="38" spans="14:19" ht="15.75" customHeight="1" x14ac:dyDescent="0.2">
      <c r="N38" s="60" t="s">
        <v>11</v>
      </c>
      <c r="O38" s="123">
        <v>43616</v>
      </c>
      <c r="P38" s="60" t="s">
        <v>140</v>
      </c>
      <c r="Q38" s="108">
        <v>0</v>
      </c>
      <c r="R38" s="108">
        <f>J6</f>
        <v>411.13874632802799</v>
      </c>
      <c r="S38" s="126">
        <f>S36+R38</f>
        <v>106644.30313242109</v>
      </c>
    </row>
    <row r="39" spans="14:19" ht="15.75" customHeight="1" x14ac:dyDescent="0.2">
      <c r="N39" s="60" t="s">
        <v>10</v>
      </c>
      <c r="O39" s="122">
        <v>43634</v>
      </c>
      <c r="P39" s="120" t="s">
        <v>269</v>
      </c>
      <c r="Q39" s="121">
        <v>0</v>
      </c>
      <c r="R39" s="121">
        <f>101.92+37.9</f>
        <v>139.82</v>
      </c>
      <c r="S39" s="124">
        <f>S32+R39-Q39</f>
        <v>12652.967345379842</v>
      </c>
    </row>
    <row r="40" spans="14:19" ht="15.75" customHeight="1" x14ac:dyDescent="0.2">
      <c r="N40" s="60" t="s">
        <v>11</v>
      </c>
      <c r="O40" s="123">
        <v>43634</v>
      </c>
      <c r="P40" s="60" t="s">
        <v>268</v>
      </c>
      <c r="Q40" s="108">
        <v>0</v>
      </c>
      <c r="R40" s="108">
        <v>512.87</v>
      </c>
      <c r="S40" s="126">
        <f>S38+R40-Q40</f>
        <v>107157.17313242109</v>
      </c>
    </row>
    <row r="41" spans="14:19" ht="15.75" customHeight="1" x14ac:dyDescent="0.2">
      <c r="N41" s="60" t="s">
        <v>11</v>
      </c>
      <c r="O41" s="123">
        <v>43640</v>
      </c>
      <c r="P41" s="60" t="s">
        <v>279</v>
      </c>
      <c r="Q41" s="108">
        <v>0</v>
      </c>
      <c r="R41" s="108">
        <v>826.51</v>
      </c>
      <c r="S41" s="126">
        <f>S40+R41-Q41</f>
        <v>107983.68313242108</v>
      </c>
    </row>
    <row r="42" spans="14:19" ht="15.75" customHeight="1" x14ac:dyDescent="0.2">
      <c r="N42" s="60" t="s">
        <v>11</v>
      </c>
      <c r="O42" s="123">
        <v>43644</v>
      </c>
      <c r="P42" s="208" t="s">
        <v>285</v>
      </c>
      <c r="Q42" s="108">
        <v>30000</v>
      </c>
      <c r="R42" s="108">
        <v>0</v>
      </c>
      <c r="S42" s="126">
        <f>S41+R42-Q42</f>
        <v>77983.68313242108</v>
      </c>
    </row>
    <row r="43" spans="14:19" ht="15.75" customHeight="1" x14ac:dyDescent="0.2">
      <c r="N43" s="60" t="s">
        <v>11</v>
      </c>
      <c r="O43" s="123">
        <v>43644</v>
      </c>
      <c r="P43" s="209" t="s">
        <v>286</v>
      </c>
      <c r="Q43" s="108">
        <v>0.5</v>
      </c>
      <c r="R43" s="108">
        <v>0</v>
      </c>
      <c r="S43" s="126">
        <f t="shared" ref="S43:S46" si="11">S42+R43-Q43</f>
        <v>77983.18313242108</v>
      </c>
    </row>
    <row r="44" spans="14:19" ht="15.75" customHeight="1" x14ac:dyDescent="0.2">
      <c r="N44" s="60" t="s">
        <v>11</v>
      </c>
      <c r="O44" s="123">
        <v>43646</v>
      </c>
      <c r="P44" s="210" t="s">
        <v>288</v>
      </c>
      <c r="Q44" s="108">
        <v>8888</v>
      </c>
      <c r="R44" s="108">
        <v>0</v>
      </c>
      <c r="S44" s="126">
        <f t="shared" si="11"/>
        <v>69095.18313242108</v>
      </c>
    </row>
    <row r="45" spans="14:19" ht="15.75" customHeight="1" x14ac:dyDescent="0.2">
      <c r="N45" s="60" t="s">
        <v>11</v>
      </c>
      <c r="O45" s="123">
        <v>43646</v>
      </c>
      <c r="P45" s="211" t="s">
        <v>289</v>
      </c>
      <c r="Q45" s="108">
        <v>0.5</v>
      </c>
      <c r="R45" s="108">
        <v>0</v>
      </c>
      <c r="S45" s="126">
        <f t="shared" si="11"/>
        <v>69094.68313242108</v>
      </c>
    </row>
    <row r="46" spans="14:19" ht="15.75" customHeight="1" x14ac:dyDescent="0.2">
      <c r="N46" s="60" t="s">
        <v>11</v>
      </c>
      <c r="O46" s="123">
        <v>43647</v>
      </c>
      <c r="P46" s="60" t="s">
        <v>140</v>
      </c>
      <c r="Q46" s="108">
        <v>0</v>
      </c>
      <c r="R46" s="108">
        <f>J7</f>
        <v>247.72809874510392</v>
      </c>
      <c r="S46" s="126">
        <f t="shared" si="11"/>
        <v>69342.411231166188</v>
      </c>
    </row>
    <row r="47" spans="14:19" ht="15.75" customHeight="1" x14ac:dyDescent="0.2">
      <c r="N47" s="60" t="s">
        <v>10</v>
      </c>
      <c r="O47" s="122">
        <v>43647</v>
      </c>
      <c r="P47" s="120" t="s">
        <v>140</v>
      </c>
      <c r="Q47" s="121">
        <v>0</v>
      </c>
      <c r="R47" s="121">
        <f>I7</f>
        <v>45.365220619762034</v>
      </c>
      <c r="S47" s="124">
        <f>S39+R47-Q47</f>
        <v>12698.332565999604</v>
      </c>
    </row>
    <row r="48" spans="14:19" ht="15.75" customHeight="1" x14ac:dyDescent="0.2">
      <c r="N48" s="60" t="s">
        <v>11</v>
      </c>
      <c r="O48" s="123">
        <v>43647</v>
      </c>
      <c r="P48" s="60" t="s">
        <v>295</v>
      </c>
      <c r="Q48" s="108">
        <v>0</v>
      </c>
      <c r="R48" s="108">
        <v>92.737211537503754</v>
      </c>
      <c r="S48" s="126">
        <f>S46+R48-Q48</f>
        <v>69435.148442703692</v>
      </c>
    </row>
    <row r="49" spans="14:19" ht="15.75" customHeight="1" x14ac:dyDescent="0.2">
      <c r="N49" s="60" t="s">
        <v>11</v>
      </c>
      <c r="O49" s="123">
        <v>43649</v>
      </c>
      <c r="P49" s="60" t="s">
        <v>296</v>
      </c>
      <c r="Q49" s="108">
        <v>0</v>
      </c>
      <c r="R49" s="108">
        <v>20000</v>
      </c>
      <c r="S49" s="126">
        <f>S48+R49-Q49</f>
        <v>89435.148442703692</v>
      </c>
    </row>
    <row r="50" spans="14:19" ht="15.75" customHeight="1" x14ac:dyDescent="0.2">
      <c r="N50" s="60" t="s">
        <v>11</v>
      </c>
      <c r="O50" s="123">
        <v>43654</v>
      </c>
      <c r="P50" s="224" t="s">
        <v>302</v>
      </c>
      <c r="Q50" s="268">
        <v>0</v>
      </c>
      <c r="R50" s="268">
        <v>3621</v>
      </c>
      <c r="S50" s="126">
        <f>S49+R50-Q50</f>
        <v>93056.148442703692</v>
      </c>
    </row>
    <row r="51" spans="14:19" ht="15.75" customHeight="1" x14ac:dyDescent="0.2">
      <c r="N51" s="60" t="s">
        <v>11</v>
      </c>
      <c r="O51" s="123">
        <v>43655</v>
      </c>
      <c r="P51" s="60" t="s">
        <v>304</v>
      </c>
      <c r="Q51" s="268">
        <v>0</v>
      </c>
      <c r="R51" s="108">
        <v>369.21</v>
      </c>
      <c r="S51" s="126">
        <f>S50+R51-Q51</f>
        <v>93425.358442703699</v>
      </c>
    </row>
    <row r="52" spans="14:19" ht="15.75" customHeight="1" x14ac:dyDescent="0.2">
      <c r="N52" s="60" t="s">
        <v>10</v>
      </c>
      <c r="O52" s="122">
        <v>43658</v>
      </c>
      <c r="P52" s="120" t="s">
        <v>245</v>
      </c>
      <c r="Q52" s="121">
        <v>0</v>
      </c>
      <c r="R52" s="121">
        <v>135.31</v>
      </c>
      <c r="S52" s="124">
        <f>S47+R52-Q52</f>
        <v>12833.642565999604</v>
      </c>
    </row>
    <row r="53" spans="14:19" ht="15.75" customHeight="1" x14ac:dyDescent="0.2">
      <c r="N53" s="60" t="s">
        <v>11</v>
      </c>
      <c r="O53" s="123">
        <v>43670</v>
      </c>
      <c r="P53" s="60" t="s">
        <v>313</v>
      </c>
      <c r="Q53" s="108">
        <v>0</v>
      </c>
      <c r="R53" s="108">
        <v>799.81</v>
      </c>
      <c r="S53" s="126">
        <f>S51+R53-Q53</f>
        <v>94225.168442703696</v>
      </c>
    </row>
    <row r="54" spans="14:19" ht="15.75" customHeight="1" x14ac:dyDescent="0.2">
      <c r="N54" s="60" t="s">
        <v>10</v>
      </c>
      <c r="O54" s="122">
        <v>43678</v>
      </c>
      <c r="P54" s="120" t="s">
        <v>140</v>
      </c>
      <c r="Q54" s="121">
        <v>0</v>
      </c>
      <c r="R54" s="121">
        <v>43.338240987126994</v>
      </c>
      <c r="S54" s="124">
        <f>S52+R54-Q54</f>
        <v>12876.98080698673</v>
      </c>
    </row>
    <row r="55" spans="14:19" ht="15.75" customHeight="1" x14ac:dyDescent="0.2">
      <c r="N55" s="60" t="s">
        <v>11</v>
      </c>
      <c r="O55" s="123">
        <v>43678</v>
      </c>
      <c r="P55" s="60" t="s">
        <v>140</v>
      </c>
      <c r="Q55" s="108">
        <v>0</v>
      </c>
      <c r="R55" s="108">
        <f>318.191272354831 + 23.83</f>
        <v>342.02127235483101</v>
      </c>
      <c r="S55" s="126">
        <f>S53+R55-Q55</f>
        <v>94567.189715058528</v>
      </c>
    </row>
    <row r="56" spans="14:19" ht="15.75" customHeight="1" x14ac:dyDescent="0.2">
      <c r="N56" s="60" t="s">
        <v>11</v>
      </c>
      <c r="O56" s="123">
        <v>43686</v>
      </c>
      <c r="P56" s="60" t="s">
        <v>355</v>
      </c>
      <c r="Q56" s="268">
        <v>0</v>
      </c>
      <c r="R56" s="108">
        <v>381.53</v>
      </c>
      <c r="S56" s="126">
        <f>S55+R56-Q56</f>
        <v>94948.719715058527</v>
      </c>
    </row>
    <row r="57" spans="14:19" ht="15.75" customHeight="1" x14ac:dyDescent="0.2">
      <c r="N57" s="60" t="s">
        <v>10</v>
      </c>
      <c r="O57" s="122">
        <v>43689</v>
      </c>
      <c r="P57" s="120" t="s">
        <v>245</v>
      </c>
      <c r="Q57" s="121">
        <v>0</v>
      </c>
      <c r="R57" s="121">
        <v>139.82</v>
      </c>
      <c r="S57" s="124">
        <f>S54+R57-Q57</f>
        <v>13016.80080698673</v>
      </c>
    </row>
    <row r="58" spans="14:19" ht="15.75" customHeight="1" x14ac:dyDescent="0.2">
      <c r="N58" s="60" t="s">
        <v>11</v>
      </c>
      <c r="O58" s="123">
        <v>43703</v>
      </c>
      <c r="P58" s="60" t="s">
        <v>332</v>
      </c>
      <c r="Q58" s="111">
        <v>30000.5</v>
      </c>
      <c r="R58" s="60">
        <v>0</v>
      </c>
      <c r="S58" s="126">
        <f>S56-Q58+R58</f>
        <v>64948.219715058527</v>
      </c>
    </row>
    <row r="59" spans="14:19" ht="15.75" customHeight="1" x14ac:dyDescent="0.2">
      <c r="N59" s="60" t="s">
        <v>11</v>
      </c>
      <c r="O59" s="123">
        <v>43704</v>
      </c>
      <c r="P59" s="60" t="s">
        <v>333</v>
      </c>
      <c r="Q59" s="111">
        <v>10000.5</v>
      </c>
      <c r="R59" s="60">
        <v>0</v>
      </c>
      <c r="S59" s="126">
        <f>S58-Q59+R59</f>
        <v>54947.719715058527</v>
      </c>
    </row>
    <row r="60" spans="14:19" ht="15.75" customHeight="1" x14ac:dyDescent="0.2">
      <c r="N60" s="60" t="s">
        <v>11</v>
      </c>
      <c r="O60" s="123">
        <v>43704</v>
      </c>
      <c r="P60" s="60" t="s">
        <v>340</v>
      </c>
      <c r="Q60" s="108">
        <v>0</v>
      </c>
      <c r="R60" s="60">
        <v>600</v>
      </c>
      <c r="S60" s="126">
        <f>S59+R60</f>
        <v>55547.719715058527</v>
      </c>
    </row>
    <row r="61" spans="14:19" ht="15.75" customHeight="1" x14ac:dyDescent="0.2">
      <c r="N61" s="60" t="s">
        <v>10</v>
      </c>
      <c r="O61" s="122">
        <v>43709</v>
      </c>
      <c r="P61" s="120" t="s">
        <v>140</v>
      </c>
      <c r="Q61" s="121">
        <v>0</v>
      </c>
      <c r="R61" s="121">
        <v>42.673619753860763</v>
      </c>
      <c r="S61" s="124">
        <f>S57+R61</f>
        <v>13059.474426740591</v>
      </c>
    </row>
    <row r="62" spans="14:19" ht="15.75" customHeight="1" x14ac:dyDescent="0.2">
      <c r="N62" s="60" t="s">
        <v>11</v>
      </c>
      <c r="O62" s="123">
        <v>43709</v>
      </c>
      <c r="P62" s="60" t="s">
        <v>140</v>
      </c>
      <c r="Q62" s="108">
        <v>0</v>
      </c>
      <c r="R62" s="108">
        <v>180.13781821133435</v>
      </c>
      <c r="S62" s="126">
        <f>S60+R62-Q62</f>
        <v>55727.85753326986</v>
      </c>
    </row>
    <row r="63" spans="14:19" ht="15.75" customHeight="1" x14ac:dyDescent="0.2">
      <c r="N63" s="60" t="s">
        <v>11</v>
      </c>
      <c r="O63" s="123">
        <v>43709</v>
      </c>
      <c r="P63" s="60" t="s">
        <v>338</v>
      </c>
      <c r="Q63" s="108">
        <v>0</v>
      </c>
      <c r="R63" s="60">
        <v>127.07</v>
      </c>
      <c r="S63" s="126">
        <f>S62+R63-Q63</f>
        <v>55854.92753326986</v>
      </c>
    </row>
    <row r="64" spans="14:19" ht="15.75" customHeight="1" x14ac:dyDescent="0.2">
      <c r="N64" s="60" t="s">
        <v>11</v>
      </c>
      <c r="O64" s="123">
        <v>43721</v>
      </c>
      <c r="P64" s="60" t="s">
        <v>347</v>
      </c>
      <c r="Q64" s="108">
        <v>0</v>
      </c>
      <c r="R64" s="111">
        <v>300</v>
      </c>
      <c r="S64" s="126">
        <f>S63+R64-Q64</f>
        <v>56154.92753326986</v>
      </c>
    </row>
    <row r="65" spans="14:19" ht="15.75" customHeight="1" x14ac:dyDescent="0.2">
      <c r="N65" s="60" t="s">
        <v>10</v>
      </c>
      <c r="O65" s="122">
        <v>43720</v>
      </c>
      <c r="P65" s="120" t="s">
        <v>354</v>
      </c>
      <c r="Q65" s="121">
        <v>0</v>
      </c>
      <c r="R65" s="121">
        <v>106.61</v>
      </c>
      <c r="S65" s="124">
        <f>S61+R65-Q65</f>
        <v>13166.084426740592</v>
      </c>
    </row>
    <row r="66" spans="14:19" ht="15.75" customHeight="1" x14ac:dyDescent="0.2">
      <c r="N66" s="60" t="s">
        <v>11</v>
      </c>
      <c r="O66" s="123">
        <v>43717</v>
      </c>
      <c r="P66" s="60" t="s">
        <v>357</v>
      </c>
      <c r="Q66" s="268">
        <v>0</v>
      </c>
      <c r="R66" s="108">
        <v>381.54</v>
      </c>
      <c r="S66" s="126">
        <f>S64+R66-Q66</f>
        <v>56536.467533269861</v>
      </c>
    </row>
    <row r="67" spans="14:19" ht="15.75" customHeight="1" x14ac:dyDescent="0.2">
      <c r="N67" s="60" t="s">
        <v>11</v>
      </c>
      <c r="O67" s="123">
        <v>43728</v>
      </c>
      <c r="P67" s="60" t="s">
        <v>356</v>
      </c>
      <c r="Q67" s="268">
        <v>0</v>
      </c>
      <c r="R67" s="108">
        <v>630.19000000000005</v>
      </c>
      <c r="S67" s="126">
        <f>S66+R67-Q67</f>
        <v>57166.657533269863</v>
      </c>
    </row>
    <row r="68" spans="14:19" ht="15.75" customHeight="1" x14ac:dyDescent="0.2">
      <c r="N68" s="60" t="s">
        <v>11</v>
      </c>
      <c r="O68" s="123">
        <v>43739</v>
      </c>
      <c r="P68" s="60" t="s">
        <v>140</v>
      </c>
      <c r="Q68" s="108">
        <v>0</v>
      </c>
      <c r="R68" s="108">
        <v>204.44</v>
      </c>
      <c r="S68" s="126">
        <f t="shared" ref="S68:S69" si="12">S67+R68-Q68</f>
        <v>57371.097533269865</v>
      </c>
    </row>
    <row r="69" spans="14:19" ht="15.75" customHeight="1" x14ac:dyDescent="0.2">
      <c r="N69" s="60" t="s">
        <v>11</v>
      </c>
      <c r="O69" s="123">
        <v>43739</v>
      </c>
      <c r="P69" s="60" t="s">
        <v>338</v>
      </c>
      <c r="Q69" s="108">
        <v>0</v>
      </c>
      <c r="R69" s="60">
        <v>1.1200000000000001</v>
      </c>
      <c r="S69" s="126">
        <f t="shared" si="12"/>
        <v>57372.217533269868</v>
      </c>
    </row>
    <row r="70" spans="14:19" ht="15.75" customHeight="1" x14ac:dyDescent="0.2">
      <c r="N70" s="60" t="s">
        <v>10</v>
      </c>
      <c r="O70" s="122">
        <v>43739</v>
      </c>
      <c r="P70" s="120" t="s">
        <v>140</v>
      </c>
      <c r="Q70" s="121">
        <v>0</v>
      </c>
      <c r="R70" s="121">
        <v>47.08</v>
      </c>
      <c r="S70" s="124">
        <f>S65+R70</f>
        <v>13213.164426740592</v>
      </c>
    </row>
    <row r="71" spans="14:19" ht="15.75" customHeight="1" x14ac:dyDescent="0.2">
      <c r="N71" s="60" t="s">
        <v>11</v>
      </c>
      <c r="O71" s="123">
        <v>43747</v>
      </c>
      <c r="P71" s="60" t="s">
        <v>393</v>
      </c>
      <c r="Q71" s="268">
        <v>0</v>
      </c>
      <c r="R71" s="108">
        <v>369.22</v>
      </c>
      <c r="S71" s="126">
        <f>S69+R71-Q71</f>
        <v>57741.437533269869</v>
      </c>
    </row>
    <row r="72" spans="14:19" ht="15.75" customHeight="1" x14ac:dyDescent="0.2">
      <c r="N72" s="60" t="s">
        <v>10</v>
      </c>
      <c r="O72" s="122">
        <v>43750</v>
      </c>
      <c r="P72" s="120" t="s">
        <v>394</v>
      </c>
      <c r="Q72" s="121">
        <v>0</v>
      </c>
      <c r="R72" s="121">
        <v>103.18</v>
      </c>
      <c r="S72" s="124">
        <f>S70+R72-Q72</f>
        <v>13316.344426740592</v>
      </c>
    </row>
    <row r="73" spans="14:19" ht="15.75" customHeight="1" x14ac:dyDescent="0.2">
      <c r="N73" s="60" t="s">
        <v>11</v>
      </c>
      <c r="O73" s="123">
        <v>43770</v>
      </c>
      <c r="P73" s="60" t="s">
        <v>140</v>
      </c>
      <c r="Q73" s="108">
        <v>0</v>
      </c>
      <c r="R73" s="108">
        <f>K11+(H11*-1)</f>
        <v>282.21176946618436</v>
      </c>
      <c r="S73" s="126">
        <f>S71+R73-Q73</f>
        <v>58023.649302736056</v>
      </c>
    </row>
    <row r="74" spans="14:19" ht="15.75" customHeight="1" x14ac:dyDescent="0.2">
      <c r="N74" s="60" t="s">
        <v>11</v>
      </c>
      <c r="O74" s="123">
        <v>43770</v>
      </c>
      <c r="P74" s="60" t="s">
        <v>338</v>
      </c>
      <c r="Q74" s="108">
        <v>0</v>
      </c>
      <c r="R74" s="111">
        <f>L11</f>
        <v>1.5975367110669083</v>
      </c>
      <c r="S74" s="126">
        <f>S73+R74-Q74</f>
        <v>58025.246839447122</v>
      </c>
    </row>
    <row r="75" spans="14:19" ht="15.75" customHeight="1" x14ac:dyDescent="0.2">
      <c r="N75" s="60" t="s">
        <v>10</v>
      </c>
      <c r="O75" s="122">
        <v>43770</v>
      </c>
      <c r="P75" s="120" t="s">
        <v>140</v>
      </c>
      <c r="Q75" s="121">
        <v>0</v>
      </c>
      <c r="R75" s="121">
        <f>I11</f>
        <v>52.886946648666147</v>
      </c>
      <c r="S75" s="124">
        <f>S72+R75</f>
        <v>13369.231373389259</v>
      </c>
    </row>
    <row r="76" spans="14:19" ht="15.75" customHeight="1" x14ac:dyDescent="0.2">
      <c r="N76" s="60" t="s">
        <v>11</v>
      </c>
      <c r="O76" s="123">
        <v>43778</v>
      </c>
      <c r="P76" s="60" t="s">
        <v>422</v>
      </c>
      <c r="Q76" s="268">
        <v>0</v>
      </c>
      <c r="R76" s="108">
        <v>381.52</v>
      </c>
      <c r="S76" s="126">
        <f>S74+R76-Q76</f>
        <v>58406.766839447118</v>
      </c>
    </row>
    <row r="77" spans="14:19" ht="15.75" customHeight="1" x14ac:dyDescent="0.2">
      <c r="N77" s="60" t="s">
        <v>10</v>
      </c>
      <c r="O77" s="122">
        <v>43781</v>
      </c>
      <c r="P77" s="120" t="s">
        <v>421</v>
      </c>
      <c r="Q77" s="121">
        <v>0</v>
      </c>
      <c r="R77" s="121">
        <v>106.61</v>
      </c>
      <c r="S77" s="124">
        <f>S75+R77</f>
        <v>13475.841373389259</v>
      </c>
    </row>
    <row r="78" spans="14:19" ht="15.75" customHeight="1" x14ac:dyDescent="0.2">
      <c r="N78" s="60" t="s">
        <v>11</v>
      </c>
      <c r="O78" s="123">
        <v>43789</v>
      </c>
      <c r="P78" s="60" t="s">
        <v>420</v>
      </c>
      <c r="Q78" s="268">
        <v>0</v>
      </c>
      <c r="R78" s="108">
        <v>630.19000000000005</v>
      </c>
      <c r="S78" s="126">
        <f>S76+R78-Q78</f>
        <v>59036.956839447121</v>
      </c>
    </row>
    <row r="79" spans="14:19" ht="15.75" customHeight="1" x14ac:dyDescent="0.2">
      <c r="N79" s="60" t="s">
        <v>11</v>
      </c>
      <c r="O79" s="123">
        <v>43800</v>
      </c>
      <c r="P79" s="60" t="s">
        <v>140</v>
      </c>
      <c r="Q79" s="108">
        <v>0</v>
      </c>
      <c r="R79" s="108">
        <f>J12+(H12*-1)</f>
        <v>328.26506177827008</v>
      </c>
      <c r="S79" s="126">
        <f>S78+R79-Q79</f>
        <v>59365.221901225392</v>
      </c>
    </row>
    <row r="80" spans="14:19" ht="15.75" customHeight="1" x14ac:dyDescent="0.2">
      <c r="N80" s="60" t="s">
        <v>11</v>
      </c>
      <c r="O80" s="123">
        <v>43800</v>
      </c>
      <c r="P80" s="60" t="s">
        <v>338</v>
      </c>
      <c r="Q80" s="108">
        <v>0</v>
      </c>
      <c r="R80" s="111">
        <f>L17</f>
        <v>0</v>
      </c>
      <c r="S80" s="126">
        <f>S79+R80-Q80</f>
        <v>59365.221901225392</v>
      </c>
    </row>
    <row r="81" spans="14:19" ht="15.75" customHeight="1" x14ac:dyDescent="0.2">
      <c r="N81" s="60" t="s">
        <v>10</v>
      </c>
      <c r="O81" s="122">
        <v>43800</v>
      </c>
      <c r="P81" s="120" t="s">
        <v>140</v>
      </c>
      <c r="Q81" s="121">
        <v>0</v>
      </c>
      <c r="R81" s="121">
        <f>I12</f>
        <v>50.884078386252995</v>
      </c>
      <c r="S81" s="124">
        <f>S77+R81</f>
        <v>13526.725451775512</v>
      </c>
    </row>
    <row r="82" spans="14:19" ht="15.75" customHeight="1" x14ac:dyDescent="0.2">
      <c r="N82" s="60" t="s">
        <v>11</v>
      </c>
      <c r="O82" s="123">
        <v>43802</v>
      </c>
      <c r="P82" s="60" t="s">
        <v>423</v>
      </c>
      <c r="Q82" s="108">
        <v>30000.5</v>
      </c>
      <c r="R82" s="111">
        <f>L19</f>
        <v>0</v>
      </c>
      <c r="S82" s="126">
        <f>S80+R82-Q82</f>
        <v>29364.721901225392</v>
      </c>
    </row>
    <row r="83" spans="14:19" ht="15.75" customHeight="1" x14ac:dyDescent="0.2">
      <c r="N83" s="60" t="s">
        <v>11</v>
      </c>
      <c r="O83" s="123">
        <v>43803</v>
      </c>
      <c r="P83" s="60" t="s">
        <v>427</v>
      </c>
      <c r="Q83" s="108">
        <v>20000.5</v>
      </c>
      <c r="R83" s="111">
        <f>L20</f>
        <v>0</v>
      </c>
      <c r="S83" s="126">
        <f>S82+R83-Q83</f>
        <v>9364.2219012253918</v>
      </c>
    </row>
  </sheetData>
  <conditionalFormatting sqref="N39:N40 N1:N18 N84:N1048576">
    <cfRule type="containsText" dxfId="84" priority="91" operator="containsText" text="Mother">
      <formula>NOT(ISERROR(SEARCH("Mother",N1)))</formula>
    </cfRule>
  </conditionalFormatting>
  <conditionalFormatting sqref="N19:N20">
    <cfRule type="containsText" dxfId="83" priority="90" operator="containsText" text="Mother">
      <formula>NOT(ISERROR(SEARCH("Mother",N19)))</formula>
    </cfRule>
  </conditionalFormatting>
  <conditionalFormatting sqref="N21:N22">
    <cfRule type="containsText" dxfId="82" priority="89" operator="containsText" text="Mother">
      <formula>NOT(ISERROR(SEARCH("Mother",N21)))</formula>
    </cfRule>
  </conditionalFormatting>
  <conditionalFormatting sqref="N23">
    <cfRule type="containsText" dxfId="81" priority="88" operator="containsText" text="Mother">
      <formula>NOT(ISERROR(SEARCH("Mother",N23)))</formula>
    </cfRule>
  </conditionalFormatting>
  <conditionalFormatting sqref="N24">
    <cfRule type="containsText" dxfId="80" priority="87" operator="containsText" text="Mother">
      <formula>NOT(ISERROR(SEARCH("Mother",N24)))</formula>
    </cfRule>
  </conditionalFormatting>
  <conditionalFormatting sqref="N25">
    <cfRule type="containsText" dxfId="79" priority="86" operator="containsText" text="Mother">
      <formula>NOT(ISERROR(SEARCH("Mother",N25)))</formula>
    </cfRule>
  </conditionalFormatting>
  <conditionalFormatting sqref="N26:N28">
    <cfRule type="containsText" dxfId="78" priority="85" operator="containsText" text="Mother">
      <formula>NOT(ISERROR(SEARCH("Mother",N26)))</formula>
    </cfRule>
  </conditionalFormatting>
  <conditionalFormatting sqref="N29">
    <cfRule type="containsText" dxfId="77" priority="84" operator="containsText" text="Mother">
      <formula>NOT(ISERROR(SEARCH("Mother",N29)))</formula>
    </cfRule>
  </conditionalFormatting>
  <conditionalFormatting sqref="N30">
    <cfRule type="containsText" dxfId="76" priority="83" operator="containsText" text="Mother">
      <formula>NOT(ISERROR(SEARCH("Mother",N30)))</formula>
    </cfRule>
  </conditionalFormatting>
  <conditionalFormatting sqref="N31">
    <cfRule type="containsText" dxfId="75" priority="79" operator="containsText" text="Mother">
      <formula>NOT(ISERROR(SEARCH("Mother",N31)))</formula>
    </cfRule>
  </conditionalFormatting>
  <conditionalFormatting sqref="N32">
    <cfRule type="containsText" dxfId="74" priority="78" operator="containsText" text="Mother">
      <formula>NOT(ISERROR(SEARCH("Mother",N32)))</formula>
    </cfRule>
  </conditionalFormatting>
  <conditionalFormatting sqref="N33">
    <cfRule type="containsText" dxfId="73" priority="77" operator="containsText" text="Mother">
      <formula>NOT(ISERROR(SEARCH("Mother",N33)))</formula>
    </cfRule>
  </conditionalFormatting>
  <conditionalFormatting sqref="N34">
    <cfRule type="containsText" dxfId="72" priority="76" operator="containsText" text="Mother">
      <formula>NOT(ISERROR(SEARCH("Mother",N34)))</formula>
    </cfRule>
  </conditionalFormatting>
  <conditionalFormatting sqref="N35">
    <cfRule type="containsText" dxfId="71" priority="75" operator="containsText" text="Mother">
      <formula>NOT(ISERROR(SEARCH("Mother",N35)))</formula>
    </cfRule>
  </conditionalFormatting>
  <conditionalFormatting sqref="N36">
    <cfRule type="containsText" dxfId="70" priority="74" operator="containsText" text="Mother">
      <formula>NOT(ISERROR(SEARCH("Mother",N36)))</formula>
    </cfRule>
  </conditionalFormatting>
  <conditionalFormatting sqref="N40">
    <cfRule type="containsText" dxfId="69" priority="73" operator="containsText" text="Mother">
      <formula>NOT(ISERROR(SEARCH("Mother",N40)))</formula>
    </cfRule>
  </conditionalFormatting>
  <conditionalFormatting sqref="N39">
    <cfRule type="containsText" dxfId="68" priority="72" operator="containsText" text="Mother">
      <formula>NOT(ISERROR(SEARCH("Mother",N39)))</formula>
    </cfRule>
  </conditionalFormatting>
  <conditionalFormatting sqref="N37:N38">
    <cfRule type="containsText" dxfId="67" priority="71" operator="containsText" text="Mother">
      <formula>NOT(ISERROR(SEARCH("Mother",N37)))</formula>
    </cfRule>
  </conditionalFormatting>
  <conditionalFormatting sqref="N41:N44">
    <cfRule type="containsText" dxfId="66" priority="70" operator="containsText" text="Mother">
      <formula>NOT(ISERROR(SEARCH("Mother",N41)))</formula>
    </cfRule>
  </conditionalFormatting>
  <conditionalFormatting sqref="N41:N44">
    <cfRule type="containsText" dxfId="65" priority="69" operator="containsText" text="Mother">
      <formula>NOT(ISERROR(SEARCH("Mother",N41)))</formula>
    </cfRule>
  </conditionalFormatting>
  <conditionalFormatting sqref="N45:N46">
    <cfRule type="containsText" dxfId="64" priority="68" operator="containsText" text="Mother">
      <formula>NOT(ISERROR(SEARCH("Mother",N45)))</formula>
    </cfRule>
  </conditionalFormatting>
  <conditionalFormatting sqref="N45:N46">
    <cfRule type="containsText" dxfId="63" priority="67" operator="containsText" text="Mother">
      <formula>NOT(ISERROR(SEARCH("Mother",N45)))</formula>
    </cfRule>
  </conditionalFormatting>
  <conditionalFormatting sqref="N47">
    <cfRule type="containsText" dxfId="62" priority="66" operator="containsText" text="Mother">
      <formula>NOT(ISERROR(SEARCH("Mother",N47)))</formula>
    </cfRule>
  </conditionalFormatting>
  <conditionalFormatting sqref="N48">
    <cfRule type="containsText" dxfId="61" priority="65" operator="containsText" text="Mother">
      <formula>NOT(ISERROR(SEARCH("Mother",N48)))</formula>
    </cfRule>
  </conditionalFormatting>
  <conditionalFormatting sqref="N48">
    <cfRule type="containsText" dxfId="60" priority="64" operator="containsText" text="Mother">
      <formula>NOT(ISERROR(SEARCH("Mother",N48)))</formula>
    </cfRule>
  </conditionalFormatting>
  <conditionalFormatting sqref="N49">
    <cfRule type="containsText" dxfId="59" priority="63" operator="containsText" text="Mother">
      <formula>NOT(ISERROR(SEARCH("Mother",N49)))</formula>
    </cfRule>
  </conditionalFormatting>
  <conditionalFormatting sqref="N49">
    <cfRule type="containsText" dxfId="58" priority="62" operator="containsText" text="Mother">
      <formula>NOT(ISERROR(SEARCH("Mother",N49)))</formula>
    </cfRule>
  </conditionalFormatting>
  <conditionalFormatting sqref="N50">
    <cfRule type="containsText" dxfId="57" priority="61" operator="containsText" text="Mother">
      <formula>NOT(ISERROR(SEARCH("Mother",N50)))</formula>
    </cfRule>
  </conditionalFormatting>
  <conditionalFormatting sqref="N50">
    <cfRule type="containsText" dxfId="56" priority="60" operator="containsText" text="Mother">
      <formula>NOT(ISERROR(SEARCH("Mother",N50)))</formula>
    </cfRule>
  </conditionalFormatting>
  <conditionalFormatting sqref="N51">
    <cfRule type="containsText" dxfId="55" priority="59" operator="containsText" text="Mother">
      <formula>NOT(ISERROR(SEARCH("Mother",N51)))</formula>
    </cfRule>
  </conditionalFormatting>
  <conditionalFormatting sqref="N51">
    <cfRule type="containsText" dxfId="54" priority="58" operator="containsText" text="Mother">
      <formula>NOT(ISERROR(SEARCH("Mother",N51)))</formula>
    </cfRule>
  </conditionalFormatting>
  <conditionalFormatting sqref="N52">
    <cfRule type="containsText" dxfId="53" priority="57" operator="containsText" text="Mother">
      <formula>NOT(ISERROR(SEARCH("Mother",N52)))</formula>
    </cfRule>
  </conditionalFormatting>
  <conditionalFormatting sqref="N53">
    <cfRule type="containsText" dxfId="52" priority="56" operator="containsText" text="Mother">
      <formula>NOT(ISERROR(SEARCH("Mother",N53)))</formula>
    </cfRule>
  </conditionalFormatting>
  <conditionalFormatting sqref="N53">
    <cfRule type="containsText" dxfId="51" priority="55" operator="containsText" text="Mother">
      <formula>NOT(ISERROR(SEARCH("Mother",N53)))</formula>
    </cfRule>
  </conditionalFormatting>
  <conditionalFormatting sqref="N54">
    <cfRule type="containsText" dxfId="50" priority="53" operator="containsText" text="Mother">
      <formula>NOT(ISERROR(SEARCH("Mother",N54)))</formula>
    </cfRule>
  </conditionalFormatting>
  <conditionalFormatting sqref="N55">
    <cfRule type="containsText" dxfId="49" priority="52" operator="containsText" text="Mother">
      <formula>NOT(ISERROR(SEARCH("Mother",N55)))</formula>
    </cfRule>
  </conditionalFormatting>
  <conditionalFormatting sqref="N55">
    <cfRule type="containsText" dxfId="48" priority="51" operator="containsText" text="Mother">
      <formula>NOT(ISERROR(SEARCH("Mother",N55)))</formula>
    </cfRule>
  </conditionalFormatting>
  <conditionalFormatting sqref="N56">
    <cfRule type="containsText" dxfId="47" priority="50" operator="containsText" text="Mother">
      <formula>NOT(ISERROR(SEARCH("Mother",N56)))</formula>
    </cfRule>
  </conditionalFormatting>
  <conditionalFormatting sqref="N56">
    <cfRule type="containsText" dxfId="46" priority="49" operator="containsText" text="Mother">
      <formula>NOT(ISERROR(SEARCH("Mother",N56)))</formula>
    </cfRule>
  </conditionalFormatting>
  <conditionalFormatting sqref="N57">
    <cfRule type="containsText" dxfId="45" priority="48" operator="containsText" text="Mother">
      <formula>NOT(ISERROR(SEARCH("Mother",N57)))</formula>
    </cfRule>
  </conditionalFormatting>
  <conditionalFormatting sqref="N58">
    <cfRule type="containsText" dxfId="44" priority="47" operator="containsText" text="Mother">
      <formula>NOT(ISERROR(SEARCH("Mother",N58)))</formula>
    </cfRule>
  </conditionalFormatting>
  <conditionalFormatting sqref="N58">
    <cfRule type="containsText" dxfId="43" priority="46" operator="containsText" text="Mother">
      <formula>NOT(ISERROR(SEARCH("Mother",N58)))</formula>
    </cfRule>
  </conditionalFormatting>
  <conditionalFormatting sqref="N59">
    <cfRule type="containsText" dxfId="42" priority="45" operator="containsText" text="Mother">
      <formula>NOT(ISERROR(SEARCH("Mother",N59)))</formula>
    </cfRule>
  </conditionalFormatting>
  <conditionalFormatting sqref="N59">
    <cfRule type="containsText" dxfId="41" priority="44" operator="containsText" text="Mother">
      <formula>NOT(ISERROR(SEARCH("Mother",N59)))</formula>
    </cfRule>
  </conditionalFormatting>
  <conditionalFormatting sqref="N61">
    <cfRule type="containsText" dxfId="40" priority="43" operator="containsText" text="Mother">
      <formula>NOT(ISERROR(SEARCH("Mother",N61)))</formula>
    </cfRule>
  </conditionalFormatting>
  <conditionalFormatting sqref="N62">
    <cfRule type="containsText" dxfId="39" priority="42" operator="containsText" text="Mother">
      <formula>NOT(ISERROR(SEARCH("Mother",N62)))</formula>
    </cfRule>
  </conditionalFormatting>
  <conditionalFormatting sqref="N62">
    <cfRule type="containsText" dxfId="38" priority="41" operator="containsText" text="Mother">
      <formula>NOT(ISERROR(SEARCH("Mother",N62)))</formula>
    </cfRule>
  </conditionalFormatting>
  <conditionalFormatting sqref="N63">
    <cfRule type="containsText" dxfId="37" priority="40" operator="containsText" text="Mother">
      <formula>NOT(ISERROR(SEARCH("Mother",N63)))</formula>
    </cfRule>
  </conditionalFormatting>
  <conditionalFormatting sqref="N63">
    <cfRule type="containsText" dxfId="36" priority="39" operator="containsText" text="Mother">
      <formula>NOT(ISERROR(SEARCH("Mother",N63)))</formula>
    </cfRule>
  </conditionalFormatting>
  <conditionalFormatting sqref="N60">
    <cfRule type="containsText" dxfId="35" priority="38" operator="containsText" text="Mother">
      <formula>NOT(ISERROR(SEARCH("Mother",N60)))</formula>
    </cfRule>
  </conditionalFormatting>
  <conditionalFormatting sqref="N60">
    <cfRule type="containsText" dxfId="34" priority="37" operator="containsText" text="Mother">
      <formula>NOT(ISERROR(SEARCH("Mother",N60)))</formula>
    </cfRule>
  </conditionalFormatting>
  <conditionalFormatting sqref="N64">
    <cfRule type="containsText" dxfId="33" priority="36" operator="containsText" text="Mother">
      <formula>NOT(ISERROR(SEARCH("Mother",N64)))</formula>
    </cfRule>
  </conditionalFormatting>
  <conditionalFormatting sqref="N64">
    <cfRule type="containsText" dxfId="32" priority="35" operator="containsText" text="Mother">
      <formula>NOT(ISERROR(SEARCH("Mother",N64)))</formula>
    </cfRule>
  </conditionalFormatting>
  <conditionalFormatting sqref="N65">
    <cfRule type="containsText" dxfId="31" priority="34" operator="containsText" text="Mother">
      <formula>NOT(ISERROR(SEARCH("Mother",N65)))</formula>
    </cfRule>
  </conditionalFormatting>
  <conditionalFormatting sqref="N66">
    <cfRule type="containsText" dxfId="30" priority="33" operator="containsText" text="Mother">
      <formula>NOT(ISERROR(SEARCH("Mother",N66)))</formula>
    </cfRule>
  </conditionalFormatting>
  <conditionalFormatting sqref="N66">
    <cfRule type="containsText" dxfId="29" priority="32" operator="containsText" text="Mother">
      <formula>NOT(ISERROR(SEARCH("Mother",N66)))</formula>
    </cfRule>
  </conditionalFormatting>
  <conditionalFormatting sqref="N67">
    <cfRule type="containsText" dxfId="28" priority="31" operator="containsText" text="Mother">
      <formula>NOT(ISERROR(SEARCH("Mother",N67)))</formula>
    </cfRule>
  </conditionalFormatting>
  <conditionalFormatting sqref="N67">
    <cfRule type="containsText" dxfId="27" priority="30" operator="containsText" text="Mother">
      <formula>NOT(ISERROR(SEARCH("Mother",N67)))</formula>
    </cfRule>
  </conditionalFormatting>
  <conditionalFormatting sqref="N68">
    <cfRule type="containsText" dxfId="26" priority="29" operator="containsText" text="Mother">
      <formula>NOT(ISERROR(SEARCH("Mother",N68)))</formula>
    </cfRule>
  </conditionalFormatting>
  <conditionalFormatting sqref="N68">
    <cfRule type="containsText" dxfId="25" priority="28" operator="containsText" text="Mother">
      <formula>NOT(ISERROR(SEARCH("Mother",N68)))</formula>
    </cfRule>
  </conditionalFormatting>
  <conditionalFormatting sqref="N69">
    <cfRule type="containsText" dxfId="24" priority="27" operator="containsText" text="Mother">
      <formula>NOT(ISERROR(SEARCH("Mother",N69)))</formula>
    </cfRule>
  </conditionalFormatting>
  <conditionalFormatting sqref="N69">
    <cfRule type="containsText" dxfId="23" priority="26" operator="containsText" text="Mother">
      <formula>NOT(ISERROR(SEARCH("Mother",N69)))</formula>
    </cfRule>
  </conditionalFormatting>
  <conditionalFormatting sqref="N70">
    <cfRule type="containsText" dxfId="22" priority="25" operator="containsText" text="Mother">
      <formula>NOT(ISERROR(SEARCH("Mother",N70)))</formula>
    </cfRule>
  </conditionalFormatting>
  <conditionalFormatting sqref="N71">
    <cfRule type="containsText" dxfId="21" priority="24" operator="containsText" text="Mother">
      <formula>NOT(ISERROR(SEARCH("Mother",N71)))</formula>
    </cfRule>
  </conditionalFormatting>
  <conditionalFormatting sqref="N71">
    <cfRule type="containsText" dxfId="20" priority="23" operator="containsText" text="Mother">
      <formula>NOT(ISERROR(SEARCH("Mother",N71)))</formula>
    </cfRule>
  </conditionalFormatting>
  <conditionalFormatting sqref="N72">
    <cfRule type="containsText" dxfId="19" priority="22" operator="containsText" text="Mother">
      <formula>NOT(ISERROR(SEARCH("Mother",N72)))</formula>
    </cfRule>
  </conditionalFormatting>
  <conditionalFormatting sqref="N73">
    <cfRule type="containsText" dxfId="18" priority="21" operator="containsText" text="Mother">
      <formula>NOT(ISERROR(SEARCH("Mother",N73)))</formula>
    </cfRule>
  </conditionalFormatting>
  <conditionalFormatting sqref="N73">
    <cfRule type="containsText" dxfId="17" priority="20" operator="containsText" text="Mother">
      <formula>NOT(ISERROR(SEARCH("Mother",N73)))</formula>
    </cfRule>
  </conditionalFormatting>
  <conditionalFormatting sqref="N74">
    <cfRule type="containsText" dxfId="16" priority="19" operator="containsText" text="Mother">
      <formula>NOT(ISERROR(SEARCH("Mother",N74)))</formula>
    </cfRule>
  </conditionalFormatting>
  <conditionalFormatting sqref="N74">
    <cfRule type="containsText" dxfId="15" priority="18" operator="containsText" text="Mother">
      <formula>NOT(ISERROR(SEARCH("Mother",N74)))</formula>
    </cfRule>
  </conditionalFormatting>
  <conditionalFormatting sqref="N75">
    <cfRule type="containsText" dxfId="14" priority="17" operator="containsText" text="Mother">
      <formula>NOT(ISERROR(SEARCH("Mother",N75)))</formula>
    </cfRule>
  </conditionalFormatting>
  <conditionalFormatting sqref="N76">
    <cfRule type="containsText" dxfId="13" priority="14" operator="containsText" text="Mother">
      <formula>NOT(ISERROR(SEARCH("Mother",N76)))</formula>
    </cfRule>
  </conditionalFormatting>
  <conditionalFormatting sqref="N76">
    <cfRule type="containsText" dxfId="12" priority="13" operator="containsText" text="Mother">
      <formula>NOT(ISERROR(SEARCH("Mother",N76)))</formula>
    </cfRule>
  </conditionalFormatting>
  <conditionalFormatting sqref="N77">
    <cfRule type="containsText" dxfId="11" priority="12" operator="containsText" text="Mother">
      <formula>NOT(ISERROR(SEARCH("Mother",N77)))</formula>
    </cfRule>
  </conditionalFormatting>
  <conditionalFormatting sqref="N78">
    <cfRule type="containsText" dxfId="10" priority="11" operator="containsText" text="Mother">
      <formula>NOT(ISERROR(SEARCH("Mother",N78)))</formula>
    </cfRule>
  </conditionalFormatting>
  <conditionalFormatting sqref="N78">
    <cfRule type="containsText" dxfId="9" priority="10" operator="containsText" text="Mother">
      <formula>NOT(ISERROR(SEARCH("Mother",N78)))</formula>
    </cfRule>
  </conditionalFormatting>
  <conditionalFormatting sqref="N79">
    <cfRule type="containsText" dxfId="8" priority="9" operator="containsText" text="Mother">
      <formula>NOT(ISERROR(SEARCH("Mother",N79)))</formula>
    </cfRule>
  </conditionalFormatting>
  <conditionalFormatting sqref="N79">
    <cfRule type="containsText" dxfId="7" priority="8" operator="containsText" text="Mother">
      <formula>NOT(ISERROR(SEARCH("Mother",N79)))</formula>
    </cfRule>
  </conditionalFormatting>
  <conditionalFormatting sqref="N80">
    <cfRule type="containsText" dxfId="6" priority="7" operator="containsText" text="Mother">
      <formula>NOT(ISERROR(SEARCH("Mother",N80)))</formula>
    </cfRule>
  </conditionalFormatting>
  <conditionalFormatting sqref="N80">
    <cfRule type="containsText" dxfId="5" priority="6" operator="containsText" text="Mother">
      <formula>NOT(ISERROR(SEARCH("Mother",N80)))</formula>
    </cfRule>
  </conditionalFormatting>
  <conditionalFormatting sqref="N81">
    <cfRule type="containsText" dxfId="4" priority="5" operator="containsText" text="Mother">
      <formula>NOT(ISERROR(SEARCH("Mother",N81)))</formula>
    </cfRule>
  </conditionalFormatting>
  <conditionalFormatting sqref="N82">
    <cfRule type="containsText" dxfId="3" priority="4" operator="containsText" text="Mother">
      <formula>NOT(ISERROR(SEARCH("Mother",N82)))</formula>
    </cfRule>
  </conditionalFormatting>
  <conditionalFormatting sqref="N82">
    <cfRule type="containsText" dxfId="2" priority="3" operator="containsText" text="Mother">
      <formula>NOT(ISERROR(SEARCH("Mother",N82)))</formula>
    </cfRule>
  </conditionalFormatting>
  <conditionalFormatting sqref="N83">
    <cfRule type="containsText" dxfId="1" priority="2" operator="containsText" text="Mother">
      <formula>NOT(ISERROR(SEARCH("Mother",N83)))</formula>
    </cfRule>
  </conditionalFormatting>
  <conditionalFormatting sqref="N83">
    <cfRule type="containsText" dxfId="0" priority="1" operator="containsText" text="Mother">
      <formula>NOT(ISERROR(SEARCH("Mother",N83)))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1"/>
  <sheetViews>
    <sheetView topLeftCell="A43" workbookViewId="0">
      <selection activeCell="N62" sqref="N62"/>
    </sheetView>
  </sheetViews>
  <sheetFormatPr defaultColWidth="41.5703125" defaultRowHeight="11.25" x14ac:dyDescent="0.2"/>
  <cols>
    <col min="1" max="1" width="12.5703125" style="33" bestFit="1" customWidth="1"/>
    <col min="2" max="2" width="8.7109375" style="33" bestFit="1" customWidth="1"/>
    <col min="3" max="3" width="10.140625" style="33" bestFit="1" customWidth="1"/>
    <col min="4" max="4" width="10.7109375" style="33" bestFit="1" customWidth="1"/>
    <col min="5" max="5" width="13.7109375" style="33" bestFit="1" customWidth="1"/>
    <col min="6" max="6" width="4.42578125" style="33" bestFit="1" customWidth="1"/>
    <col min="7" max="7" width="9.85546875" style="33" bestFit="1" customWidth="1"/>
    <col min="8" max="8" width="10.7109375" style="33" bestFit="1" customWidth="1"/>
    <col min="9" max="9" width="12.140625" style="33" bestFit="1" customWidth="1"/>
    <col min="10" max="10" width="7.28515625" style="33" customWidth="1"/>
    <col min="11" max="11" width="12.7109375" style="33" bestFit="1" customWidth="1"/>
    <col min="12" max="12" width="24.7109375" style="33" bestFit="1" customWidth="1"/>
    <col min="13" max="13" width="10.140625" style="33" bestFit="1" customWidth="1"/>
    <col min="14" max="14" width="10.7109375" style="33" bestFit="1" customWidth="1"/>
    <col min="15" max="15" width="9.28515625" style="33" bestFit="1" customWidth="1"/>
    <col min="16" max="16384" width="41.5703125" style="33"/>
  </cols>
  <sheetData>
    <row r="1" spans="1:15" ht="13.5" thickBot="1" x14ac:dyDescent="0.25">
      <c r="A1" s="32" t="s">
        <v>98</v>
      </c>
      <c r="B1" s="32" t="s">
        <v>88</v>
      </c>
      <c r="C1" s="32" t="s">
        <v>89</v>
      </c>
      <c r="D1" s="32" t="s">
        <v>90</v>
      </c>
      <c r="E1" s="32" t="s">
        <v>91</v>
      </c>
      <c r="F1" s="32" t="s">
        <v>92</v>
      </c>
      <c r="G1" s="32" t="s">
        <v>93</v>
      </c>
      <c r="H1" s="32" t="s">
        <v>167</v>
      </c>
      <c r="I1" s="32" t="s">
        <v>95</v>
      </c>
      <c r="K1" s="32" t="s">
        <v>25</v>
      </c>
      <c r="L1" s="32" t="s">
        <v>26</v>
      </c>
      <c r="M1" s="32" t="s">
        <v>59</v>
      </c>
      <c r="N1" s="32" t="s">
        <v>60</v>
      </c>
      <c r="O1" s="104">
        <f>SUM(M2:M998)</f>
        <v>1572.9900000000002</v>
      </c>
    </row>
    <row r="2" spans="1:15" ht="12" thickBot="1" x14ac:dyDescent="0.25">
      <c r="A2" s="321">
        <v>1345754316</v>
      </c>
      <c r="B2" s="93">
        <v>637049</v>
      </c>
      <c r="C2" s="223" t="s">
        <v>96</v>
      </c>
      <c r="D2" s="93" t="s">
        <v>96</v>
      </c>
      <c r="E2" s="93" t="s">
        <v>97</v>
      </c>
      <c r="F2" s="93">
        <v>6</v>
      </c>
      <c r="G2" s="94">
        <v>50000</v>
      </c>
      <c r="H2" s="95">
        <v>4</v>
      </c>
      <c r="I2" s="94">
        <v>50000</v>
      </c>
      <c r="K2" s="96" t="s">
        <v>160</v>
      </c>
      <c r="L2" s="34" t="s">
        <v>134</v>
      </c>
      <c r="M2" s="35"/>
      <c r="N2" s="35">
        <v>169.86</v>
      </c>
    </row>
    <row r="3" spans="1:15" ht="12" thickBot="1" x14ac:dyDescent="0.25">
      <c r="A3" s="322"/>
      <c r="B3" s="93">
        <v>637050</v>
      </c>
      <c r="C3" s="223" t="s">
        <v>96</v>
      </c>
      <c r="D3" s="93" t="s">
        <v>96</v>
      </c>
      <c r="E3" s="93" t="s">
        <v>97</v>
      </c>
      <c r="F3" s="93">
        <v>6</v>
      </c>
      <c r="G3" s="94">
        <v>50000</v>
      </c>
      <c r="H3" s="95">
        <v>4</v>
      </c>
      <c r="I3" s="94">
        <v>50000</v>
      </c>
      <c r="K3" s="96" t="s">
        <v>160</v>
      </c>
      <c r="L3" s="34" t="s">
        <v>161</v>
      </c>
      <c r="M3" s="35">
        <v>169.86</v>
      </c>
      <c r="N3" s="35"/>
    </row>
    <row r="4" spans="1:15" ht="12" thickBot="1" x14ac:dyDescent="0.25">
      <c r="A4" s="322"/>
      <c r="B4" s="93">
        <v>637051</v>
      </c>
      <c r="C4" s="223" t="s">
        <v>96</v>
      </c>
      <c r="D4" s="93" t="s">
        <v>96</v>
      </c>
      <c r="E4" s="93" t="s">
        <v>97</v>
      </c>
      <c r="F4" s="93">
        <v>6</v>
      </c>
      <c r="G4" s="94">
        <v>50000</v>
      </c>
      <c r="H4" s="95">
        <v>4</v>
      </c>
      <c r="I4" s="94">
        <v>50000</v>
      </c>
      <c r="K4" s="96" t="s">
        <v>160</v>
      </c>
      <c r="L4" s="34" t="s">
        <v>135</v>
      </c>
      <c r="M4" s="35"/>
      <c r="N4" s="35">
        <v>169.86</v>
      </c>
    </row>
    <row r="5" spans="1:15" ht="12" thickBot="1" x14ac:dyDescent="0.25">
      <c r="A5" s="322"/>
      <c r="B5" s="93">
        <v>637052</v>
      </c>
      <c r="C5" s="223" t="s">
        <v>96</v>
      </c>
      <c r="D5" s="93" t="s">
        <v>96</v>
      </c>
      <c r="E5" s="93" t="s">
        <v>97</v>
      </c>
      <c r="F5" s="93">
        <v>6</v>
      </c>
      <c r="G5" s="94">
        <v>50000</v>
      </c>
      <c r="H5" s="95">
        <v>4</v>
      </c>
      <c r="I5" s="94">
        <v>50000</v>
      </c>
      <c r="K5" s="96" t="s">
        <v>160</v>
      </c>
      <c r="L5" s="34" t="s">
        <v>162</v>
      </c>
      <c r="M5" s="35">
        <v>169.86</v>
      </c>
      <c r="N5" s="35"/>
    </row>
    <row r="6" spans="1:15" ht="12" thickBot="1" x14ac:dyDescent="0.25">
      <c r="A6" s="323"/>
      <c r="B6" s="93">
        <v>637053</v>
      </c>
      <c r="C6" s="223" t="s">
        <v>96</v>
      </c>
      <c r="D6" s="93" t="s">
        <v>96</v>
      </c>
      <c r="E6" s="93" t="s">
        <v>97</v>
      </c>
      <c r="F6" s="93">
        <v>6</v>
      </c>
      <c r="G6" s="94">
        <v>43278.7</v>
      </c>
      <c r="H6" s="95">
        <v>4</v>
      </c>
      <c r="I6" s="94">
        <v>43278.7</v>
      </c>
      <c r="K6" s="96" t="s">
        <v>160</v>
      </c>
      <c r="L6" s="34" t="s">
        <v>136</v>
      </c>
      <c r="M6" s="35"/>
      <c r="N6" s="35">
        <v>169.86</v>
      </c>
    </row>
    <row r="7" spans="1:15" ht="12" thickBot="1" x14ac:dyDescent="0.25">
      <c r="B7" s="93">
        <v>242144</v>
      </c>
      <c r="C7" s="223">
        <v>43651</v>
      </c>
      <c r="D7" s="223">
        <v>43682</v>
      </c>
      <c r="E7" s="223">
        <v>43682</v>
      </c>
      <c r="F7" s="93">
        <v>1</v>
      </c>
      <c r="G7" s="94">
        <v>100000</v>
      </c>
      <c r="H7" s="95">
        <v>2.95</v>
      </c>
      <c r="I7" s="94">
        <v>100000</v>
      </c>
      <c r="K7" s="96" t="s">
        <v>160</v>
      </c>
      <c r="L7" s="34" t="s">
        <v>163</v>
      </c>
      <c r="M7" s="35">
        <v>169.86</v>
      </c>
      <c r="N7" s="35"/>
    </row>
    <row r="8" spans="1:15" ht="12" thickBot="1" x14ac:dyDescent="0.25">
      <c r="B8" s="93">
        <v>242145</v>
      </c>
      <c r="C8" s="223">
        <v>43651</v>
      </c>
      <c r="D8" s="223">
        <v>43682</v>
      </c>
      <c r="E8" s="223">
        <v>43682</v>
      </c>
      <c r="F8" s="93">
        <v>1</v>
      </c>
      <c r="G8" s="94">
        <v>27239.85</v>
      </c>
      <c r="H8" s="95">
        <v>2.95</v>
      </c>
      <c r="I8" s="94">
        <v>27239.85</v>
      </c>
      <c r="K8" s="96" t="s">
        <v>160</v>
      </c>
      <c r="L8" s="34" t="s">
        <v>137</v>
      </c>
      <c r="M8" s="35"/>
      <c r="N8" s="35">
        <v>169.86</v>
      </c>
    </row>
    <row r="9" spans="1:15" ht="12" thickBot="1" x14ac:dyDescent="0.25">
      <c r="K9" s="96" t="s">
        <v>160</v>
      </c>
      <c r="L9" s="34" t="s">
        <v>164</v>
      </c>
      <c r="M9" s="35">
        <v>169.86</v>
      </c>
      <c r="N9" s="35"/>
    </row>
    <row r="10" spans="1:15" ht="12" thickBot="1" x14ac:dyDescent="0.25">
      <c r="I10" s="217">
        <f>SUM(I2:I9)</f>
        <v>370518.55</v>
      </c>
      <c r="K10" s="96" t="s">
        <v>160</v>
      </c>
      <c r="L10" s="34" t="s">
        <v>138</v>
      </c>
      <c r="M10" s="35"/>
      <c r="N10" s="35">
        <v>147.03</v>
      </c>
    </row>
    <row r="11" spans="1:15" ht="12" thickBot="1" x14ac:dyDescent="0.25">
      <c r="K11" s="96" t="s">
        <v>160</v>
      </c>
      <c r="L11" s="34" t="s">
        <v>165</v>
      </c>
      <c r="M11" s="35">
        <v>147.03</v>
      </c>
      <c r="N11" s="35"/>
    </row>
    <row r="12" spans="1:15" ht="12" thickBot="1" x14ac:dyDescent="0.25">
      <c r="K12" s="96" t="s">
        <v>166</v>
      </c>
      <c r="L12" s="34" t="s">
        <v>134</v>
      </c>
      <c r="M12" s="35"/>
      <c r="N12" s="35">
        <v>153.43</v>
      </c>
    </row>
    <row r="13" spans="1:15" ht="12" thickBot="1" x14ac:dyDescent="0.25">
      <c r="K13" s="96" t="s">
        <v>166</v>
      </c>
      <c r="L13" s="34" t="s">
        <v>161</v>
      </c>
      <c r="M13" s="35">
        <v>153.43</v>
      </c>
      <c r="N13" s="35"/>
    </row>
    <row r="14" spans="1:15" ht="12" thickBot="1" x14ac:dyDescent="0.25">
      <c r="K14" s="96" t="s">
        <v>166</v>
      </c>
      <c r="L14" s="34" t="s">
        <v>135</v>
      </c>
      <c r="M14" s="35"/>
      <c r="N14" s="35">
        <v>153.43</v>
      </c>
    </row>
    <row r="15" spans="1:15" ht="12" thickBot="1" x14ac:dyDescent="0.25">
      <c r="K15" s="96" t="s">
        <v>166</v>
      </c>
      <c r="L15" s="34" t="s">
        <v>162</v>
      </c>
      <c r="M15" s="35">
        <v>153.43</v>
      </c>
      <c r="N15" s="35"/>
    </row>
    <row r="16" spans="1:15" ht="12" thickBot="1" x14ac:dyDescent="0.25">
      <c r="K16" s="96" t="s">
        <v>166</v>
      </c>
      <c r="L16" s="34" t="s">
        <v>136</v>
      </c>
      <c r="M16" s="35"/>
      <c r="N16" s="35">
        <v>153.43</v>
      </c>
    </row>
    <row r="17" spans="11:15" ht="12" thickBot="1" x14ac:dyDescent="0.25">
      <c r="K17" s="96" t="s">
        <v>166</v>
      </c>
      <c r="L17" s="34" t="s">
        <v>163</v>
      </c>
      <c r="M17" s="35">
        <v>153.43</v>
      </c>
      <c r="N17" s="35"/>
    </row>
    <row r="18" spans="11:15" ht="12" thickBot="1" x14ac:dyDescent="0.25">
      <c r="K18" s="96" t="s">
        <v>166</v>
      </c>
      <c r="L18" s="34" t="s">
        <v>137</v>
      </c>
      <c r="M18" s="35"/>
      <c r="N18" s="35">
        <v>153.43</v>
      </c>
    </row>
    <row r="19" spans="11:15" ht="12" thickBot="1" x14ac:dyDescent="0.25">
      <c r="K19" s="96" t="s">
        <v>166</v>
      </c>
      <c r="L19" s="34" t="s">
        <v>164</v>
      </c>
      <c r="M19" s="35">
        <v>153.43</v>
      </c>
      <c r="N19" s="35"/>
    </row>
    <row r="20" spans="11:15" ht="12" thickBot="1" x14ac:dyDescent="0.25">
      <c r="K20" s="96" t="s">
        <v>166</v>
      </c>
      <c r="L20" s="34" t="s">
        <v>138</v>
      </c>
      <c r="M20" s="35"/>
      <c r="N20" s="35">
        <v>132.80000000000001</v>
      </c>
    </row>
    <row r="21" spans="11:15" x14ac:dyDescent="0.2">
      <c r="K21" s="175" t="s">
        <v>166</v>
      </c>
      <c r="L21" s="176" t="s">
        <v>165</v>
      </c>
      <c r="M21" s="177">
        <v>132.80000000000001</v>
      </c>
      <c r="N21" s="177"/>
    </row>
    <row r="22" spans="11:15" ht="12.75" x14ac:dyDescent="0.2">
      <c r="K22" s="178" t="s">
        <v>248</v>
      </c>
      <c r="L22" s="75" t="s">
        <v>161</v>
      </c>
      <c r="M22" s="179"/>
      <c r="N22" s="169">
        <v>169.86</v>
      </c>
    </row>
    <row r="23" spans="11:15" ht="12.75" x14ac:dyDescent="0.2">
      <c r="K23" s="178" t="s">
        <v>248</v>
      </c>
      <c r="L23" s="75" t="s">
        <v>162</v>
      </c>
      <c r="M23" s="179"/>
      <c r="N23" s="169">
        <v>169.86</v>
      </c>
    </row>
    <row r="24" spans="11:15" ht="12.75" x14ac:dyDescent="0.2">
      <c r="K24" s="178" t="s">
        <v>248</v>
      </c>
      <c r="L24" s="75" t="s">
        <v>163</v>
      </c>
      <c r="M24" s="179"/>
      <c r="N24" s="169">
        <v>169.86</v>
      </c>
    </row>
    <row r="25" spans="11:15" ht="12.75" x14ac:dyDescent="0.2">
      <c r="K25" s="178" t="s">
        <v>248</v>
      </c>
      <c r="L25" s="75" t="s">
        <v>164</v>
      </c>
      <c r="M25" s="179"/>
      <c r="N25" s="169">
        <v>169.86</v>
      </c>
    </row>
    <row r="26" spans="11:15" ht="12.75" x14ac:dyDescent="0.2">
      <c r="K26" s="178" t="s">
        <v>248</v>
      </c>
      <c r="L26" s="75" t="s">
        <v>165</v>
      </c>
      <c r="M26" s="179"/>
      <c r="N26" s="169">
        <v>147.03</v>
      </c>
      <c r="O26" s="33">
        <f>SUM(N22:N26)</f>
        <v>826.47</v>
      </c>
    </row>
    <row r="27" spans="11:15" ht="12.75" x14ac:dyDescent="0.2">
      <c r="K27" s="178" t="s">
        <v>247</v>
      </c>
      <c r="L27" s="75" t="s">
        <v>161</v>
      </c>
      <c r="M27" s="179"/>
      <c r="N27" s="169">
        <v>164.38</v>
      </c>
    </row>
    <row r="28" spans="11:15" ht="12.75" x14ac:dyDescent="0.2">
      <c r="K28" s="178" t="s">
        <v>247</v>
      </c>
      <c r="L28" s="75" t="s">
        <v>162</v>
      </c>
      <c r="M28" s="179"/>
      <c r="N28" s="169">
        <v>164.38</v>
      </c>
    </row>
    <row r="29" spans="11:15" ht="12.75" x14ac:dyDescent="0.2">
      <c r="K29" s="178" t="s">
        <v>247</v>
      </c>
      <c r="L29" s="75" t="s">
        <v>163</v>
      </c>
      <c r="M29" s="179"/>
      <c r="N29" s="169">
        <v>164.38</v>
      </c>
    </row>
    <row r="30" spans="11:15" ht="12.75" x14ac:dyDescent="0.2">
      <c r="K30" s="178" t="s">
        <v>247</v>
      </c>
      <c r="L30" s="75" t="s">
        <v>164</v>
      </c>
      <c r="M30" s="179"/>
      <c r="N30" s="169">
        <v>164.38</v>
      </c>
    </row>
    <row r="31" spans="11:15" ht="12.75" x14ac:dyDescent="0.2">
      <c r="K31" s="178" t="s">
        <v>247</v>
      </c>
      <c r="L31" s="75" t="s">
        <v>165</v>
      </c>
      <c r="M31" s="179"/>
      <c r="N31" s="169">
        <v>142.28</v>
      </c>
      <c r="O31" s="180">
        <f>SUM(N27:N31)</f>
        <v>799.8</v>
      </c>
    </row>
    <row r="32" spans="11:15" ht="12.75" x14ac:dyDescent="0.2">
      <c r="K32" s="275" t="s">
        <v>267</v>
      </c>
      <c r="L32" s="276" t="s">
        <v>262</v>
      </c>
      <c r="M32" s="277"/>
      <c r="N32" s="278">
        <v>147.03</v>
      </c>
    </row>
    <row r="33" spans="11:15" ht="12.75" x14ac:dyDescent="0.2">
      <c r="K33" s="275" t="s">
        <v>267</v>
      </c>
      <c r="L33" s="276" t="s">
        <v>263</v>
      </c>
      <c r="M33" s="277"/>
      <c r="N33" s="278">
        <v>169.87</v>
      </c>
    </row>
    <row r="34" spans="11:15" ht="12.75" x14ac:dyDescent="0.2">
      <c r="K34" s="275" t="s">
        <v>267</v>
      </c>
      <c r="L34" s="276" t="s">
        <v>264</v>
      </c>
      <c r="M34" s="277"/>
      <c r="N34" s="278">
        <v>169.87</v>
      </c>
    </row>
    <row r="35" spans="11:15" ht="12.75" x14ac:dyDescent="0.2">
      <c r="K35" s="275" t="s">
        <v>267</v>
      </c>
      <c r="L35" s="276" t="s">
        <v>265</v>
      </c>
      <c r="M35" s="277"/>
      <c r="N35" s="278">
        <v>169.87</v>
      </c>
    </row>
    <row r="36" spans="11:15" ht="12.75" x14ac:dyDescent="0.2">
      <c r="K36" s="275" t="s">
        <v>267</v>
      </c>
      <c r="L36" s="276" t="s">
        <v>266</v>
      </c>
      <c r="M36" s="277"/>
      <c r="N36" s="278">
        <v>169.87</v>
      </c>
      <c r="O36" s="180">
        <f>SUM(N32:N36)</f>
        <v>826.51</v>
      </c>
    </row>
    <row r="37" spans="11:15" ht="12.75" x14ac:dyDescent="0.2">
      <c r="K37" s="178" t="s">
        <v>308</v>
      </c>
      <c r="L37" s="75" t="s">
        <v>262</v>
      </c>
      <c r="M37" s="179"/>
      <c r="N37" s="169">
        <v>142.29</v>
      </c>
    </row>
    <row r="38" spans="11:15" ht="12.75" x14ac:dyDescent="0.2">
      <c r="K38" s="178" t="s">
        <v>308</v>
      </c>
      <c r="L38" s="75" t="s">
        <v>263</v>
      </c>
      <c r="M38" s="179"/>
      <c r="N38" s="169">
        <v>164.38</v>
      </c>
    </row>
    <row r="39" spans="11:15" ht="12.75" x14ac:dyDescent="0.2">
      <c r="K39" s="178" t="s">
        <v>308</v>
      </c>
      <c r="L39" s="75" t="s">
        <v>264</v>
      </c>
      <c r="M39" s="179"/>
      <c r="N39" s="169">
        <v>164.38</v>
      </c>
    </row>
    <row r="40" spans="11:15" ht="12.75" x14ac:dyDescent="0.2">
      <c r="K40" s="178" t="s">
        <v>308</v>
      </c>
      <c r="L40" s="75" t="s">
        <v>265</v>
      </c>
      <c r="M40" s="179"/>
      <c r="N40" s="169">
        <v>164.38</v>
      </c>
    </row>
    <row r="41" spans="11:15" ht="12.75" x14ac:dyDescent="0.2">
      <c r="K41" s="178" t="s">
        <v>308</v>
      </c>
      <c r="L41" s="75" t="s">
        <v>266</v>
      </c>
      <c r="M41" s="179"/>
      <c r="N41" s="169">
        <v>164.38</v>
      </c>
      <c r="O41" s="180">
        <f>SUM(N37:N41)</f>
        <v>799.81</v>
      </c>
    </row>
    <row r="42" spans="11:15" ht="12.75" x14ac:dyDescent="0.2">
      <c r="K42" s="275" t="s">
        <v>335</v>
      </c>
      <c r="L42" s="276" t="s">
        <v>262</v>
      </c>
      <c r="M42" s="277"/>
      <c r="N42" s="278">
        <v>112.21</v>
      </c>
    </row>
    <row r="43" spans="11:15" ht="12.75" x14ac:dyDescent="0.2">
      <c r="K43" s="275" t="s">
        <v>335</v>
      </c>
      <c r="L43" s="276" t="s">
        <v>263</v>
      </c>
      <c r="M43" s="277"/>
      <c r="N43" s="278">
        <v>129.52000000000001</v>
      </c>
    </row>
    <row r="44" spans="11:15" ht="12.75" x14ac:dyDescent="0.2">
      <c r="K44" s="275" t="s">
        <v>335</v>
      </c>
      <c r="L44" s="276" t="s">
        <v>264</v>
      </c>
      <c r="M44" s="277"/>
      <c r="N44" s="278">
        <v>129.52000000000001</v>
      </c>
    </row>
    <row r="45" spans="11:15" ht="12.75" x14ac:dyDescent="0.2">
      <c r="K45" s="275" t="s">
        <v>335</v>
      </c>
      <c r="L45" s="276" t="s">
        <v>265</v>
      </c>
      <c r="M45" s="277"/>
      <c r="N45" s="278">
        <v>129.52000000000001</v>
      </c>
    </row>
    <row r="46" spans="11:15" ht="12.75" x14ac:dyDescent="0.2">
      <c r="K46" s="275" t="s">
        <v>335</v>
      </c>
      <c r="L46" s="276" t="s">
        <v>266</v>
      </c>
      <c r="M46" s="277"/>
      <c r="N46" s="278">
        <v>129.52000000000001</v>
      </c>
      <c r="O46" s="180">
        <f>SUM(N42:N46)</f>
        <v>630.29</v>
      </c>
    </row>
    <row r="47" spans="11:15" ht="12.75" x14ac:dyDescent="0.2">
      <c r="K47" s="178" t="s">
        <v>344</v>
      </c>
      <c r="L47" s="75" t="s">
        <v>262</v>
      </c>
      <c r="M47" s="179"/>
      <c r="N47" s="169">
        <v>112.11</v>
      </c>
    </row>
    <row r="48" spans="11:15" ht="12.75" x14ac:dyDescent="0.2">
      <c r="K48" s="178" t="s">
        <v>344</v>
      </c>
      <c r="L48" s="75" t="s">
        <v>263</v>
      </c>
      <c r="M48" s="179"/>
      <c r="N48" s="169">
        <v>129.52000000000001</v>
      </c>
    </row>
    <row r="49" spans="11:15" ht="12.75" x14ac:dyDescent="0.2">
      <c r="K49" s="178" t="s">
        <v>344</v>
      </c>
      <c r="L49" s="75" t="s">
        <v>264</v>
      </c>
      <c r="M49" s="179"/>
      <c r="N49" s="169">
        <v>129.52000000000001</v>
      </c>
    </row>
    <row r="50" spans="11:15" ht="12.75" x14ac:dyDescent="0.2">
      <c r="K50" s="178" t="s">
        <v>344</v>
      </c>
      <c r="L50" s="75" t="s">
        <v>265</v>
      </c>
      <c r="M50" s="179"/>
      <c r="N50" s="169">
        <v>129.52000000000001</v>
      </c>
    </row>
    <row r="51" spans="11:15" ht="12.75" x14ac:dyDescent="0.2">
      <c r="K51" s="178" t="s">
        <v>344</v>
      </c>
      <c r="L51" s="75" t="s">
        <v>266</v>
      </c>
      <c r="M51" s="179"/>
      <c r="N51" s="169">
        <v>129.52000000000001</v>
      </c>
      <c r="O51" s="180">
        <f t="shared" ref="O51" si="0">SUM(N47:N51)</f>
        <v>630.18999999999994</v>
      </c>
    </row>
    <row r="52" spans="11:15" ht="12.75" x14ac:dyDescent="0.2">
      <c r="K52" s="275" t="s">
        <v>345</v>
      </c>
      <c r="L52" s="276" t="s">
        <v>262</v>
      </c>
      <c r="M52" s="277"/>
      <c r="N52" s="278">
        <v>125.34</v>
      </c>
    </row>
    <row r="53" spans="11:15" ht="12.75" x14ac:dyDescent="0.2">
      <c r="K53" s="275" t="s">
        <v>345</v>
      </c>
      <c r="L53" s="276" t="s">
        <v>263</v>
      </c>
      <c r="M53" s="277"/>
      <c r="N53" s="278">
        <v>125.34</v>
      </c>
    </row>
    <row r="54" spans="11:15" ht="12.75" x14ac:dyDescent="0.2">
      <c r="K54" s="275" t="s">
        <v>345</v>
      </c>
      <c r="L54" s="276" t="s">
        <v>264</v>
      </c>
      <c r="M54" s="277"/>
      <c r="N54" s="278">
        <v>125.34</v>
      </c>
    </row>
    <row r="55" spans="11:15" ht="12.75" x14ac:dyDescent="0.2">
      <c r="K55" s="275" t="s">
        <v>345</v>
      </c>
      <c r="L55" s="276" t="s">
        <v>265</v>
      </c>
      <c r="M55" s="277"/>
      <c r="N55" s="278">
        <v>125.34</v>
      </c>
    </row>
    <row r="56" spans="11:15" ht="12.75" x14ac:dyDescent="0.2">
      <c r="K56" s="275" t="s">
        <v>345</v>
      </c>
      <c r="L56" s="276" t="s">
        <v>266</v>
      </c>
      <c r="M56" s="277"/>
      <c r="N56" s="278">
        <v>108.49</v>
      </c>
      <c r="O56" s="180">
        <f t="shared" ref="O56" si="1">SUM(N52:N56)</f>
        <v>609.85</v>
      </c>
    </row>
    <row r="57" spans="11:15" ht="12.75" x14ac:dyDescent="0.2">
      <c r="K57" s="178" t="s">
        <v>346</v>
      </c>
      <c r="L57" s="75" t="s">
        <v>262</v>
      </c>
      <c r="M57" s="179"/>
      <c r="N57" s="169">
        <v>112.11</v>
      </c>
    </row>
    <row r="58" spans="11:15" ht="12.75" x14ac:dyDescent="0.2">
      <c r="K58" s="178" t="s">
        <v>346</v>
      </c>
      <c r="L58" s="75" t="s">
        <v>263</v>
      </c>
      <c r="M58" s="179"/>
      <c r="N58" s="169">
        <v>129.52000000000001</v>
      </c>
    </row>
    <row r="59" spans="11:15" ht="12.75" x14ac:dyDescent="0.2">
      <c r="K59" s="178" t="s">
        <v>346</v>
      </c>
      <c r="L59" s="75" t="s">
        <v>264</v>
      </c>
      <c r="M59" s="179"/>
      <c r="N59" s="169">
        <v>129.52000000000001</v>
      </c>
    </row>
    <row r="60" spans="11:15" ht="12.75" x14ac:dyDescent="0.2">
      <c r="K60" s="178" t="s">
        <v>346</v>
      </c>
      <c r="L60" s="75" t="s">
        <v>265</v>
      </c>
      <c r="M60" s="179"/>
      <c r="N60" s="169">
        <v>129.52000000000001</v>
      </c>
    </row>
    <row r="61" spans="11:15" ht="12.75" x14ac:dyDescent="0.2">
      <c r="K61" s="178" t="s">
        <v>346</v>
      </c>
      <c r="L61" s="75" t="s">
        <v>266</v>
      </c>
      <c r="M61" s="179"/>
      <c r="N61" s="169">
        <v>129.52000000000001</v>
      </c>
      <c r="O61" s="180">
        <f t="shared" ref="O61" si="2">SUM(N57:N61)</f>
        <v>630.18999999999994</v>
      </c>
    </row>
  </sheetData>
  <mergeCells count="1">
    <mergeCell ref="A2:A6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6"/>
  <sheetViews>
    <sheetView topLeftCell="A52" workbookViewId="0">
      <selection activeCell="G77" sqref="G77"/>
    </sheetView>
  </sheetViews>
  <sheetFormatPr defaultRowHeight="12.75" x14ac:dyDescent="0.2"/>
  <cols>
    <col min="1" max="1" width="11" bestFit="1" customWidth="1"/>
    <col min="2" max="2" width="7.42578125" bestFit="1" customWidth="1"/>
    <col min="3" max="4" width="10.140625" bestFit="1" customWidth="1"/>
    <col min="6" max="6" width="5.140625" bestFit="1" customWidth="1"/>
    <col min="7" max="7" width="10.140625" bestFit="1" customWidth="1"/>
    <col min="8" max="8" width="7.7109375" bestFit="1" customWidth="1"/>
    <col min="11" max="11" width="15.140625" bestFit="1" customWidth="1"/>
    <col min="12" max="12" width="31.28515625" bestFit="1" customWidth="1"/>
    <col min="13" max="13" width="12.28515625" bestFit="1" customWidth="1"/>
    <col min="14" max="14" width="12.85546875" bestFit="1" customWidth="1"/>
  </cols>
  <sheetData>
    <row r="1" spans="1:15" ht="39" thickBot="1" x14ac:dyDescent="0.25">
      <c r="A1" s="28" t="s">
        <v>98</v>
      </c>
      <c r="B1" s="28" t="s">
        <v>88</v>
      </c>
      <c r="C1" s="28" t="s">
        <v>89</v>
      </c>
      <c r="D1" s="28" t="s">
        <v>90</v>
      </c>
      <c r="E1" s="28" t="s">
        <v>91</v>
      </c>
      <c r="F1" s="28" t="s">
        <v>92</v>
      </c>
      <c r="G1" s="28" t="s">
        <v>93</v>
      </c>
      <c r="H1" s="28" t="s">
        <v>167</v>
      </c>
      <c r="I1" s="28" t="s">
        <v>95</v>
      </c>
      <c r="K1" s="28" t="s">
        <v>25</v>
      </c>
      <c r="L1" s="28" t="s">
        <v>26</v>
      </c>
      <c r="M1" s="28" t="s">
        <v>59</v>
      </c>
      <c r="N1" s="28" t="s">
        <v>60</v>
      </c>
      <c r="O1" s="104">
        <f>SUM(M2:M999)</f>
        <v>2267.9700000000003</v>
      </c>
    </row>
    <row r="2" spans="1:15" ht="13.5" thickBot="1" x14ac:dyDescent="0.25">
      <c r="A2" s="324">
        <v>1820425004</v>
      </c>
      <c r="B2" s="89">
        <v>119542</v>
      </c>
      <c r="C2" s="90">
        <v>43801</v>
      </c>
      <c r="D2" s="90">
        <v>43801</v>
      </c>
      <c r="E2" s="90">
        <v>43807</v>
      </c>
      <c r="F2" s="89">
        <v>6</v>
      </c>
      <c r="G2" s="91">
        <v>30000</v>
      </c>
      <c r="H2" s="92">
        <v>4</v>
      </c>
      <c r="I2" s="91">
        <v>30000</v>
      </c>
      <c r="K2" s="24">
        <v>43709</v>
      </c>
      <c r="L2" s="25" t="s">
        <v>99</v>
      </c>
      <c r="M2" s="26"/>
      <c r="N2" s="26">
        <v>164.65</v>
      </c>
    </row>
    <row r="3" spans="1:15" ht="13.5" thickBot="1" x14ac:dyDescent="0.25">
      <c r="A3" s="325"/>
      <c r="B3" s="89">
        <v>119543</v>
      </c>
      <c r="C3" s="90">
        <v>43801</v>
      </c>
      <c r="D3" s="90">
        <v>43801</v>
      </c>
      <c r="E3" s="90">
        <v>43807</v>
      </c>
      <c r="F3" s="89">
        <v>6</v>
      </c>
      <c r="G3" s="91">
        <v>11156.9</v>
      </c>
      <c r="H3" s="92">
        <v>4</v>
      </c>
      <c r="I3" s="91">
        <v>11156.9</v>
      </c>
      <c r="K3" s="24">
        <v>43709</v>
      </c>
      <c r="L3" s="25" t="s">
        <v>168</v>
      </c>
      <c r="M3" s="26">
        <v>164.65</v>
      </c>
      <c r="N3" s="26"/>
    </row>
    <row r="4" spans="1:15" ht="13.5" thickBot="1" x14ac:dyDescent="0.25">
      <c r="A4" s="325"/>
      <c r="B4" s="85">
        <v>970411</v>
      </c>
      <c r="C4" s="86">
        <v>43385</v>
      </c>
      <c r="D4" s="86">
        <v>43385</v>
      </c>
      <c r="E4" s="86">
        <v>43744</v>
      </c>
      <c r="F4" s="85">
        <v>6</v>
      </c>
      <c r="G4" s="87">
        <v>47284.13</v>
      </c>
      <c r="H4" s="88">
        <v>4.0999999999999996</v>
      </c>
      <c r="I4" s="87">
        <v>47284.13</v>
      </c>
      <c r="K4" s="24">
        <v>43709</v>
      </c>
      <c r="L4" s="25" t="s">
        <v>100</v>
      </c>
      <c r="M4" s="26"/>
      <c r="N4" s="26">
        <v>174.11</v>
      </c>
    </row>
    <row r="5" spans="1:15" ht="13.5" thickBot="1" x14ac:dyDescent="0.25">
      <c r="A5" s="325"/>
      <c r="B5" s="85">
        <v>970412</v>
      </c>
      <c r="C5" s="86">
        <v>43385</v>
      </c>
      <c r="D5" s="86">
        <v>43385</v>
      </c>
      <c r="E5" s="86">
        <v>43744</v>
      </c>
      <c r="F5" s="85">
        <v>6</v>
      </c>
      <c r="G5" s="87">
        <v>50000</v>
      </c>
      <c r="H5" s="88">
        <v>4.0999999999999996</v>
      </c>
      <c r="I5" s="87">
        <v>50000</v>
      </c>
      <c r="K5" s="24">
        <v>43709</v>
      </c>
      <c r="L5" s="25" t="s">
        <v>169</v>
      </c>
      <c r="M5" s="26">
        <v>174.11</v>
      </c>
      <c r="N5" s="26"/>
    </row>
    <row r="6" spans="1:15" ht="13.5" thickBot="1" x14ac:dyDescent="0.25">
      <c r="A6" s="326"/>
      <c r="B6" s="85">
        <v>970413</v>
      </c>
      <c r="C6" s="86">
        <v>43385</v>
      </c>
      <c r="D6" s="86">
        <v>43385</v>
      </c>
      <c r="E6" s="86">
        <v>43744</v>
      </c>
      <c r="F6" s="85">
        <v>6</v>
      </c>
      <c r="G6" s="87">
        <v>50000</v>
      </c>
      <c r="H6" s="88">
        <v>4.0999999999999996</v>
      </c>
      <c r="I6" s="87">
        <v>50000</v>
      </c>
      <c r="K6" s="24">
        <v>43709</v>
      </c>
      <c r="L6" s="25" t="s">
        <v>101</v>
      </c>
      <c r="M6" s="26"/>
      <c r="N6" s="26">
        <v>174.11</v>
      </c>
    </row>
    <row r="7" spans="1:15" ht="13.5" thickBot="1" x14ac:dyDescent="0.25">
      <c r="G7" s="1">
        <f>SUM(G4:G6)</f>
        <v>147284.13</v>
      </c>
      <c r="K7" s="24">
        <v>43709</v>
      </c>
      <c r="L7" s="25" t="s">
        <v>170</v>
      </c>
      <c r="M7" s="26">
        <v>174.11</v>
      </c>
      <c r="N7" s="26"/>
    </row>
    <row r="8" spans="1:15" ht="13.5" thickBot="1" x14ac:dyDescent="0.25">
      <c r="K8" s="24">
        <v>43710</v>
      </c>
      <c r="L8" s="25" t="s">
        <v>99</v>
      </c>
      <c r="M8" s="26"/>
      <c r="N8" s="26">
        <v>164.65</v>
      </c>
    </row>
    <row r="9" spans="1:15" ht="13.5" thickBot="1" x14ac:dyDescent="0.25">
      <c r="K9" s="24">
        <v>43710</v>
      </c>
      <c r="L9" s="25" t="s">
        <v>168</v>
      </c>
      <c r="M9" s="26">
        <v>164.65</v>
      </c>
      <c r="N9" s="26"/>
    </row>
    <row r="10" spans="1:15" ht="13.5" thickBot="1" x14ac:dyDescent="0.25">
      <c r="K10" s="24">
        <v>43710</v>
      </c>
      <c r="L10" s="25" t="s">
        <v>100</v>
      </c>
      <c r="M10" s="26"/>
      <c r="N10" s="26">
        <v>174.11</v>
      </c>
    </row>
    <row r="11" spans="1:15" ht="13.5" thickBot="1" x14ac:dyDescent="0.25">
      <c r="K11" s="24">
        <v>43710</v>
      </c>
      <c r="L11" s="25" t="s">
        <v>169</v>
      </c>
      <c r="M11" s="26">
        <v>174.11</v>
      </c>
      <c r="N11" s="26"/>
    </row>
    <row r="12" spans="1:15" ht="13.5" thickBot="1" x14ac:dyDescent="0.25">
      <c r="K12" s="24">
        <v>43710</v>
      </c>
      <c r="L12" s="25" t="s">
        <v>101</v>
      </c>
      <c r="M12" s="26"/>
      <c r="N12" s="26">
        <v>174.11</v>
      </c>
    </row>
    <row r="13" spans="1:15" ht="13.5" thickBot="1" x14ac:dyDescent="0.25">
      <c r="K13" s="24">
        <v>43710</v>
      </c>
      <c r="L13" s="25" t="s">
        <v>170</v>
      </c>
      <c r="M13" s="26">
        <v>174.11</v>
      </c>
      <c r="N13" s="26"/>
    </row>
    <row r="14" spans="1:15" ht="13.5" thickBot="1" x14ac:dyDescent="0.25">
      <c r="K14" s="24">
        <v>43801</v>
      </c>
      <c r="L14" s="25" t="s">
        <v>171</v>
      </c>
      <c r="M14" s="26"/>
      <c r="N14" s="27">
        <v>11156.9</v>
      </c>
    </row>
    <row r="15" spans="1:15" ht="13.5" thickBot="1" x14ac:dyDescent="0.25">
      <c r="K15" s="24">
        <v>43801</v>
      </c>
      <c r="L15" s="25" t="s">
        <v>171</v>
      </c>
      <c r="M15" s="26"/>
      <c r="N15" s="27">
        <v>30000</v>
      </c>
    </row>
    <row r="16" spans="1:15" ht="13.5" thickBot="1" x14ac:dyDescent="0.25">
      <c r="K16" s="24">
        <v>43711</v>
      </c>
      <c r="L16" s="25" t="s">
        <v>99</v>
      </c>
      <c r="M16" s="26"/>
      <c r="N16" s="26">
        <v>148.72</v>
      </c>
    </row>
    <row r="17" spans="11:14" ht="13.5" thickBot="1" x14ac:dyDescent="0.25">
      <c r="K17" s="24">
        <v>43711</v>
      </c>
      <c r="L17" s="25" t="s">
        <v>168</v>
      </c>
      <c r="M17" s="26">
        <v>148.72</v>
      </c>
      <c r="N17" s="26"/>
    </row>
    <row r="18" spans="11:14" ht="13.5" thickBot="1" x14ac:dyDescent="0.25">
      <c r="K18" s="24">
        <v>43711</v>
      </c>
      <c r="L18" s="25" t="s">
        <v>100</v>
      </c>
      <c r="M18" s="26"/>
      <c r="N18" s="26">
        <v>157.26</v>
      </c>
    </row>
    <row r="19" spans="11:14" ht="13.5" thickBot="1" x14ac:dyDescent="0.25">
      <c r="K19" s="24">
        <v>43711</v>
      </c>
      <c r="L19" s="25" t="s">
        <v>169</v>
      </c>
      <c r="M19" s="26">
        <v>157.26</v>
      </c>
      <c r="N19" s="26"/>
    </row>
    <row r="20" spans="11:14" ht="13.5" thickBot="1" x14ac:dyDescent="0.25">
      <c r="K20" s="24">
        <v>43711</v>
      </c>
      <c r="L20" s="25" t="s">
        <v>101</v>
      </c>
      <c r="M20" s="26"/>
      <c r="N20" s="26">
        <v>157.26</v>
      </c>
    </row>
    <row r="21" spans="11:14" ht="13.5" thickBot="1" x14ac:dyDescent="0.25">
      <c r="K21" s="24">
        <v>43711</v>
      </c>
      <c r="L21" s="25" t="s">
        <v>170</v>
      </c>
      <c r="M21" s="26">
        <v>157.26</v>
      </c>
      <c r="N21" s="26"/>
    </row>
    <row r="22" spans="11:14" ht="13.5" thickBot="1" x14ac:dyDescent="0.25">
      <c r="K22" s="24">
        <v>43772</v>
      </c>
      <c r="L22" s="25" t="s">
        <v>124</v>
      </c>
      <c r="M22" s="26"/>
      <c r="N22" s="26">
        <v>92.05</v>
      </c>
    </row>
    <row r="23" spans="11:14" ht="13.5" thickBot="1" x14ac:dyDescent="0.25">
      <c r="K23" s="24">
        <v>43772</v>
      </c>
      <c r="L23" s="25" t="s">
        <v>172</v>
      </c>
      <c r="M23" s="26">
        <v>92.05</v>
      </c>
      <c r="N23" s="26"/>
    </row>
    <row r="24" spans="11:14" ht="13.5" thickBot="1" x14ac:dyDescent="0.25">
      <c r="K24" s="24">
        <v>43772</v>
      </c>
      <c r="L24" s="25" t="s">
        <v>125</v>
      </c>
      <c r="M24" s="26"/>
      <c r="N24" s="26">
        <v>34.229999999999997</v>
      </c>
    </row>
    <row r="25" spans="11:14" ht="13.5" thickBot="1" x14ac:dyDescent="0.25">
      <c r="K25" s="24">
        <v>43772</v>
      </c>
      <c r="L25" s="25" t="s">
        <v>173</v>
      </c>
      <c r="M25" s="26">
        <v>34.229999999999997</v>
      </c>
      <c r="N25" s="26"/>
    </row>
    <row r="26" spans="11:14" ht="13.5" thickBot="1" x14ac:dyDescent="0.25">
      <c r="K26" s="24">
        <v>43712</v>
      </c>
      <c r="L26" s="25" t="s">
        <v>179</v>
      </c>
      <c r="M26" s="26"/>
      <c r="N26" s="26">
        <v>164.66</v>
      </c>
    </row>
    <row r="27" spans="11:14" ht="13.5" thickBot="1" x14ac:dyDescent="0.25">
      <c r="K27" s="24">
        <v>43712</v>
      </c>
      <c r="L27" s="25" t="s">
        <v>180</v>
      </c>
      <c r="M27" s="26">
        <v>164.66</v>
      </c>
      <c r="N27" s="26"/>
    </row>
    <row r="28" spans="11:14" ht="13.5" thickBot="1" x14ac:dyDescent="0.25">
      <c r="K28" s="24">
        <v>43712</v>
      </c>
      <c r="L28" s="25" t="s">
        <v>181</v>
      </c>
      <c r="M28" s="26"/>
      <c r="N28" s="26">
        <v>174.11</v>
      </c>
    </row>
    <row r="29" spans="11:14" ht="13.5" thickBot="1" x14ac:dyDescent="0.25">
      <c r="K29" s="24">
        <v>43712</v>
      </c>
      <c r="L29" s="25" t="s">
        <v>182</v>
      </c>
      <c r="M29" s="26">
        <v>174.11</v>
      </c>
      <c r="N29" s="26"/>
    </row>
    <row r="30" spans="11:14" ht="13.5" thickBot="1" x14ac:dyDescent="0.25">
      <c r="K30" s="24">
        <v>43712</v>
      </c>
      <c r="L30" s="25" t="s">
        <v>183</v>
      </c>
      <c r="M30" s="26"/>
      <c r="N30" s="26">
        <v>174.11</v>
      </c>
    </row>
    <row r="31" spans="11:14" ht="13.5" thickBot="1" x14ac:dyDescent="0.25">
      <c r="K31" s="24">
        <v>43712</v>
      </c>
      <c r="L31" s="25" t="s">
        <v>184</v>
      </c>
      <c r="M31" s="26">
        <v>174.11</v>
      </c>
      <c r="N31" s="26"/>
    </row>
    <row r="32" spans="11:14" ht="13.5" thickBot="1" x14ac:dyDescent="0.25">
      <c r="K32" s="24">
        <v>43773</v>
      </c>
      <c r="L32" s="25" t="s">
        <v>159</v>
      </c>
      <c r="M32" s="26"/>
      <c r="N32" s="26">
        <v>101.92</v>
      </c>
    </row>
    <row r="33" spans="11:16" ht="13.5" thickBot="1" x14ac:dyDescent="0.25">
      <c r="K33" s="24">
        <v>43773</v>
      </c>
      <c r="L33" s="25" t="s">
        <v>187</v>
      </c>
      <c r="M33" s="26">
        <v>101.92</v>
      </c>
      <c r="N33" s="26"/>
    </row>
    <row r="34" spans="11:16" ht="13.5" thickBot="1" x14ac:dyDescent="0.25">
      <c r="K34" s="24">
        <v>43773</v>
      </c>
      <c r="L34" s="25" t="s">
        <v>158</v>
      </c>
      <c r="M34" s="26"/>
      <c r="N34" s="26">
        <v>37.909999999999997</v>
      </c>
    </row>
    <row r="35" spans="11:16" x14ac:dyDescent="0.2">
      <c r="K35" s="166">
        <v>43773</v>
      </c>
      <c r="L35" s="167" t="s">
        <v>188</v>
      </c>
      <c r="M35" s="168">
        <v>37.909999999999997</v>
      </c>
      <c r="N35" s="168"/>
    </row>
    <row r="36" spans="11:16" x14ac:dyDescent="0.2">
      <c r="K36" s="189">
        <v>43743</v>
      </c>
      <c r="L36" s="190" t="s">
        <v>180</v>
      </c>
      <c r="M36" s="190"/>
      <c r="N36" s="190">
        <v>159.34</v>
      </c>
    </row>
    <row r="37" spans="11:16" x14ac:dyDescent="0.2">
      <c r="K37" s="189">
        <v>43743</v>
      </c>
      <c r="L37" s="190" t="s">
        <v>182</v>
      </c>
      <c r="M37" s="190"/>
      <c r="N37" s="190">
        <v>168.49</v>
      </c>
    </row>
    <row r="38" spans="11:16" x14ac:dyDescent="0.2">
      <c r="K38" s="189">
        <v>43743</v>
      </c>
      <c r="L38" s="190" t="s">
        <v>184</v>
      </c>
      <c r="M38" s="190"/>
      <c r="N38" s="190">
        <v>168.49</v>
      </c>
    </row>
    <row r="39" spans="11:16" x14ac:dyDescent="0.2">
      <c r="K39" s="189">
        <v>43804</v>
      </c>
      <c r="L39" s="190" t="s">
        <v>172</v>
      </c>
      <c r="M39" s="191"/>
      <c r="N39" s="190">
        <v>98.63</v>
      </c>
    </row>
    <row r="40" spans="11:16" x14ac:dyDescent="0.2">
      <c r="K40" s="189">
        <v>43804</v>
      </c>
      <c r="L40" s="190" t="s">
        <v>173</v>
      </c>
      <c r="M40" s="191"/>
      <c r="N40" s="190">
        <v>36.68</v>
      </c>
    </row>
    <row r="41" spans="11:16" x14ac:dyDescent="0.2">
      <c r="K41" s="192">
        <v>43744</v>
      </c>
      <c r="L41" s="193" t="s">
        <v>180</v>
      </c>
      <c r="M41" s="193"/>
      <c r="N41" s="193">
        <v>164.65</v>
      </c>
    </row>
    <row r="42" spans="11:16" x14ac:dyDescent="0.2">
      <c r="K42" s="192">
        <v>43744</v>
      </c>
      <c r="L42" s="193" t="s">
        <v>182</v>
      </c>
      <c r="M42" s="193"/>
      <c r="N42" s="193">
        <v>174.11</v>
      </c>
    </row>
    <row r="43" spans="11:16" x14ac:dyDescent="0.2">
      <c r="K43" s="192">
        <v>43744</v>
      </c>
      <c r="L43" s="193" t="s">
        <v>184</v>
      </c>
      <c r="M43" s="193"/>
      <c r="N43" s="193">
        <v>174.11</v>
      </c>
      <c r="O43">
        <f>SUM(N41:N43)</f>
        <v>512.87</v>
      </c>
    </row>
    <row r="44" spans="11:16" x14ac:dyDescent="0.2">
      <c r="K44" s="192">
        <v>43805</v>
      </c>
      <c r="L44" s="193" t="s">
        <v>172</v>
      </c>
      <c r="M44" s="194"/>
      <c r="N44" s="193">
        <v>37.9</v>
      </c>
    </row>
    <row r="45" spans="11:16" x14ac:dyDescent="0.2">
      <c r="K45" s="192">
        <v>43805</v>
      </c>
      <c r="L45" s="193" t="s">
        <v>173</v>
      </c>
      <c r="M45" s="194"/>
      <c r="N45" s="193">
        <v>101.92</v>
      </c>
      <c r="O45">
        <f>SUM(N44:N45)</f>
        <v>139.82</v>
      </c>
      <c r="P45">
        <f>SUM(N41:N45)</f>
        <v>652.68999999999994</v>
      </c>
    </row>
    <row r="46" spans="11:16" x14ac:dyDescent="0.2">
      <c r="K46" s="189">
        <v>43745</v>
      </c>
      <c r="L46" s="190" t="s">
        <v>180</v>
      </c>
      <c r="M46" s="190"/>
      <c r="N46" s="190">
        <v>118.53</v>
      </c>
    </row>
    <row r="47" spans="11:16" x14ac:dyDescent="0.2">
      <c r="K47" s="189">
        <v>43745</v>
      </c>
      <c r="L47" s="190" t="s">
        <v>182</v>
      </c>
      <c r="M47" s="190"/>
      <c r="N47" s="190">
        <v>125.34</v>
      </c>
    </row>
    <row r="48" spans="11:16" x14ac:dyDescent="0.2">
      <c r="K48" s="189">
        <v>43745</v>
      </c>
      <c r="L48" s="190" t="s">
        <v>184</v>
      </c>
      <c r="M48" s="190"/>
      <c r="N48" s="190">
        <v>125.34</v>
      </c>
      <c r="O48">
        <f>SUM(N46:N48)</f>
        <v>369.21000000000004</v>
      </c>
    </row>
    <row r="49" spans="7:15" x14ac:dyDescent="0.2">
      <c r="K49" s="189">
        <v>43806</v>
      </c>
      <c r="L49" s="190" t="s">
        <v>172</v>
      </c>
      <c r="M49" s="191"/>
      <c r="N49" s="190">
        <v>98.63</v>
      </c>
    </row>
    <row r="50" spans="7:15" x14ac:dyDescent="0.2">
      <c r="K50" s="189">
        <v>43806</v>
      </c>
      <c r="L50" s="190" t="s">
        <v>173</v>
      </c>
      <c r="M50" s="191"/>
      <c r="N50" s="190">
        <v>36.68</v>
      </c>
      <c r="O50">
        <f>SUM(N49:N50)</f>
        <v>135.31</v>
      </c>
    </row>
    <row r="51" spans="7:15" x14ac:dyDescent="0.2">
      <c r="G51">
        <v>1751</v>
      </c>
      <c r="K51" s="192">
        <v>43746</v>
      </c>
      <c r="L51" s="193" t="s">
        <v>180</v>
      </c>
      <c r="M51" s="193"/>
      <c r="N51" s="193">
        <v>122.49</v>
      </c>
    </row>
    <row r="52" spans="7:15" x14ac:dyDescent="0.2">
      <c r="G52" s="281">
        <v>1594.78</v>
      </c>
      <c r="K52" s="192">
        <v>43746</v>
      </c>
      <c r="L52" s="193" t="s">
        <v>182</v>
      </c>
      <c r="M52" s="193"/>
      <c r="N52" s="193">
        <v>129.52000000000001</v>
      </c>
    </row>
    <row r="53" spans="7:15" x14ac:dyDescent="0.2">
      <c r="G53" s="1">
        <f>G51-G52</f>
        <v>156.22000000000003</v>
      </c>
      <c r="K53" s="192">
        <v>43746</v>
      </c>
      <c r="L53" s="193" t="s">
        <v>184</v>
      </c>
      <c r="M53" s="193"/>
      <c r="N53" s="193">
        <v>129.52000000000001</v>
      </c>
    </row>
    <row r="54" spans="7:15" x14ac:dyDescent="0.2">
      <c r="K54" s="282">
        <v>43807</v>
      </c>
      <c r="L54" s="283" t="s">
        <v>172</v>
      </c>
      <c r="M54" s="284"/>
      <c r="N54" s="283">
        <v>37.9</v>
      </c>
    </row>
    <row r="55" spans="7:15" x14ac:dyDescent="0.2">
      <c r="K55" s="282">
        <v>43807</v>
      </c>
      <c r="L55" s="283" t="s">
        <v>173</v>
      </c>
      <c r="M55" s="284"/>
      <c r="N55" s="283">
        <v>101.92</v>
      </c>
    </row>
    <row r="56" spans="7:15" x14ac:dyDescent="0.2">
      <c r="K56" s="189">
        <v>43747</v>
      </c>
      <c r="L56" s="190" t="s">
        <v>180</v>
      </c>
      <c r="M56" s="190"/>
      <c r="N56" s="190">
        <v>122.48</v>
      </c>
    </row>
    <row r="57" spans="7:15" x14ac:dyDescent="0.2">
      <c r="K57" s="189">
        <v>43747</v>
      </c>
      <c r="L57" s="190" t="s">
        <v>182</v>
      </c>
      <c r="M57" s="190"/>
      <c r="N57" s="190">
        <v>129.53</v>
      </c>
    </row>
    <row r="58" spans="7:15" x14ac:dyDescent="0.2">
      <c r="K58" s="189">
        <v>43747</v>
      </c>
      <c r="L58" s="190" t="s">
        <v>184</v>
      </c>
      <c r="M58" s="190"/>
      <c r="N58" s="190">
        <v>129.53</v>
      </c>
      <c r="O58">
        <f>SUM(N56:N58)</f>
        <v>381.53999999999996</v>
      </c>
    </row>
    <row r="59" spans="7:15" x14ac:dyDescent="0.2">
      <c r="K59" s="282">
        <v>43808</v>
      </c>
      <c r="L59" s="283" t="s">
        <v>172</v>
      </c>
      <c r="M59" s="284"/>
      <c r="N59" s="283">
        <v>28.9</v>
      </c>
    </row>
    <row r="60" spans="7:15" x14ac:dyDescent="0.2">
      <c r="K60" s="282">
        <v>43808</v>
      </c>
      <c r="L60" s="283" t="s">
        <v>173</v>
      </c>
      <c r="M60" s="284"/>
      <c r="N60" s="283">
        <v>77.709999999999994</v>
      </c>
      <c r="O60">
        <f>SUM(N59:N60)</f>
        <v>106.60999999999999</v>
      </c>
    </row>
    <row r="61" spans="7:15" x14ac:dyDescent="0.2">
      <c r="K61" s="189">
        <v>43748</v>
      </c>
      <c r="L61" s="190" t="s">
        <v>387</v>
      </c>
      <c r="M61" s="190"/>
      <c r="N61" s="190">
        <v>118.54</v>
      </c>
    </row>
    <row r="62" spans="7:15" x14ac:dyDescent="0.2">
      <c r="K62" s="189">
        <v>43748</v>
      </c>
      <c r="L62" s="190" t="s">
        <v>388</v>
      </c>
      <c r="M62" s="190"/>
      <c r="N62" s="190">
        <v>125.34</v>
      </c>
    </row>
    <row r="63" spans="7:15" x14ac:dyDescent="0.2">
      <c r="K63" s="189">
        <v>43748</v>
      </c>
      <c r="L63" s="190" t="s">
        <v>389</v>
      </c>
      <c r="M63" s="190"/>
      <c r="N63" s="190">
        <v>125.34</v>
      </c>
      <c r="O63">
        <f>SUM(N61:N63)</f>
        <v>369.22</v>
      </c>
    </row>
    <row r="64" spans="7:15" x14ac:dyDescent="0.2">
      <c r="K64" s="282">
        <v>43809</v>
      </c>
      <c r="L64" s="283" t="s">
        <v>390</v>
      </c>
      <c r="M64" s="284"/>
      <c r="N64" s="283">
        <v>27.97</v>
      </c>
    </row>
    <row r="65" spans="7:15" x14ac:dyDescent="0.2">
      <c r="K65" s="282">
        <v>43809</v>
      </c>
      <c r="L65" s="283" t="s">
        <v>391</v>
      </c>
      <c r="M65" s="284"/>
      <c r="N65" s="283">
        <v>75.209999999999994</v>
      </c>
      <c r="O65">
        <f>SUM(N64:N65)</f>
        <v>103.17999999999999</v>
      </c>
    </row>
    <row r="66" spans="7:15" x14ac:dyDescent="0.2">
      <c r="K66" s="189">
        <v>43749</v>
      </c>
      <c r="L66" s="190" t="s">
        <v>387</v>
      </c>
      <c r="M66" s="190"/>
      <c r="N66" s="190">
        <v>122.48</v>
      </c>
    </row>
    <row r="67" spans="7:15" x14ac:dyDescent="0.2">
      <c r="K67" s="189">
        <v>43749</v>
      </c>
      <c r="L67" s="190" t="s">
        <v>388</v>
      </c>
      <c r="M67" s="190"/>
      <c r="N67" s="190">
        <v>129.52000000000001</v>
      </c>
    </row>
    <row r="68" spans="7:15" x14ac:dyDescent="0.2">
      <c r="K68" s="189">
        <v>43749</v>
      </c>
      <c r="L68" s="190" t="s">
        <v>389</v>
      </c>
      <c r="M68" s="190"/>
      <c r="N68" s="190">
        <v>129.52000000000001</v>
      </c>
      <c r="O68">
        <f>SUM(N66:N68)</f>
        <v>381.52</v>
      </c>
    </row>
    <row r="69" spans="7:15" x14ac:dyDescent="0.2">
      <c r="K69" s="282">
        <v>43810</v>
      </c>
      <c r="L69" s="283" t="s">
        <v>390</v>
      </c>
      <c r="M69" s="284"/>
      <c r="N69" s="283">
        <v>28.9</v>
      </c>
    </row>
    <row r="70" spans="7:15" x14ac:dyDescent="0.2">
      <c r="K70" s="282">
        <v>43810</v>
      </c>
      <c r="L70" s="283" t="s">
        <v>391</v>
      </c>
      <c r="M70" s="284"/>
      <c r="N70" s="283">
        <v>77.709999999999994</v>
      </c>
      <c r="O70">
        <f>SUM(N69:N70)</f>
        <v>106.60999999999999</v>
      </c>
    </row>
    <row r="71" spans="7:15" x14ac:dyDescent="0.2">
      <c r="K71" s="189">
        <v>43750</v>
      </c>
      <c r="L71" s="190" t="s">
        <v>387</v>
      </c>
      <c r="M71" s="190"/>
      <c r="N71" s="190">
        <v>118.54</v>
      </c>
    </row>
    <row r="72" spans="7:15" x14ac:dyDescent="0.2">
      <c r="K72" s="189">
        <v>43750</v>
      </c>
      <c r="L72" s="190" t="s">
        <v>388</v>
      </c>
      <c r="M72" s="190"/>
      <c r="N72" s="190">
        <v>125.34</v>
      </c>
    </row>
    <row r="73" spans="7:15" x14ac:dyDescent="0.2">
      <c r="K73" s="189">
        <v>43750</v>
      </c>
      <c r="L73" s="190" t="s">
        <v>389</v>
      </c>
      <c r="M73" s="190"/>
      <c r="N73" s="190">
        <v>125.34</v>
      </c>
      <c r="O73">
        <f>SUM(N71:N73)</f>
        <v>369.22</v>
      </c>
    </row>
    <row r="74" spans="7:15" x14ac:dyDescent="0.2">
      <c r="K74" s="282">
        <v>43811</v>
      </c>
      <c r="L74" s="283" t="s">
        <v>390</v>
      </c>
      <c r="M74" s="284"/>
      <c r="N74" s="283"/>
    </row>
    <row r="75" spans="7:15" x14ac:dyDescent="0.2">
      <c r="K75" s="282">
        <v>43811</v>
      </c>
      <c r="L75" s="283" t="s">
        <v>391</v>
      </c>
      <c r="M75" s="284"/>
      <c r="N75" s="283"/>
      <c r="O75">
        <f>SUM(N74:N75)</f>
        <v>0</v>
      </c>
    </row>
    <row r="76" spans="7:15" x14ac:dyDescent="0.2">
      <c r="G76">
        <f>2026-1751</f>
        <v>275</v>
      </c>
    </row>
  </sheetData>
  <mergeCells count="1">
    <mergeCell ref="A2:A6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18"/>
  <sheetViews>
    <sheetView workbookViewId="0">
      <pane xSplit="2" ySplit="8" topLeftCell="C114" activePane="bottomRight" state="frozen"/>
      <selection pane="topRight" activeCell="C1" sqref="C1"/>
      <selection pane="bottomLeft" activeCell="A9" sqref="A9"/>
      <selection pane="bottomRight" activeCell="B116" sqref="B116"/>
    </sheetView>
  </sheetViews>
  <sheetFormatPr defaultRowHeight="12.75" x14ac:dyDescent="0.2"/>
  <cols>
    <col min="1" max="1" width="19.28515625" customWidth="1"/>
    <col min="2" max="2" width="34.5703125" customWidth="1"/>
    <col min="3" max="3" width="11.5703125" bestFit="1" customWidth="1"/>
    <col min="4" max="4" width="10.28515625" bestFit="1" customWidth="1"/>
    <col min="5" max="5" width="18" bestFit="1" customWidth="1"/>
    <col min="7" max="7" width="9.5703125" bestFit="1" customWidth="1"/>
  </cols>
  <sheetData>
    <row r="1" spans="1:7" x14ac:dyDescent="0.2">
      <c r="A1" s="19" t="s">
        <v>15</v>
      </c>
      <c r="B1" s="18"/>
      <c r="C1" s="18"/>
      <c r="D1" s="18"/>
      <c r="E1" s="18"/>
    </row>
    <row r="2" spans="1:7" x14ac:dyDescent="0.2">
      <c r="A2" s="19" t="s">
        <v>16</v>
      </c>
      <c r="B2" s="18"/>
      <c r="C2" s="18"/>
      <c r="D2" s="18"/>
      <c r="E2" s="18"/>
    </row>
    <row r="3" spans="1:7" x14ac:dyDescent="0.2">
      <c r="A3" s="19" t="s">
        <v>17</v>
      </c>
      <c r="B3" s="18"/>
      <c r="C3" s="18"/>
      <c r="D3" s="18"/>
      <c r="E3" s="18"/>
    </row>
    <row r="4" spans="1:7" x14ac:dyDescent="0.2">
      <c r="A4" s="19" t="s">
        <v>16</v>
      </c>
      <c r="B4" s="18"/>
      <c r="C4" s="18"/>
      <c r="D4" s="18"/>
      <c r="E4" s="18"/>
    </row>
    <row r="5" spans="1:7" x14ac:dyDescent="0.2">
      <c r="A5" s="19" t="s">
        <v>18</v>
      </c>
      <c r="B5" s="19" t="s">
        <v>19</v>
      </c>
      <c r="C5" s="19" t="s">
        <v>20</v>
      </c>
      <c r="D5" s="18"/>
      <c r="E5" s="18"/>
    </row>
    <row r="6" spans="1:7" x14ac:dyDescent="0.2">
      <c r="A6" s="19" t="s">
        <v>21</v>
      </c>
      <c r="B6" s="19" t="s">
        <v>22</v>
      </c>
      <c r="C6" s="18"/>
      <c r="D6" s="18"/>
      <c r="E6" s="18"/>
    </row>
    <row r="7" spans="1:7" x14ac:dyDescent="0.2">
      <c r="A7" s="19" t="s">
        <v>23</v>
      </c>
      <c r="B7" s="38" t="s">
        <v>121</v>
      </c>
      <c r="C7" s="18"/>
      <c r="D7" s="18"/>
      <c r="E7" s="18"/>
    </row>
    <row r="8" spans="1:7" x14ac:dyDescent="0.2">
      <c r="A8" s="19" t="s">
        <v>25</v>
      </c>
      <c r="B8" s="19" t="s">
        <v>26</v>
      </c>
      <c r="C8" s="19" t="s">
        <v>27</v>
      </c>
      <c r="D8" s="19" t="s">
        <v>28</v>
      </c>
      <c r="E8" s="19" t="s">
        <v>29</v>
      </c>
    </row>
    <row r="9" spans="1:7" ht="15" customHeight="1" x14ac:dyDescent="0.2">
      <c r="A9" s="117" t="s">
        <v>51</v>
      </c>
      <c r="B9" s="117" t="s">
        <v>44</v>
      </c>
      <c r="C9" s="118">
        <v>2647</v>
      </c>
      <c r="D9" s="118">
        <v>0</v>
      </c>
      <c r="E9" s="108">
        <v>175307.63</v>
      </c>
    </row>
    <row r="10" spans="1:7" ht="15" customHeight="1" x14ac:dyDescent="0.2">
      <c r="A10" s="117" t="s">
        <v>83</v>
      </c>
      <c r="B10" s="117" t="s">
        <v>119</v>
      </c>
      <c r="C10" s="118">
        <v>0.5</v>
      </c>
      <c r="D10" s="118">
        <v>0</v>
      </c>
      <c r="E10" s="118">
        <v>145307.13</v>
      </c>
    </row>
    <row r="11" spans="1:7" ht="15" customHeight="1" x14ac:dyDescent="0.2">
      <c r="A11" s="117" t="s">
        <v>83</v>
      </c>
      <c r="B11" s="125" t="s">
        <v>120</v>
      </c>
      <c r="C11" s="108">
        <f>E12-E11</f>
        <v>2578.5</v>
      </c>
      <c r="D11" s="118">
        <v>0</v>
      </c>
      <c r="E11" s="118">
        <v>145307.63</v>
      </c>
    </row>
    <row r="12" spans="1:7" ht="15" customHeight="1" x14ac:dyDescent="0.2">
      <c r="A12" s="125" t="s">
        <v>81</v>
      </c>
      <c r="B12" s="125" t="s">
        <v>82</v>
      </c>
      <c r="C12" s="118">
        <v>0</v>
      </c>
      <c r="D12" s="118">
        <v>2579</v>
      </c>
      <c r="E12" s="118">
        <v>147886.13</v>
      </c>
    </row>
    <row r="13" spans="1:7" ht="15" customHeight="1" x14ac:dyDescent="0.2">
      <c r="A13" s="127" t="s">
        <v>87</v>
      </c>
      <c r="B13" s="127" t="s">
        <v>46</v>
      </c>
      <c r="C13" s="128">
        <v>0</v>
      </c>
      <c r="D13" s="128">
        <v>630.85</v>
      </c>
      <c r="E13" s="128">
        <v>148516.98000000001</v>
      </c>
    </row>
    <row r="14" spans="1:7" ht="15" customHeight="1" x14ac:dyDescent="0.2">
      <c r="A14" s="129" t="s">
        <v>86</v>
      </c>
      <c r="B14" s="129" t="s">
        <v>44</v>
      </c>
      <c r="C14" s="128">
        <v>2647</v>
      </c>
      <c r="D14" s="128">
        <v>0</v>
      </c>
      <c r="E14" s="130">
        <v>145869.98000000001</v>
      </c>
      <c r="G14" s="12"/>
    </row>
    <row r="15" spans="1:7" ht="15" customHeight="1" x14ac:dyDescent="0.2">
      <c r="A15" s="127" t="s">
        <v>85</v>
      </c>
      <c r="B15" s="127" t="s">
        <v>84</v>
      </c>
      <c r="C15" s="128">
        <v>3000</v>
      </c>
      <c r="D15" s="128">
        <v>0</v>
      </c>
      <c r="E15" s="128">
        <v>142869.98000000001</v>
      </c>
    </row>
    <row r="16" spans="1:7" ht="15" customHeight="1" x14ac:dyDescent="0.2">
      <c r="A16" s="131" t="s">
        <v>113</v>
      </c>
      <c r="B16" s="131" t="s">
        <v>114</v>
      </c>
      <c r="C16" s="132">
        <v>1500</v>
      </c>
      <c r="D16" s="132">
        <v>0</v>
      </c>
      <c r="E16" s="132">
        <v>141369.98000000001</v>
      </c>
    </row>
    <row r="17" spans="1:5" ht="15" customHeight="1" x14ac:dyDescent="0.2">
      <c r="A17" s="133" t="s">
        <v>130</v>
      </c>
      <c r="B17" s="133" t="s">
        <v>131</v>
      </c>
      <c r="C17" s="132">
        <v>0</v>
      </c>
      <c r="D17" s="132">
        <v>2579</v>
      </c>
      <c r="E17" s="132">
        <v>143948.98000000001</v>
      </c>
    </row>
    <row r="18" spans="1:5" ht="15" customHeight="1" x14ac:dyDescent="0.2">
      <c r="A18" s="131" t="s">
        <v>132</v>
      </c>
      <c r="B18" s="131" t="s">
        <v>46</v>
      </c>
      <c r="C18" s="132">
        <v>0</v>
      </c>
      <c r="D18" s="132">
        <v>511.42</v>
      </c>
      <c r="E18" s="132">
        <v>144460.4</v>
      </c>
    </row>
    <row r="19" spans="1:5" ht="15" customHeight="1" x14ac:dyDescent="0.2">
      <c r="A19" s="131" t="s">
        <v>133</v>
      </c>
      <c r="B19" s="131" t="s">
        <v>44</v>
      </c>
      <c r="C19" s="132">
        <v>2647</v>
      </c>
      <c r="D19" s="132">
        <v>0</v>
      </c>
      <c r="E19" s="134">
        <v>141813.4</v>
      </c>
    </row>
    <row r="20" spans="1:5" ht="15" customHeight="1" x14ac:dyDescent="0.2">
      <c r="A20" s="135" t="s">
        <v>151</v>
      </c>
      <c r="B20" s="135" t="s">
        <v>152</v>
      </c>
      <c r="C20" s="136">
        <v>3840</v>
      </c>
      <c r="D20" s="136">
        <v>0</v>
      </c>
      <c r="E20" s="136">
        <v>137973.4</v>
      </c>
    </row>
    <row r="21" spans="1:5" ht="15" customHeight="1" x14ac:dyDescent="0.2">
      <c r="A21" s="135" t="s">
        <v>149</v>
      </c>
      <c r="B21" s="135" t="s">
        <v>150</v>
      </c>
      <c r="C21" s="136">
        <v>0</v>
      </c>
      <c r="D21" s="136">
        <v>2579</v>
      </c>
      <c r="E21" s="136">
        <v>140552.4</v>
      </c>
    </row>
    <row r="22" spans="1:5" ht="15" customHeight="1" x14ac:dyDescent="0.2">
      <c r="A22" s="137" t="s">
        <v>148</v>
      </c>
      <c r="B22" s="137" t="s">
        <v>46</v>
      </c>
      <c r="C22" s="136">
        <v>0</v>
      </c>
      <c r="D22" s="136">
        <v>558.25</v>
      </c>
      <c r="E22" s="136">
        <v>141110.65</v>
      </c>
    </row>
    <row r="23" spans="1:5" ht="15" customHeight="1" x14ac:dyDescent="0.2">
      <c r="A23" s="135" t="s">
        <v>146</v>
      </c>
      <c r="B23" s="135" t="s">
        <v>147</v>
      </c>
      <c r="C23" s="136">
        <v>0</v>
      </c>
      <c r="D23" s="136">
        <v>15000</v>
      </c>
      <c r="E23" s="138">
        <v>156110.65</v>
      </c>
    </row>
    <row r="24" spans="1:5" ht="15" customHeight="1" x14ac:dyDescent="0.2">
      <c r="A24" s="135" t="s">
        <v>146</v>
      </c>
      <c r="B24" s="135" t="s">
        <v>44</v>
      </c>
      <c r="C24" s="136">
        <v>2647</v>
      </c>
      <c r="D24" s="136">
        <v>0</v>
      </c>
      <c r="E24" s="136">
        <v>153463.65</v>
      </c>
    </row>
    <row r="25" spans="1:5" ht="15" customHeight="1" x14ac:dyDescent="0.2">
      <c r="A25" s="135" t="s">
        <v>143</v>
      </c>
      <c r="B25" s="135" t="s">
        <v>145</v>
      </c>
      <c r="C25" s="136">
        <v>1980.7</v>
      </c>
      <c r="D25" s="136">
        <v>0</v>
      </c>
      <c r="E25" s="136">
        <v>151482.95000000001</v>
      </c>
    </row>
    <row r="26" spans="1:5" ht="15" customHeight="1" x14ac:dyDescent="0.2">
      <c r="A26" s="137" t="s">
        <v>143</v>
      </c>
      <c r="B26" s="137" t="s">
        <v>144</v>
      </c>
      <c r="C26" s="136">
        <v>5000</v>
      </c>
      <c r="D26" s="136">
        <v>0</v>
      </c>
      <c r="E26" s="136">
        <v>146482.95000000001</v>
      </c>
    </row>
    <row r="27" spans="1:5" ht="15" customHeight="1" x14ac:dyDescent="0.2">
      <c r="A27" s="137" t="s">
        <v>143</v>
      </c>
      <c r="B27" s="139" t="s">
        <v>176</v>
      </c>
      <c r="C27" s="108"/>
      <c r="D27" s="140">
        <v>799</v>
      </c>
      <c r="E27" s="108">
        <f>E26+D27</f>
        <v>147281.95000000001</v>
      </c>
    </row>
    <row r="28" spans="1:5" ht="15" customHeight="1" x14ac:dyDescent="0.2">
      <c r="A28" s="133" t="s">
        <v>190</v>
      </c>
      <c r="B28" s="133" t="s">
        <v>191</v>
      </c>
      <c r="C28" s="132">
        <v>0</v>
      </c>
      <c r="D28" s="132">
        <v>1500</v>
      </c>
      <c r="E28" s="132">
        <v>148781.95000000001</v>
      </c>
    </row>
    <row r="29" spans="1:5" ht="15" customHeight="1" x14ac:dyDescent="0.2">
      <c r="A29" s="133" t="s">
        <v>192</v>
      </c>
      <c r="B29" s="133" t="s">
        <v>193</v>
      </c>
      <c r="C29" s="132">
        <v>0</v>
      </c>
      <c r="D29" s="132">
        <v>9999</v>
      </c>
      <c r="E29" s="132">
        <v>158780.95000000001</v>
      </c>
    </row>
    <row r="30" spans="1:5" ht="15" customHeight="1" x14ac:dyDescent="0.2">
      <c r="A30" s="133" t="s">
        <v>192</v>
      </c>
      <c r="B30" s="133" t="s">
        <v>194</v>
      </c>
      <c r="C30" s="132">
        <v>0</v>
      </c>
      <c r="D30" s="132">
        <v>9999</v>
      </c>
      <c r="E30" s="132">
        <v>168779.95</v>
      </c>
    </row>
    <row r="31" spans="1:5" ht="15" customHeight="1" x14ac:dyDescent="0.2">
      <c r="A31" s="133" t="s">
        <v>192</v>
      </c>
      <c r="B31" s="133" t="s">
        <v>195</v>
      </c>
      <c r="C31" s="132">
        <v>0</v>
      </c>
      <c r="D31" s="132">
        <v>9999</v>
      </c>
      <c r="E31" s="132">
        <v>178778.95</v>
      </c>
    </row>
    <row r="32" spans="1:5" ht="15" customHeight="1" x14ac:dyDescent="0.2">
      <c r="A32" s="133" t="s">
        <v>192</v>
      </c>
      <c r="B32" s="133" t="s">
        <v>196</v>
      </c>
      <c r="C32" s="132">
        <v>0</v>
      </c>
      <c r="D32" s="132">
        <v>2623</v>
      </c>
      <c r="E32" s="132">
        <v>181401.95</v>
      </c>
    </row>
    <row r="33" spans="1:5" ht="15" customHeight="1" x14ac:dyDescent="0.2">
      <c r="A33" s="133" t="s">
        <v>192</v>
      </c>
      <c r="B33" s="133" t="s">
        <v>197</v>
      </c>
      <c r="C33" s="132">
        <v>0</v>
      </c>
      <c r="D33" s="132">
        <v>512.88</v>
      </c>
      <c r="E33" s="132">
        <v>181914.83</v>
      </c>
    </row>
    <row r="34" spans="1:5" ht="15" customHeight="1" x14ac:dyDescent="0.2">
      <c r="A34" s="133" t="s">
        <v>198</v>
      </c>
      <c r="B34" s="133" t="s">
        <v>199</v>
      </c>
      <c r="C34" s="132">
        <v>263</v>
      </c>
      <c r="D34" s="132">
        <v>0</v>
      </c>
      <c r="E34" s="132">
        <v>181651.83</v>
      </c>
    </row>
    <row r="35" spans="1:5" ht="15" customHeight="1" x14ac:dyDescent="0.2">
      <c r="A35" s="133" t="s">
        <v>198</v>
      </c>
      <c r="B35" s="133" t="s">
        <v>200</v>
      </c>
      <c r="C35" s="132">
        <v>500</v>
      </c>
      <c r="D35" s="132">
        <v>0</v>
      </c>
      <c r="E35" s="132">
        <v>181151.83</v>
      </c>
    </row>
    <row r="36" spans="1:5" ht="15" customHeight="1" x14ac:dyDescent="0.2">
      <c r="A36" s="133" t="s">
        <v>201</v>
      </c>
      <c r="B36" s="133" t="s">
        <v>202</v>
      </c>
      <c r="C36" s="132">
        <v>0</v>
      </c>
      <c r="D36" s="132">
        <v>2579</v>
      </c>
      <c r="E36" s="132">
        <v>183730.83</v>
      </c>
    </row>
    <row r="37" spans="1:5" ht="15" customHeight="1" x14ac:dyDescent="0.2">
      <c r="A37" s="133" t="s">
        <v>201</v>
      </c>
      <c r="B37" s="133" t="s">
        <v>202</v>
      </c>
      <c r="C37" s="132">
        <v>0</v>
      </c>
      <c r="D37" s="132">
        <v>2579</v>
      </c>
      <c r="E37" s="132">
        <v>183730.83</v>
      </c>
    </row>
    <row r="38" spans="1:5" ht="15" customHeight="1" x14ac:dyDescent="0.2">
      <c r="A38" s="143" t="s">
        <v>209</v>
      </c>
      <c r="B38" s="143" t="s">
        <v>210</v>
      </c>
      <c r="C38" s="143">
        <v>0</v>
      </c>
      <c r="D38" s="143">
        <v>4700</v>
      </c>
      <c r="E38" s="132">
        <f>E37+D38-C38</f>
        <v>188430.83</v>
      </c>
    </row>
    <row r="39" spans="1:5" ht="15" customHeight="1" x14ac:dyDescent="0.2">
      <c r="A39" s="144" t="s">
        <v>211</v>
      </c>
      <c r="B39" s="144" t="s">
        <v>212</v>
      </c>
      <c r="C39" s="144">
        <v>0</v>
      </c>
      <c r="D39" s="144">
        <v>826.47</v>
      </c>
      <c r="E39" s="132">
        <f t="shared" ref="E39:E102" si="0">E38+D39-C39</f>
        <v>189257.3</v>
      </c>
    </row>
    <row r="40" spans="1:5" ht="15" customHeight="1" x14ac:dyDescent="0.2">
      <c r="A40" s="145" t="s">
        <v>211</v>
      </c>
      <c r="B40" s="145" t="s">
        <v>213</v>
      </c>
      <c r="C40" s="146">
        <v>0</v>
      </c>
      <c r="D40" s="146">
        <v>585</v>
      </c>
      <c r="E40" s="132">
        <f t="shared" si="0"/>
        <v>189842.3</v>
      </c>
    </row>
    <row r="41" spans="1:5" ht="15" customHeight="1" x14ac:dyDescent="0.2">
      <c r="A41" s="145" t="s">
        <v>211</v>
      </c>
      <c r="B41" s="16" t="s">
        <v>217</v>
      </c>
      <c r="C41" s="5">
        <v>255</v>
      </c>
      <c r="D41" s="5">
        <v>0</v>
      </c>
      <c r="E41" s="132">
        <f t="shared" si="0"/>
        <v>189587.3</v>
      </c>
    </row>
    <row r="42" spans="1:5" ht="15" customHeight="1" x14ac:dyDescent="0.2">
      <c r="A42" s="145" t="s">
        <v>218</v>
      </c>
      <c r="B42" s="16" t="s">
        <v>219</v>
      </c>
      <c r="C42" s="5">
        <v>0</v>
      </c>
      <c r="D42" s="5">
        <v>2644</v>
      </c>
      <c r="E42" s="132">
        <f t="shared" si="0"/>
        <v>192231.3</v>
      </c>
    </row>
    <row r="43" spans="1:5" ht="15" customHeight="1" x14ac:dyDescent="0.2">
      <c r="A43" s="145" t="s">
        <v>218</v>
      </c>
      <c r="B43" s="16" t="s">
        <v>220</v>
      </c>
      <c r="C43" s="5">
        <v>1188</v>
      </c>
      <c r="D43" s="5">
        <v>0</v>
      </c>
      <c r="E43" s="132">
        <f t="shared" si="0"/>
        <v>191043.3</v>
      </c>
    </row>
    <row r="44" spans="1:5" ht="15" customHeight="1" x14ac:dyDescent="0.2">
      <c r="A44" s="153" t="s">
        <v>223</v>
      </c>
      <c r="B44" s="153" t="s">
        <v>224</v>
      </c>
      <c r="C44" s="153">
        <v>0</v>
      </c>
      <c r="D44" s="153">
        <v>4000</v>
      </c>
      <c r="E44" s="132">
        <f t="shared" si="0"/>
        <v>195043.3</v>
      </c>
    </row>
    <row r="45" spans="1:5" ht="15" customHeight="1" x14ac:dyDescent="0.2">
      <c r="A45" s="154" t="s">
        <v>225</v>
      </c>
      <c r="B45" s="154" t="s">
        <v>226</v>
      </c>
      <c r="C45" s="154">
        <v>475</v>
      </c>
      <c r="D45" s="154">
        <v>0</v>
      </c>
      <c r="E45" s="132">
        <f t="shared" si="0"/>
        <v>194568.3</v>
      </c>
    </row>
    <row r="46" spans="1:5" ht="15" customHeight="1" x14ac:dyDescent="0.2">
      <c r="A46" s="155" t="s">
        <v>227</v>
      </c>
      <c r="B46" s="155" t="s">
        <v>46</v>
      </c>
      <c r="C46" s="156">
        <v>0</v>
      </c>
      <c r="D46" s="156">
        <v>676.7</v>
      </c>
      <c r="E46" s="132">
        <f t="shared" si="0"/>
        <v>195245</v>
      </c>
    </row>
    <row r="47" spans="1:5" ht="15" customHeight="1" x14ac:dyDescent="0.2">
      <c r="A47" s="158" t="s">
        <v>229</v>
      </c>
      <c r="B47" s="158" t="s">
        <v>230</v>
      </c>
      <c r="C47" s="158">
        <v>50000</v>
      </c>
      <c r="D47" s="158">
        <v>0</v>
      </c>
      <c r="E47" s="132">
        <f t="shared" si="0"/>
        <v>145245</v>
      </c>
    </row>
    <row r="48" spans="1:5" ht="15" customHeight="1" x14ac:dyDescent="0.2">
      <c r="A48" s="159" t="s">
        <v>229</v>
      </c>
      <c r="B48" s="159" t="s">
        <v>44</v>
      </c>
      <c r="C48" s="160">
        <v>2647</v>
      </c>
      <c r="D48" s="160">
        <v>0</v>
      </c>
      <c r="E48" s="132">
        <f t="shared" si="0"/>
        <v>142598</v>
      </c>
    </row>
    <row r="49" spans="1:5" ht="15" customHeight="1" x14ac:dyDescent="0.2">
      <c r="A49" s="161" t="s">
        <v>233</v>
      </c>
      <c r="B49" s="161" t="s">
        <v>234</v>
      </c>
      <c r="C49" s="161">
        <v>4850</v>
      </c>
      <c r="D49" s="161">
        <v>0</v>
      </c>
      <c r="E49" s="132">
        <f t="shared" si="0"/>
        <v>137748</v>
      </c>
    </row>
    <row r="50" spans="1:5" ht="15" customHeight="1" x14ac:dyDescent="0.2">
      <c r="A50" s="162" t="s">
        <v>233</v>
      </c>
      <c r="B50" s="162" t="s">
        <v>235</v>
      </c>
      <c r="C50" s="162">
        <v>300</v>
      </c>
      <c r="D50" s="162">
        <v>0</v>
      </c>
      <c r="E50" s="132">
        <f t="shared" si="0"/>
        <v>137448</v>
      </c>
    </row>
    <row r="51" spans="1:5" ht="15" customHeight="1" x14ac:dyDescent="0.2">
      <c r="A51" s="163" t="s">
        <v>233</v>
      </c>
      <c r="B51" s="163" t="s">
        <v>236</v>
      </c>
      <c r="C51" s="163">
        <v>300</v>
      </c>
      <c r="D51" s="163">
        <v>0</v>
      </c>
      <c r="E51" s="132">
        <f t="shared" si="0"/>
        <v>137148</v>
      </c>
    </row>
    <row r="52" spans="1:5" ht="15" customHeight="1" x14ac:dyDescent="0.2">
      <c r="A52" s="164" t="s">
        <v>233</v>
      </c>
      <c r="B52" s="164" t="s">
        <v>237</v>
      </c>
      <c r="C52" s="165">
        <v>300</v>
      </c>
      <c r="D52" s="165">
        <v>0</v>
      </c>
      <c r="E52" s="132">
        <f t="shared" si="0"/>
        <v>136848</v>
      </c>
    </row>
    <row r="53" spans="1:5" ht="15" customHeight="1" x14ac:dyDescent="0.2">
      <c r="A53" s="164" t="s">
        <v>233</v>
      </c>
      <c r="B53" s="164" t="s">
        <v>238</v>
      </c>
      <c r="C53" s="165">
        <v>300</v>
      </c>
      <c r="D53" s="165">
        <v>0</v>
      </c>
      <c r="E53" s="132">
        <f t="shared" si="0"/>
        <v>136548</v>
      </c>
    </row>
    <row r="54" spans="1:5" ht="15" customHeight="1" x14ac:dyDescent="0.2">
      <c r="A54" s="171" t="s">
        <v>233</v>
      </c>
      <c r="B54" s="171" t="s">
        <v>241</v>
      </c>
      <c r="C54" s="171">
        <v>0</v>
      </c>
      <c r="D54" s="171">
        <v>400</v>
      </c>
      <c r="E54" s="132">
        <f t="shared" si="0"/>
        <v>136948</v>
      </c>
    </row>
    <row r="55" spans="1:5" ht="15" customHeight="1" x14ac:dyDescent="0.2">
      <c r="A55" s="172" t="s">
        <v>242</v>
      </c>
      <c r="B55" s="172" t="s">
        <v>243</v>
      </c>
      <c r="C55" s="172">
        <v>0</v>
      </c>
      <c r="D55" s="172">
        <v>135.31</v>
      </c>
      <c r="E55" s="132">
        <f t="shared" si="0"/>
        <v>137083.31</v>
      </c>
    </row>
    <row r="56" spans="1:5" ht="15" customHeight="1" x14ac:dyDescent="0.2">
      <c r="A56" s="173" t="s">
        <v>242</v>
      </c>
      <c r="B56" s="173" t="s">
        <v>244</v>
      </c>
      <c r="C56" s="174">
        <v>0</v>
      </c>
      <c r="D56" s="174">
        <v>496.32</v>
      </c>
      <c r="E56" s="132">
        <f t="shared" si="0"/>
        <v>137579.63</v>
      </c>
    </row>
    <row r="57" spans="1:5" ht="15" customHeight="1" x14ac:dyDescent="0.2">
      <c r="A57" s="184" t="s">
        <v>249</v>
      </c>
      <c r="B57" s="184" t="s">
        <v>252</v>
      </c>
      <c r="C57" s="184">
        <v>300</v>
      </c>
      <c r="D57" s="184">
        <v>0</v>
      </c>
      <c r="E57" s="132">
        <f t="shared" si="0"/>
        <v>137279.63</v>
      </c>
    </row>
    <row r="58" spans="1:5" ht="15" customHeight="1" x14ac:dyDescent="0.2">
      <c r="A58" s="183" t="s">
        <v>249</v>
      </c>
      <c r="B58" s="183" t="s">
        <v>251</v>
      </c>
      <c r="C58" s="183">
        <v>0</v>
      </c>
      <c r="D58" s="183">
        <v>799.8</v>
      </c>
      <c r="E58" s="132">
        <f t="shared" si="0"/>
        <v>138079.43</v>
      </c>
    </row>
    <row r="59" spans="1:5" ht="15" customHeight="1" x14ac:dyDescent="0.2">
      <c r="A59" s="181" t="s">
        <v>249</v>
      </c>
      <c r="B59" s="181" t="s">
        <v>250</v>
      </c>
      <c r="C59" s="182">
        <v>0</v>
      </c>
      <c r="D59" s="182">
        <v>2579</v>
      </c>
      <c r="E59" s="132">
        <f t="shared" si="0"/>
        <v>140658.43</v>
      </c>
    </row>
    <row r="60" spans="1:5" ht="15" customHeight="1" x14ac:dyDescent="0.2">
      <c r="A60" s="186" t="s">
        <v>255</v>
      </c>
      <c r="B60" s="186" t="s">
        <v>256</v>
      </c>
      <c r="C60" s="186">
        <v>300</v>
      </c>
      <c r="D60" s="186">
        <v>0</v>
      </c>
      <c r="E60" s="132">
        <f t="shared" si="0"/>
        <v>140358.43</v>
      </c>
    </row>
    <row r="61" spans="1:5" ht="15" customHeight="1" x14ac:dyDescent="0.2">
      <c r="A61" s="187" t="s">
        <v>257</v>
      </c>
      <c r="B61" s="187" t="s">
        <v>258</v>
      </c>
      <c r="C61" s="188">
        <v>0</v>
      </c>
      <c r="D61" s="188">
        <v>3500</v>
      </c>
      <c r="E61" s="132">
        <f t="shared" si="0"/>
        <v>143858.43</v>
      </c>
    </row>
    <row r="62" spans="1:5" ht="15" customHeight="1" x14ac:dyDescent="0.2">
      <c r="A62" s="195" t="s">
        <v>270</v>
      </c>
      <c r="B62" s="195" t="s">
        <v>46</v>
      </c>
      <c r="C62" s="196">
        <v>0</v>
      </c>
      <c r="D62" s="196">
        <v>546.12</v>
      </c>
      <c r="E62" s="132">
        <f t="shared" si="0"/>
        <v>144404.54999999999</v>
      </c>
    </row>
    <row r="63" spans="1:5" ht="15" customHeight="1" x14ac:dyDescent="0.2">
      <c r="A63" s="17" t="s">
        <v>271</v>
      </c>
      <c r="B63" s="17" t="s">
        <v>44</v>
      </c>
      <c r="C63" s="17">
        <v>2647</v>
      </c>
      <c r="D63" s="17">
        <v>0</v>
      </c>
      <c r="E63" s="132">
        <f t="shared" si="0"/>
        <v>141757.54999999999</v>
      </c>
    </row>
    <row r="64" spans="1:5" ht="15" customHeight="1" x14ac:dyDescent="0.2">
      <c r="A64" s="17" t="s">
        <v>272</v>
      </c>
      <c r="B64" s="17" t="s">
        <v>273</v>
      </c>
      <c r="C64" s="17">
        <v>1070</v>
      </c>
      <c r="D64" s="17">
        <v>0</v>
      </c>
      <c r="E64" s="132">
        <f t="shared" si="0"/>
        <v>140687.54999999999</v>
      </c>
    </row>
    <row r="65" spans="1:5" ht="15" customHeight="1" x14ac:dyDescent="0.2">
      <c r="A65" s="17" t="s">
        <v>272</v>
      </c>
      <c r="B65" s="17" t="s">
        <v>294</v>
      </c>
      <c r="C65" s="17">
        <v>0</v>
      </c>
      <c r="D65" s="17">
        <v>1070</v>
      </c>
      <c r="E65" s="132">
        <f t="shared" si="0"/>
        <v>141757.54999999999</v>
      </c>
    </row>
    <row r="66" spans="1:5" ht="15" customHeight="1" x14ac:dyDescent="0.2">
      <c r="A66" s="200" t="s">
        <v>281</v>
      </c>
      <c r="B66" s="200" t="s">
        <v>282</v>
      </c>
      <c r="C66" s="200">
        <v>0</v>
      </c>
      <c r="D66" s="200">
        <v>3500</v>
      </c>
      <c r="E66" s="132">
        <f t="shared" si="0"/>
        <v>145257.54999999999</v>
      </c>
    </row>
    <row r="67" spans="1:5" ht="15" customHeight="1" x14ac:dyDescent="0.2">
      <c r="A67" s="201" t="s">
        <v>281</v>
      </c>
      <c r="B67" s="201" t="s">
        <v>283</v>
      </c>
      <c r="C67" s="202">
        <v>0</v>
      </c>
      <c r="D67" s="202">
        <v>826.51</v>
      </c>
      <c r="E67" s="132">
        <f t="shared" si="0"/>
        <v>146084.06</v>
      </c>
    </row>
    <row r="68" spans="1:5" ht="15" customHeight="1" x14ac:dyDescent="0.2">
      <c r="A68" s="203" t="s">
        <v>284</v>
      </c>
      <c r="B68" s="203" t="s">
        <v>285</v>
      </c>
      <c r="C68" s="203">
        <v>30000</v>
      </c>
      <c r="D68" s="203">
        <v>0</v>
      </c>
      <c r="E68" s="132">
        <f t="shared" si="0"/>
        <v>116084.06</v>
      </c>
    </row>
    <row r="69" spans="1:5" ht="15" customHeight="1" x14ac:dyDescent="0.2">
      <c r="A69" s="204" t="s">
        <v>284</v>
      </c>
      <c r="B69" s="204" t="s">
        <v>286</v>
      </c>
      <c r="C69" s="204">
        <v>0.5</v>
      </c>
      <c r="D69" s="204">
        <v>0</v>
      </c>
      <c r="E69" s="132">
        <f t="shared" si="0"/>
        <v>116083.56</v>
      </c>
    </row>
    <row r="70" spans="1:5" ht="15" customHeight="1" x14ac:dyDescent="0.2">
      <c r="A70" s="205" t="s">
        <v>287</v>
      </c>
      <c r="B70" s="205" t="s">
        <v>288</v>
      </c>
      <c r="C70" s="205">
        <v>8888</v>
      </c>
      <c r="D70" s="205">
        <v>0</v>
      </c>
      <c r="E70" s="132">
        <f t="shared" si="0"/>
        <v>107195.56</v>
      </c>
    </row>
    <row r="71" spans="1:5" ht="15" customHeight="1" x14ac:dyDescent="0.2">
      <c r="A71" s="206" t="s">
        <v>287</v>
      </c>
      <c r="B71" s="206" t="s">
        <v>289</v>
      </c>
      <c r="C71" s="207">
        <v>0.5</v>
      </c>
      <c r="D71" s="207">
        <v>0</v>
      </c>
      <c r="E71" s="132">
        <f t="shared" si="0"/>
        <v>107195.06</v>
      </c>
    </row>
    <row r="72" spans="1:5" ht="15" customHeight="1" x14ac:dyDescent="0.2">
      <c r="A72" s="212" t="s">
        <v>287</v>
      </c>
      <c r="B72" s="212" t="s">
        <v>46</v>
      </c>
      <c r="C72" s="213">
        <v>0</v>
      </c>
      <c r="D72" s="213">
        <v>505.93</v>
      </c>
      <c r="E72" s="132">
        <f t="shared" si="0"/>
        <v>107700.98999999999</v>
      </c>
    </row>
    <row r="73" spans="1:5" ht="15" customHeight="1" x14ac:dyDescent="0.2">
      <c r="A73" s="214" t="s">
        <v>290</v>
      </c>
      <c r="B73" s="214" t="s">
        <v>291</v>
      </c>
      <c r="C73" s="214">
        <v>8</v>
      </c>
      <c r="D73" s="214">
        <v>0</v>
      </c>
      <c r="E73" s="132">
        <f t="shared" si="0"/>
        <v>107692.98999999999</v>
      </c>
    </row>
    <row r="74" spans="1:5" ht="15" customHeight="1" x14ac:dyDescent="0.2">
      <c r="A74" s="215" t="s">
        <v>290</v>
      </c>
      <c r="B74" s="215" t="s">
        <v>44</v>
      </c>
      <c r="C74" s="216">
        <v>2208</v>
      </c>
      <c r="D74" s="216">
        <v>0</v>
      </c>
      <c r="E74" s="132">
        <f t="shared" si="0"/>
        <v>105484.98999999999</v>
      </c>
    </row>
    <row r="75" spans="1:5" ht="15" customHeight="1" x14ac:dyDescent="0.2">
      <c r="A75" s="222" t="s">
        <v>299</v>
      </c>
      <c r="B75" s="222" t="s">
        <v>300</v>
      </c>
      <c r="C75" s="222">
        <v>1000</v>
      </c>
      <c r="D75" s="222">
        <v>0</v>
      </c>
      <c r="E75" s="132">
        <f t="shared" si="0"/>
        <v>104484.98999999999</v>
      </c>
    </row>
    <row r="76" spans="1:5" ht="15" customHeight="1" x14ac:dyDescent="0.2">
      <c r="A76" s="220" t="s">
        <v>297</v>
      </c>
      <c r="B76" s="220" t="s">
        <v>298</v>
      </c>
      <c r="C76" s="221">
        <v>0</v>
      </c>
      <c r="D76" s="221">
        <v>10000</v>
      </c>
      <c r="E76" s="132">
        <f t="shared" si="0"/>
        <v>114484.98999999999</v>
      </c>
    </row>
    <row r="77" spans="1:5" ht="15" customHeight="1" x14ac:dyDescent="0.2">
      <c r="A77" s="218" t="s">
        <v>297</v>
      </c>
      <c r="B77" s="218" t="s">
        <v>298</v>
      </c>
      <c r="C77" s="219">
        <v>0</v>
      </c>
      <c r="D77" s="219">
        <v>10000</v>
      </c>
      <c r="E77" s="132">
        <f t="shared" si="0"/>
        <v>124484.98999999999</v>
      </c>
    </row>
    <row r="78" spans="1:5" ht="15" customHeight="1" x14ac:dyDescent="0.2">
      <c r="A78" s="224" t="s">
        <v>301</v>
      </c>
      <c r="B78" s="226" t="s">
        <v>307</v>
      </c>
      <c r="C78" s="225">
        <v>0</v>
      </c>
      <c r="D78" s="225">
        <v>3621</v>
      </c>
      <c r="E78" s="132">
        <f t="shared" si="0"/>
        <v>128105.98999999999</v>
      </c>
    </row>
    <row r="79" spans="1:5" ht="15" customHeight="1" x14ac:dyDescent="0.2">
      <c r="A79" s="227" t="s">
        <v>305</v>
      </c>
      <c r="B79" s="227" t="s">
        <v>306</v>
      </c>
      <c r="C79" s="228">
        <v>270</v>
      </c>
      <c r="D79" s="228">
        <v>0</v>
      </c>
      <c r="E79" s="132">
        <f t="shared" si="0"/>
        <v>127835.98999999999</v>
      </c>
    </row>
    <row r="80" spans="1:5" ht="15" customHeight="1" x14ac:dyDescent="0.2">
      <c r="A80" s="229" t="s">
        <v>309</v>
      </c>
      <c r="B80" s="229" t="s">
        <v>310</v>
      </c>
      <c r="C80" s="229">
        <v>250</v>
      </c>
      <c r="D80" s="229">
        <v>0</v>
      </c>
      <c r="E80" s="132">
        <f t="shared" si="0"/>
        <v>127585.98999999999</v>
      </c>
    </row>
    <row r="81" spans="1:5" ht="15" customHeight="1" x14ac:dyDescent="0.2">
      <c r="A81" s="230" t="s">
        <v>311</v>
      </c>
      <c r="B81" s="230" t="s">
        <v>312</v>
      </c>
      <c r="C81" s="231">
        <v>0</v>
      </c>
      <c r="D81" s="231">
        <v>799.81</v>
      </c>
      <c r="E81" s="132">
        <f t="shared" si="0"/>
        <v>128385.79999999999</v>
      </c>
    </row>
    <row r="82" spans="1:5" ht="15" customHeight="1" x14ac:dyDescent="0.2">
      <c r="A82" s="232" t="s">
        <v>311</v>
      </c>
      <c r="B82" s="232" t="s">
        <v>314</v>
      </c>
      <c r="C82" s="233">
        <v>0</v>
      </c>
      <c r="D82" s="233">
        <v>4000</v>
      </c>
      <c r="E82" s="132">
        <f t="shared" si="0"/>
        <v>132385.79999999999</v>
      </c>
    </row>
    <row r="83" spans="1:5" ht="15" customHeight="1" x14ac:dyDescent="0.2">
      <c r="A83" s="236" t="s">
        <v>315</v>
      </c>
      <c r="B83" s="236" t="s">
        <v>46</v>
      </c>
      <c r="C83" s="237">
        <v>0</v>
      </c>
      <c r="D83" s="237">
        <v>476.52</v>
      </c>
      <c r="E83" s="132">
        <f t="shared" si="0"/>
        <v>132862.31999999998</v>
      </c>
    </row>
    <row r="84" spans="1:5" ht="15" customHeight="1" x14ac:dyDescent="0.2">
      <c r="A84" s="238" t="s">
        <v>316</v>
      </c>
      <c r="B84" s="238" t="s">
        <v>44</v>
      </c>
      <c r="C84" s="239">
        <v>2208</v>
      </c>
      <c r="D84" s="239">
        <v>0</v>
      </c>
      <c r="E84" s="132">
        <f t="shared" si="0"/>
        <v>130654.31999999998</v>
      </c>
    </row>
    <row r="85" spans="1:5" ht="15" customHeight="1" x14ac:dyDescent="0.2">
      <c r="A85" s="269" t="s">
        <v>326</v>
      </c>
      <c r="B85" s="269" t="s">
        <v>327</v>
      </c>
      <c r="C85" s="269">
        <v>30000</v>
      </c>
      <c r="D85" s="269">
        <v>0</v>
      </c>
      <c r="E85" s="132">
        <f t="shared" si="0"/>
        <v>100654.31999999998</v>
      </c>
    </row>
    <row r="86" spans="1:5" ht="15" customHeight="1" x14ac:dyDescent="0.2">
      <c r="A86" s="270" t="s">
        <v>326</v>
      </c>
      <c r="B86" s="270" t="s">
        <v>328</v>
      </c>
      <c r="C86" s="270">
        <v>0.5</v>
      </c>
      <c r="D86" s="270">
        <v>0</v>
      </c>
      <c r="E86" s="132">
        <f t="shared" si="0"/>
        <v>100653.81999999998</v>
      </c>
    </row>
    <row r="87" spans="1:5" s="60" customFormat="1" ht="22.5" customHeight="1" x14ac:dyDescent="0.2">
      <c r="A87" s="133" t="s">
        <v>329</v>
      </c>
      <c r="B87" s="133" t="s">
        <v>330</v>
      </c>
      <c r="C87" s="133">
        <v>10000</v>
      </c>
      <c r="D87" s="133">
        <v>0</v>
      </c>
      <c r="E87" s="132">
        <f t="shared" si="0"/>
        <v>90653.819999999978</v>
      </c>
    </row>
    <row r="88" spans="1:5" s="60" customFormat="1" ht="22.5" customHeight="1" x14ac:dyDescent="0.2">
      <c r="A88" s="131" t="s">
        <v>329</v>
      </c>
      <c r="B88" s="131" t="s">
        <v>331</v>
      </c>
      <c r="C88" s="133">
        <v>0.5</v>
      </c>
      <c r="D88" s="133">
        <v>0</v>
      </c>
      <c r="E88" s="132">
        <f t="shared" si="0"/>
        <v>90653.319999999978</v>
      </c>
    </row>
    <row r="89" spans="1:5" s="60" customFormat="1" ht="22.5" customHeight="1" x14ac:dyDescent="0.2">
      <c r="A89" s="279" t="s">
        <v>336</v>
      </c>
      <c r="B89" s="279" t="s">
        <v>46</v>
      </c>
      <c r="C89" s="280">
        <v>0</v>
      </c>
      <c r="D89" s="280">
        <v>462.61</v>
      </c>
      <c r="E89" s="132">
        <f t="shared" si="0"/>
        <v>91115.929999999978</v>
      </c>
    </row>
    <row r="90" spans="1:5" s="60" customFormat="1" ht="22.5" customHeight="1" x14ac:dyDescent="0.2">
      <c r="A90" s="288" t="s">
        <v>337</v>
      </c>
      <c r="B90" s="288" t="s">
        <v>44</v>
      </c>
      <c r="C90" s="288">
        <v>2208</v>
      </c>
      <c r="D90" s="288">
        <v>0</v>
      </c>
      <c r="E90" s="132">
        <f t="shared" si="0"/>
        <v>88907.929999999978</v>
      </c>
    </row>
    <row r="91" spans="1:5" s="60" customFormat="1" ht="22.5" customHeight="1" x14ac:dyDescent="0.2">
      <c r="A91" s="289" t="s">
        <v>341</v>
      </c>
      <c r="B91" s="289" t="s">
        <v>361</v>
      </c>
      <c r="C91" s="289">
        <v>3000</v>
      </c>
      <c r="D91" s="289">
        <v>0</v>
      </c>
      <c r="E91" s="132">
        <f t="shared" si="0"/>
        <v>85907.929999999978</v>
      </c>
    </row>
    <row r="92" spans="1:5" s="60" customFormat="1" ht="22.5" customHeight="1" x14ac:dyDescent="0.2">
      <c r="A92" s="290" t="s">
        <v>362</v>
      </c>
      <c r="B92" s="290" t="s">
        <v>363</v>
      </c>
      <c r="C92" s="290">
        <v>419</v>
      </c>
      <c r="D92" s="290">
        <v>0</v>
      </c>
      <c r="E92" s="132">
        <f t="shared" si="0"/>
        <v>85488.929999999978</v>
      </c>
    </row>
    <row r="93" spans="1:5" s="60" customFormat="1" ht="22.5" customHeight="1" x14ac:dyDescent="0.2">
      <c r="A93" s="291" t="s">
        <v>362</v>
      </c>
      <c r="B93" s="291" t="s">
        <v>364</v>
      </c>
      <c r="C93" s="291">
        <v>2150</v>
      </c>
      <c r="D93" s="291">
        <v>0</v>
      </c>
      <c r="E93" s="132">
        <f t="shared" si="0"/>
        <v>83338.929999999978</v>
      </c>
    </row>
    <row r="94" spans="1:5" s="60" customFormat="1" ht="22.5" customHeight="1" x14ac:dyDescent="0.2">
      <c r="A94" s="292" t="s">
        <v>365</v>
      </c>
      <c r="B94" s="292" t="s">
        <v>366</v>
      </c>
      <c r="C94" s="293">
        <v>0</v>
      </c>
      <c r="D94" s="293">
        <v>3000</v>
      </c>
      <c r="E94" s="132">
        <f t="shared" si="0"/>
        <v>86338.929999999978</v>
      </c>
    </row>
    <row r="95" spans="1:5" s="60" customFormat="1" ht="22.5" customHeight="1" x14ac:dyDescent="0.2">
      <c r="A95" s="301" t="s">
        <v>369</v>
      </c>
      <c r="B95" s="301" t="s">
        <v>46</v>
      </c>
      <c r="C95" s="302">
        <v>0</v>
      </c>
      <c r="D95" s="302">
        <v>309.87</v>
      </c>
      <c r="E95" s="132">
        <f t="shared" si="0"/>
        <v>86648.799999999974</v>
      </c>
    </row>
    <row r="96" spans="1:5" s="60" customFormat="1" ht="22.5" customHeight="1" x14ac:dyDescent="0.2">
      <c r="A96" s="304" t="s">
        <v>374</v>
      </c>
      <c r="B96" s="304" t="s">
        <v>375</v>
      </c>
      <c r="C96" s="304">
        <v>5000</v>
      </c>
      <c r="D96" s="304">
        <v>0</v>
      </c>
      <c r="E96" s="132">
        <f t="shared" si="0"/>
        <v>81648.799999999974</v>
      </c>
    </row>
    <row r="97" spans="1:5" s="60" customFormat="1" ht="22.5" customHeight="1" x14ac:dyDescent="0.2">
      <c r="A97" s="305" t="s">
        <v>374</v>
      </c>
      <c r="B97" s="305" t="s">
        <v>376</v>
      </c>
      <c r="C97" s="305">
        <v>5000</v>
      </c>
      <c r="D97" s="305">
        <v>0</v>
      </c>
      <c r="E97" s="132">
        <f t="shared" si="0"/>
        <v>76648.799999999974</v>
      </c>
    </row>
    <row r="98" spans="1:5" s="60" customFormat="1" ht="22.5" customHeight="1" x14ac:dyDescent="0.2">
      <c r="A98" s="306" t="s">
        <v>374</v>
      </c>
      <c r="B98" s="306" t="s">
        <v>44</v>
      </c>
      <c r="C98" s="306">
        <v>2208</v>
      </c>
      <c r="D98" s="306">
        <v>0</v>
      </c>
      <c r="E98" s="132">
        <f t="shared" si="0"/>
        <v>74440.799999999974</v>
      </c>
    </row>
    <row r="99" spans="1:5" s="60" customFormat="1" ht="22.5" customHeight="1" x14ac:dyDescent="0.2">
      <c r="A99" s="303" t="s">
        <v>372</v>
      </c>
      <c r="B99" s="303" t="s">
        <v>373</v>
      </c>
      <c r="C99" s="303">
        <v>5000</v>
      </c>
      <c r="D99" s="303">
        <v>0</v>
      </c>
      <c r="E99" s="132">
        <f t="shared" si="0"/>
        <v>69440.799999999974</v>
      </c>
    </row>
    <row r="100" spans="1:5" s="60" customFormat="1" ht="22.5" customHeight="1" x14ac:dyDescent="0.2">
      <c r="A100" s="307" t="s">
        <v>372</v>
      </c>
      <c r="B100" s="307" t="s">
        <v>377</v>
      </c>
      <c r="C100" s="308">
        <v>1000</v>
      </c>
      <c r="D100" s="308">
        <v>0</v>
      </c>
      <c r="E100" s="132">
        <f t="shared" si="0"/>
        <v>68440.799999999974</v>
      </c>
    </row>
    <row r="101" spans="1:5" ht="15" customHeight="1" x14ac:dyDescent="0.2">
      <c r="A101" s="312" t="s">
        <v>378</v>
      </c>
      <c r="B101" s="312" t="s">
        <v>381</v>
      </c>
      <c r="C101" s="312">
        <v>5000</v>
      </c>
      <c r="D101" s="312">
        <v>0</v>
      </c>
      <c r="E101" s="132">
        <f t="shared" si="0"/>
        <v>63440.799999999974</v>
      </c>
    </row>
    <row r="102" spans="1:5" ht="15" customHeight="1" x14ac:dyDescent="0.2">
      <c r="A102" s="313" t="s">
        <v>378</v>
      </c>
      <c r="B102" s="313" t="s">
        <v>382</v>
      </c>
      <c r="C102" s="313">
        <v>5000</v>
      </c>
      <c r="D102" s="313">
        <v>0</v>
      </c>
      <c r="E102" s="132">
        <f t="shared" si="0"/>
        <v>58440.799999999974</v>
      </c>
    </row>
    <row r="103" spans="1:5" ht="15" customHeight="1" x14ac:dyDescent="0.2">
      <c r="A103" s="310" t="s">
        <v>378</v>
      </c>
      <c r="B103" s="310" t="s">
        <v>379</v>
      </c>
      <c r="C103" s="311">
        <v>5000</v>
      </c>
      <c r="D103" s="313">
        <v>0</v>
      </c>
      <c r="E103" s="132">
        <f t="shared" ref="E103:E118" si="1">E102+D103-C103</f>
        <v>53440.799999999974</v>
      </c>
    </row>
    <row r="104" spans="1:5" ht="18.75" customHeight="1" x14ac:dyDescent="0.2">
      <c r="A104" s="314" t="s">
        <v>383</v>
      </c>
      <c r="B104" s="316" t="s">
        <v>384</v>
      </c>
      <c r="C104" s="314">
        <v>5000</v>
      </c>
      <c r="D104" s="314">
        <v>0</v>
      </c>
      <c r="E104" s="132">
        <f t="shared" si="1"/>
        <v>48440.799999999974</v>
      </c>
    </row>
    <row r="105" spans="1:5" ht="15" customHeight="1" x14ac:dyDescent="0.2">
      <c r="A105" s="315" t="s">
        <v>383</v>
      </c>
      <c r="B105" s="315" t="s">
        <v>385</v>
      </c>
      <c r="C105" s="316">
        <v>5000</v>
      </c>
      <c r="D105" s="316">
        <v>0</v>
      </c>
      <c r="E105" s="132">
        <f t="shared" si="1"/>
        <v>43440.799999999974</v>
      </c>
    </row>
    <row r="106" spans="1:5" ht="15" customHeight="1" x14ac:dyDescent="0.2">
      <c r="A106" s="17" t="s">
        <v>396</v>
      </c>
      <c r="B106" s="17" t="s">
        <v>397</v>
      </c>
      <c r="C106" s="17">
        <v>500</v>
      </c>
      <c r="D106" s="17">
        <v>0</v>
      </c>
      <c r="E106" s="132">
        <f t="shared" si="1"/>
        <v>42940.799999999974</v>
      </c>
    </row>
    <row r="107" spans="1:5" ht="15" customHeight="1" x14ac:dyDescent="0.2">
      <c r="A107" s="17" t="s">
        <v>398</v>
      </c>
      <c r="B107" s="17" t="s">
        <v>399</v>
      </c>
      <c r="C107" s="17">
        <v>0</v>
      </c>
      <c r="D107" s="17">
        <v>5000</v>
      </c>
      <c r="E107" s="132">
        <f t="shared" si="1"/>
        <v>47940.799999999974</v>
      </c>
    </row>
    <row r="108" spans="1:5" ht="15" customHeight="1" x14ac:dyDescent="0.2">
      <c r="A108" s="16" t="s">
        <v>400</v>
      </c>
      <c r="B108" s="16" t="s">
        <v>46</v>
      </c>
      <c r="C108" s="17">
        <v>0</v>
      </c>
      <c r="D108" s="17">
        <v>191.16</v>
      </c>
      <c r="E108" s="132">
        <f t="shared" si="1"/>
        <v>48131.959999999977</v>
      </c>
    </row>
    <row r="109" spans="1:5" ht="18" customHeight="1" x14ac:dyDescent="0.2">
      <c r="A109" s="16" t="s">
        <v>401</v>
      </c>
      <c r="B109" s="16" t="s">
        <v>44</v>
      </c>
      <c r="C109" s="17">
        <v>2208</v>
      </c>
      <c r="D109" s="17">
        <v>0</v>
      </c>
      <c r="E109" s="132">
        <f t="shared" si="1"/>
        <v>45923.959999999977</v>
      </c>
    </row>
    <row r="110" spans="1:5" ht="23.25" customHeight="1" x14ac:dyDescent="0.2">
      <c r="A110" s="16" t="s">
        <v>406</v>
      </c>
      <c r="B110" s="16" t="s">
        <v>407</v>
      </c>
      <c r="C110" s="17">
        <v>0</v>
      </c>
      <c r="D110" s="17">
        <v>5000</v>
      </c>
      <c r="E110" s="132">
        <f t="shared" si="1"/>
        <v>50923.959999999977</v>
      </c>
    </row>
    <row r="111" spans="1:5" ht="38.25" x14ac:dyDescent="0.2">
      <c r="A111" s="16" t="s">
        <v>409</v>
      </c>
      <c r="B111" s="16" t="s">
        <v>410</v>
      </c>
      <c r="C111" s="17">
        <v>4180</v>
      </c>
      <c r="D111" s="17">
        <v>0</v>
      </c>
      <c r="E111" s="132">
        <f t="shared" si="1"/>
        <v>46743.959999999977</v>
      </c>
    </row>
    <row r="112" spans="1:5" ht="38.25" x14ac:dyDescent="0.2">
      <c r="A112" s="17" t="s">
        <v>409</v>
      </c>
      <c r="B112" s="17" t="s">
        <v>411</v>
      </c>
      <c r="C112" s="17">
        <v>2100</v>
      </c>
      <c r="D112" s="17">
        <v>0</v>
      </c>
      <c r="E112" s="132">
        <f t="shared" si="1"/>
        <v>44643.959999999977</v>
      </c>
    </row>
    <row r="113" spans="1:5" ht="38.25" x14ac:dyDescent="0.2">
      <c r="A113" s="17" t="s">
        <v>412</v>
      </c>
      <c r="B113" s="17" t="s">
        <v>413</v>
      </c>
      <c r="C113" s="17">
        <v>10</v>
      </c>
      <c r="D113" s="17">
        <v>0</v>
      </c>
      <c r="E113" s="132">
        <f t="shared" si="1"/>
        <v>44633.959999999977</v>
      </c>
    </row>
    <row r="114" spans="1:5" ht="38.25" x14ac:dyDescent="0.2">
      <c r="A114" s="17" t="s">
        <v>412</v>
      </c>
      <c r="B114" s="17" t="s">
        <v>414</v>
      </c>
      <c r="C114" s="17">
        <v>20</v>
      </c>
      <c r="D114" s="17">
        <v>0</v>
      </c>
      <c r="E114" s="132">
        <f t="shared" si="1"/>
        <v>44613.959999999977</v>
      </c>
    </row>
    <row r="115" spans="1:5" x14ac:dyDescent="0.2">
      <c r="A115" s="16" t="s">
        <v>415</v>
      </c>
      <c r="B115" s="16" t="s">
        <v>46</v>
      </c>
      <c r="C115" s="17">
        <v>0</v>
      </c>
      <c r="D115" s="17">
        <v>168.46</v>
      </c>
      <c r="E115" s="132">
        <f t="shared" si="1"/>
        <v>44782.419999999976</v>
      </c>
    </row>
    <row r="116" spans="1:5" ht="38.25" x14ac:dyDescent="0.2">
      <c r="A116" s="17" t="s">
        <v>416</v>
      </c>
      <c r="B116" s="17" t="s">
        <v>44</v>
      </c>
      <c r="C116" s="17">
        <v>2208</v>
      </c>
      <c r="D116" s="17">
        <v>0</v>
      </c>
      <c r="E116" s="132">
        <f t="shared" si="1"/>
        <v>42574.419999999976</v>
      </c>
    </row>
    <row r="117" spans="1:5" ht="38.25" x14ac:dyDescent="0.2">
      <c r="A117" s="17" t="s">
        <v>417</v>
      </c>
      <c r="B117" s="17" t="s">
        <v>419</v>
      </c>
      <c r="C117" s="17">
        <v>30000</v>
      </c>
      <c r="D117" s="17">
        <v>0</v>
      </c>
      <c r="E117" s="132">
        <f t="shared" si="1"/>
        <v>12574.419999999976</v>
      </c>
    </row>
    <row r="118" spans="1:5" ht="38.25" x14ac:dyDescent="0.2">
      <c r="A118" s="16" t="s">
        <v>417</v>
      </c>
      <c r="B118" s="16" t="s">
        <v>418</v>
      </c>
      <c r="C118" s="17">
        <v>0.5</v>
      </c>
      <c r="D118" s="17">
        <v>0</v>
      </c>
      <c r="E118" s="132">
        <f t="shared" si="1"/>
        <v>12573.919999999976</v>
      </c>
    </row>
  </sheetData>
  <sortState ref="A9:E16">
    <sortCondition ref="A9:A16"/>
  </sortState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9A318-FE8B-460E-9044-DE8B3BAF993B}">
  <dimension ref="A1:X11"/>
  <sheetViews>
    <sheetView workbookViewId="0">
      <selection activeCell="C2" sqref="C2:C6"/>
    </sheetView>
  </sheetViews>
  <sheetFormatPr defaultRowHeight="12.75" x14ac:dyDescent="0.2"/>
  <cols>
    <col min="3" max="3" width="9.5703125" bestFit="1" customWidth="1"/>
    <col min="8" max="8" width="5.28515625" bestFit="1" customWidth="1"/>
    <col min="12" max="13" width="10.140625" bestFit="1" customWidth="1"/>
    <col min="15" max="15" width="10.140625" bestFit="1" customWidth="1"/>
  </cols>
  <sheetData>
    <row r="1" spans="1:24" ht="34.5" thickBot="1" x14ac:dyDescent="0.25">
      <c r="A1" s="248" t="s">
        <v>107</v>
      </c>
      <c r="B1" s="248" t="s">
        <v>103</v>
      </c>
      <c r="C1" s="248" t="s">
        <v>98</v>
      </c>
      <c r="D1" s="248" t="s">
        <v>88</v>
      </c>
      <c r="E1" s="248" t="s">
        <v>89</v>
      </c>
      <c r="F1" s="248" t="s">
        <v>90</v>
      </c>
      <c r="G1" s="248" t="s">
        <v>91</v>
      </c>
      <c r="H1" s="248" t="s">
        <v>92</v>
      </c>
      <c r="I1" s="248" t="s">
        <v>93</v>
      </c>
      <c r="J1" s="248" t="s">
        <v>94</v>
      </c>
      <c r="K1" s="248" t="s">
        <v>95</v>
      </c>
      <c r="L1" s="254" t="s">
        <v>323</v>
      </c>
      <c r="M1" s="254" t="s">
        <v>322</v>
      </c>
      <c r="N1" s="255" t="s">
        <v>318</v>
      </c>
      <c r="O1" s="249" t="s">
        <v>319</v>
      </c>
      <c r="P1" s="246" t="s">
        <v>12</v>
      </c>
      <c r="R1" s="248" t="s">
        <v>98</v>
      </c>
      <c r="S1" s="32" t="s">
        <v>25</v>
      </c>
      <c r="T1" s="32" t="s">
        <v>26</v>
      </c>
      <c r="U1" s="32" t="s">
        <v>59</v>
      </c>
      <c r="V1" s="32" t="s">
        <v>60</v>
      </c>
      <c r="W1" s="104">
        <f>SUM(W2:W999)</f>
        <v>0</v>
      </c>
      <c r="X1" s="33"/>
    </row>
    <row r="2" spans="1:24" ht="13.5" thickBot="1" x14ac:dyDescent="0.25">
      <c r="A2" s="333" t="s">
        <v>11</v>
      </c>
      <c r="B2" s="333" t="s">
        <v>104</v>
      </c>
      <c r="C2" s="336">
        <v>1356216613</v>
      </c>
      <c r="D2" s="56">
        <v>591019</v>
      </c>
      <c r="E2" s="56" t="s">
        <v>320</v>
      </c>
      <c r="F2" s="56" t="s">
        <v>321</v>
      </c>
      <c r="G2" s="56" t="s">
        <v>321</v>
      </c>
      <c r="H2" s="56">
        <v>6</v>
      </c>
      <c r="I2" s="57">
        <v>100000</v>
      </c>
      <c r="J2" s="97">
        <v>3.6</v>
      </c>
      <c r="K2" s="57">
        <v>100000</v>
      </c>
      <c r="L2" s="339">
        <f>SUM(K2:K6)</f>
        <v>127558.65</v>
      </c>
      <c r="M2" s="328">
        <f>SUM(L2,L7)</f>
        <v>137558.65</v>
      </c>
      <c r="N2" s="256"/>
      <c r="O2" s="250"/>
      <c r="P2" s="250"/>
    </row>
    <row r="3" spans="1:24" ht="13.5" thickBot="1" x14ac:dyDescent="0.25">
      <c r="A3" s="334"/>
      <c r="B3" s="334"/>
      <c r="C3" s="337"/>
      <c r="D3" s="56">
        <v>591020</v>
      </c>
      <c r="E3" s="56" t="s">
        <v>320</v>
      </c>
      <c r="F3" s="56" t="s">
        <v>321</v>
      </c>
      <c r="G3" s="56" t="s">
        <v>321</v>
      </c>
      <c r="H3" s="56">
        <v>6</v>
      </c>
      <c r="I3" s="57">
        <v>27558.65</v>
      </c>
      <c r="J3" s="97">
        <v>3.6</v>
      </c>
      <c r="K3" s="57">
        <v>27558.65</v>
      </c>
      <c r="L3" s="340"/>
      <c r="M3" s="329"/>
      <c r="N3" s="256"/>
      <c r="O3" s="250"/>
      <c r="P3" s="250"/>
    </row>
    <row r="4" spans="1:24" ht="13.5" thickBot="1" x14ac:dyDescent="0.25">
      <c r="A4" s="334"/>
      <c r="B4" s="334"/>
      <c r="C4" s="337"/>
      <c r="D4" s="56"/>
      <c r="E4" s="56"/>
      <c r="F4" s="56"/>
      <c r="G4" s="56"/>
      <c r="H4" s="56"/>
      <c r="I4" s="57"/>
      <c r="J4" s="97"/>
      <c r="K4" s="57"/>
      <c r="L4" s="340"/>
      <c r="M4" s="329"/>
      <c r="N4" s="256"/>
      <c r="O4" s="250"/>
      <c r="P4" s="250"/>
    </row>
    <row r="5" spans="1:24" ht="13.5" thickBot="1" x14ac:dyDescent="0.25">
      <c r="A5" s="334"/>
      <c r="B5" s="334"/>
      <c r="C5" s="337"/>
      <c r="D5" s="56"/>
      <c r="E5" s="56"/>
      <c r="F5" s="56"/>
      <c r="G5" s="56"/>
      <c r="H5" s="56"/>
      <c r="I5" s="57"/>
      <c r="J5" s="97"/>
      <c r="K5" s="57"/>
      <c r="L5" s="340"/>
      <c r="M5" s="329"/>
      <c r="N5" s="256"/>
      <c r="O5" s="250"/>
      <c r="P5" s="250"/>
    </row>
    <row r="6" spans="1:24" ht="13.5" thickBot="1" x14ac:dyDescent="0.25">
      <c r="A6" s="335"/>
      <c r="B6" s="335"/>
      <c r="C6" s="338"/>
      <c r="D6" s="56"/>
      <c r="E6" s="56"/>
      <c r="F6" s="56"/>
      <c r="G6" s="56"/>
      <c r="H6" s="56"/>
      <c r="I6" s="57"/>
      <c r="J6" s="97"/>
      <c r="K6" s="57"/>
      <c r="L6" s="341"/>
      <c r="M6" s="329"/>
      <c r="N6" s="256"/>
      <c r="O6" s="250"/>
      <c r="P6" s="250"/>
    </row>
    <row r="7" spans="1:24" ht="13.5" thickBot="1" x14ac:dyDescent="0.25">
      <c r="A7" s="342" t="s">
        <v>10</v>
      </c>
      <c r="B7" s="342" t="s">
        <v>104</v>
      </c>
      <c r="C7" s="345">
        <v>1356216613</v>
      </c>
      <c r="D7" s="53">
        <v>591018</v>
      </c>
      <c r="E7" s="54" t="s">
        <v>320</v>
      </c>
      <c r="F7" s="54" t="s">
        <v>321</v>
      </c>
      <c r="G7" s="54" t="s">
        <v>321</v>
      </c>
      <c r="H7" s="53">
        <v>6</v>
      </c>
      <c r="I7" s="55">
        <v>10000</v>
      </c>
      <c r="J7" s="98">
        <v>3.6</v>
      </c>
      <c r="K7" s="55">
        <v>10000</v>
      </c>
      <c r="L7" s="348">
        <f>SUM(K7:K9)</f>
        <v>10000</v>
      </c>
      <c r="M7" s="329"/>
      <c r="N7" s="257"/>
      <c r="O7" s="251"/>
      <c r="P7" s="251"/>
    </row>
    <row r="8" spans="1:24" ht="13.5" thickBot="1" x14ac:dyDescent="0.25">
      <c r="A8" s="343"/>
      <c r="B8" s="343"/>
      <c r="C8" s="346"/>
      <c r="D8" s="53"/>
      <c r="E8" s="54"/>
      <c r="F8" s="54"/>
      <c r="G8" s="54"/>
      <c r="H8" s="53"/>
      <c r="I8" s="55"/>
      <c r="J8" s="98"/>
      <c r="K8" s="55"/>
      <c r="L8" s="349"/>
      <c r="M8" s="329"/>
      <c r="N8" s="258"/>
      <c r="O8" s="252"/>
      <c r="P8" s="252"/>
    </row>
    <row r="9" spans="1:24" ht="13.5" thickBot="1" x14ac:dyDescent="0.25">
      <c r="A9" s="344"/>
      <c r="B9" s="344"/>
      <c r="C9" s="347"/>
      <c r="D9" s="53"/>
      <c r="E9" s="54"/>
      <c r="F9" s="54"/>
      <c r="G9" s="54"/>
      <c r="H9" s="53"/>
      <c r="I9" s="55"/>
      <c r="J9" s="98"/>
      <c r="K9" s="55"/>
      <c r="L9" s="350"/>
      <c r="M9" s="329"/>
      <c r="N9" s="258"/>
      <c r="O9" s="252"/>
      <c r="P9" s="252"/>
    </row>
    <row r="10" spans="1:24" ht="13.5" thickBot="1" x14ac:dyDescent="0.25">
      <c r="A10" s="331"/>
      <c r="B10" s="331"/>
      <c r="C10" s="331"/>
      <c r="D10" s="89"/>
      <c r="E10" s="90"/>
      <c r="F10" s="90"/>
      <c r="G10" s="90"/>
      <c r="H10" s="89"/>
      <c r="I10" s="91"/>
      <c r="J10" s="92"/>
      <c r="K10" s="91"/>
      <c r="L10" s="351"/>
      <c r="M10" s="329"/>
      <c r="N10" s="259"/>
      <c r="O10" s="253"/>
      <c r="P10" s="327">
        <f>SUM(O10:O11)</f>
        <v>0</v>
      </c>
    </row>
    <row r="11" spans="1:24" ht="13.5" thickBot="1" x14ac:dyDescent="0.25">
      <c r="A11" s="332"/>
      <c r="B11" s="332"/>
      <c r="C11" s="332"/>
      <c r="D11" s="89"/>
      <c r="E11" s="90"/>
      <c r="F11" s="90"/>
      <c r="G11" s="90"/>
      <c r="H11" s="89"/>
      <c r="I11" s="91"/>
      <c r="J11" s="92"/>
      <c r="K11" s="91"/>
      <c r="L11" s="352"/>
      <c r="M11" s="330"/>
      <c r="N11" s="259"/>
      <c r="O11" s="253"/>
      <c r="P11" s="327"/>
    </row>
  </sheetData>
  <mergeCells count="14">
    <mergeCell ref="P10:P11"/>
    <mergeCell ref="M2:M11"/>
    <mergeCell ref="A10:A11"/>
    <mergeCell ref="A2:A6"/>
    <mergeCell ref="B2:B6"/>
    <mergeCell ref="C2:C6"/>
    <mergeCell ref="L2:L6"/>
    <mergeCell ref="A7:A9"/>
    <mergeCell ref="B7:B9"/>
    <mergeCell ref="C7:C9"/>
    <mergeCell ref="L7:L9"/>
    <mergeCell ref="B10:B11"/>
    <mergeCell ref="C10:C11"/>
    <mergeCell ref="L10:L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76"/>
  <sheetViews>
    <sheetView topLeftCell="I55" workbookViewId="0">
      <selection activeCell="U69" sqref="U69:U76"/>
    </sheetView>
  </sheetViews>
  <sheetFormatPr defaultRowHeight="11.25" x14ac:dyDescent="0.2"/>
  <cols>
    <col min="1" max="1" width="9.140625" style="33"/>
    <col min="2" max="2" width="7.140625" style="33" customWidth="1"/>
    <col min="3" max="3" width="9.5703125" style="33" bestFit="1" customWidth="1"/>
    <col min="4" max="4" width="7.42578125" style="33" bestFit="1" customWidth="1"/>
    <col min="5" max="5" width="9.140625" style="33"/>
    <col min="6" max="6" width="10.140625" style="33" bestFit="1" customWidth="1"/>
    <col min="7" max="8" width="9.140625" style="33"/>
    <col min="9" max="9" width="10.140625" style="33" bestFit="1" customWidth="1"/>
    <col min="10" max="10" width="9.140625" style="33"/>
    <col min="11" max="13" width="10.140625" style="33" bestFit="1" customWidth="1"/>
    <col min="14" max="16" width="10.140625" style="33" customWidth="1"/>
    <col min="17" max="17" width="7.5703125" style="33" customWidth="1"/>
    <col min="18" max="18" width="10.140625" style="33" bestFit="1" customWidth="1"/>
    <col min="19" max="19" width="24.7109375" style="33" bestFit="1" customWidth="1"/>
    <col min="20" max="20" width="6.28515625" style="33" bestFit="1" customWidth="1"/>
    <col min="21" max="21" width="6.5703125" style="33" bestFit="1" customWidth="1"/>
    <col min="22" max="22" width="9.28515625" style="33" bestFit="1" customWidth="1"/>
    <col min="23" max="23" width="9.140625" style="33"/>
    <col min="24" max="24" width="9.85546875" style="33" bestFit="1" customWidth="1"/>
    <col min="25" max="25" width="22.42578125" style="33" bestFit="1" customWidth="1"/>
    <col min="26" max="16384" width="9.140625" style="33"/>
  </cols>
  <sheetData>
    <row r="1" spans="1:28" ht="34.5" thickBot="1" x14ac:dyDescent="0.25">
      <c r="A1" s="32" t="s">
        <v>107</v>
      </c>
      <c r="B1" s="32" t="s">
        <v>103</v>
      </c>
      <c r="C1" s="32" t="s">
        <v>98</v>
      </c>
      <c r="D1" s="32" t="s">
        <v>88</v>
      </c>
      <c r="E1" s="32" t="s">
        <v>89</v>
      </c>
      <c r="F1" s="32" t="s">
        <v>90</v>
      </c>
      <c r="G1" s="32" t="s">
        <v>91</v>
      </c>
      <c r="H1" s="32" t="s">
        <v>92</v>
      </c>
      <c r="I1" s="32" t="s">
        <v>93</v>
      </c>
      <c r="J1" s="32" t="s">
        <v>94</v>
      </c>
      <c r="K1" s="32" t="s">
        <v>95</v>
      </c>
      <c r="L1" s="32" t="s">
        <v>105</v>
      </c>
      <c r="M1" s="379">
        <f>SUM(K2:K11)</f>
        <v>517802.68</v>
      </c>
      <c r="N1" s="244" t="s">
        <v>318</v>
      </c>
      <c r="O1" s="244" t="s">
        <v>319</v>
      </c>
      <c r="P1" s="246"/>
      <c r="R1" s="32" t="s">
        <v>25</v>
      </c>
      <c r="S1" s="32" t="s">
        <v>26</v>
      </c>
      <c r="T1" s="32" t="s">
        <v>59</v>
      </c>
      <c r="U1" s="32" t="s">
        <v>60</v>
      </c>
      <c r="V1" s="104">
        <f>SUM(V2:V999)</f>
        <v>10229.290000000003</v>
      </c>
      <c r="X1" s="32" t="s">
        <v>25</v>
      </c>
      <c r="Y1" s="32" t="s">
        <v>26</v>
      </c>
      <c r="Z1" s="32" t="s">
        <v>59</v>
      </c>
      <c r="AA1" s="32" t="s">
        <v>60</v>
      </c>
      <c r="AB1" s="104">
        <f>SUM(AB2:AB9)</f>
        <v>126.28</v>
      </c>
    </row>
    <row r="2" spans="1:28" ht="12" thickBot="1" x14ac:dyDescent="0.25">
      <c r="A2" s="333" t="s">
        <v>11</v>
      </c>
      <c r="B2" s="333" t="s">
        <v>104</v>
      </c>
      <c r="C2" s="336">
        <v>1345754316</v>
      </c>
      <c r="D2" s="56">
        <v>637049</v>
      </c>
      <c r="E2" s="56" t="s">
        <v>96</v>
      </c>
      <c r="F2" s="56" t="s">
        <v>97</v>
      </c>
      <c r="G2" s="56" t="s">
        <v>334</v>
      </c>
      <c r="H2" s="56">
        <v>6</v>
      </c>
      <c r="I2" s="57">
        <v>50000</v>
      </c>
      <c r="J2" s="97">
        <v>4</v>
      </c>
      <c r="K2" s="57">
        <v>50000</v>
      </c>
      <c r="L2" s="373">
        <f>SUM(K2:K6)</f>
        <v>243278.7</v>
      </c>
      <c r="M2" s="379"/>
      <c r="N2" s="241"/>
      <c r="O2" s="241"/>
      <c r="P2" s="241"/>
      <c r="R2" s="360">
        <v>43474</v>
      </c>
      <c r="S2" s="59" t="s">
        <v>99</v>
      </c>
      <c r="T2" s="102"/>
      <c r="U2" s="103">
        <v>164.65</v>
      </c>
      <c r="V2" s="368">
        <f>SUM(U2:U4)</f>
        <v>512.87</v>
      </c>
      <c r="X2" s="353">
        <v>43536</v>
      </c>
      <c r="Y2" s="99" t="s">
        <v>124</v>
      </c>
      <c r="Z2" s="100"/>
      <c r="AA2" s="101">
        <v>92.05</v>
      </c>
      <c r="AB2" s="366">
        <f>SUM(AA2:AA3)</f>
        <v>126.28</v>
      </c>
    </row>
    <row r="3" spans="1:28" ht="13.5" customHeight="1" thickBot="1" x14ac:dyDescent="0.25">
      <c r="A3" s="334"/>
      <c r="B3" s="334"/>
      <c r="C3" s="337"/>
      <c r="D3" s="56">
        <v>637050</v>
      </c>
      <c r="E3" s="56" t="s">
        <v>96</v>
      </c>
      <c r="F3" s="56" t="s">
        <v>97</v>
      </c>
      <c r="G3" s="56" t="s">
        <v>334</v>
      </c>
      <c r="H3" s="56">
        <v>6</v>
      </c>
      <c r="I3" s="57">
        <v>50000</v>
      </c>
      <c r="J3" s="97">
        <v>4</v>
      </c>
      <c r="K3" s="57">
        <v>50000</v>
      </c>
      <c r="L3" s="374"/>
      <c r="M3" s="379"/>
      <c r="N3" s="241"/>
      <c r="O3" s="241"/>
      <c r="P3" s="241"/>
      <c r="R3" s="361"/>
      <c r="S3" s="59" t="s">
        <v>100</v>
      </c>
      <c r="T3" s="102"/>
      <c r="U3" s="103">
        <v>174.11</v>
      </c>
      <c r="V3" s="369"/>
      <c r="X3" s="355"/>
      <c r="Y3" s="99" t="s">
        <v>125</v>
      </c>
      <c r="Z3" s="100"/>
      <c r="AA3" s="101">
        <v>34.229999999999997</v>
      </c>
      <c r="AB3" s="367"/>
    </row>
    <row r="4" spans="1:28" ht="13.5" customHeight="1" thickBot="1" x14ac:dyDescent="0.25">
      <c r="A4" s="334"/>
      <c r="B4" s="334"/>
      <c r="C4" s="337"/>
      <c r="D4" s="56">
        <v>637051</v>
      </c>
      <c r="E4" s="56" t="s">
        <v>96</v>
      </c>
      <c r="F4" s="56" t="s">
        <v>97</v>
      </c>
      <c r="G4" s="56" t="s">
        <v>334</v>
      </c>
      <c r="H4" s="56">
        <v>6</v>
      </c>
      <c r="I4" s="57">
        <v>50000</v>
      </c>
      <c r="J4" s="97">
        <v>4</v>
      </c>
      <c r="K4" s="57">
        <v>50000</v>
      </c>
      <c r="L4" s="374"/>
      <c r="M4" s="379"/>
      <c r="N4" s="241"/>
      <c r="O4" s="241"/>
      <c r="P4" s="241"/>
      <c r="R4" s="362"/>
      <c r="S4" s="59" t="s">
        <v>101</v>
      </c>
      <c r="T4" s="102"/>
      <c r="U4" s="103">
        <v>174.11</v>
      </c>
      <c r="V4" s="370"/>
    </row>
    <row r="5" spans="1:28" ht="12" thickBot="1" x14ac:dyDescent="0.25">
      <c r="A5" s="334"/>
      <c r="B5" s="334"/>
      <c r="C5" s="337"/>
      <c r="D5" s="56">
        <v>637052</v>
      </c>
      <c r="E5" s="56" t="s">
        <v>96</v>
      </c>
      <c r="F5" s="56" t="s">
        <v>97</v>
      </c>
      <c r="G5" s="56" t="s">
        <v>334</v>
      </c>
      <c r="H5" s="56">
        <v>6</v>
      </c>
      <c r="I5" s="57">
        <v>50000</v>
      </c>
      <c r="J5" s="97">
        <v>4</v>
      </c>
      <c r="K5" s="57">
        <v>50000</v>
      </c>
      <c r="L5" s="374"/>
      <c r="M5" s="379"/>
      <c r="N5" s="241"/>
      <c r="O5" s="241"/>
      <c r="P5" s="241"/>
      <c r="R5" s="353">
        <v>43505</v>
      </c>
      <c r="S5" s="59" t="s">
        <v>99</v>
      </c>
      <c r="T5" s="102"/>
      <c r="U5" s="103">
        <v>164.65</v>
      </c>
      <c r="V5" s="356">
        <f>SUM(U5:U7)</f>
        <v>512.87</v>
      </c>
      <c r="W5" s="359">
        <f>SUM(U5:U12)</f>
        <v>1339.3400000000001</v>
      </c>
    </row>
    <row r="6" spans="1:28" ht="12" thickBot="1" x14ac:dyDescent="0.25">
      <c r="A6" s="335"/>
      <c r="B6" s="335"/>
      <c r="C6" s="338"/>
      <c r="D6" s="56">
        <v>637053</v>
      </c>
      <c r="E6" s="56" t="s">
        <v>96</v>
      </c>
      <c r="F6" s="56" t="s">
        <v>97</v>
      </c>
      <c r="G6" s="56" t="s">
        <v>334</v>
      </c>
      <c r="H6" s="56">
        <v>6</v>
      </c>
      <c r="I6" s="57">
        <v>43278.7</v>
      </c>
      <c r="J6" s="97">
        <v>4</v>
      </c>
      <c r="K6" s="57">
        <v>43278.7</v>
      </c>
      <c r="L6" s="375"/>
      <c r="M6" s="379"/>
      <c r="N6" s="241"/>
      <c r="O6" s="241"/>
      <c r="P6" s="241"/>
      <c r="R6" s="354"/>
      <c r="S6" s="59" t="s">
        <v>100</v>
      </c>
      <c r="T6" s="102"/>
      <c r="U6" s="103">
        <v>174.11</v>
      </c>
      <c r="V6" s="357"/>
      <c r="W6" s="359"/>
    </row>
    <row r="7" spans="1:28" ht="12" thickBot="1" x14ac:dyDescent="0.25">
      <c r="A7" s="342" t="s">
        <v>11</v>
      </c>
      <c r="B7" s="342" t="s">
        <v>102</v>
      </c>
      <c r="C7" s="345">
        <v>1820425004</v>
      </c>
      <c r="D7" s="53">
        <v>970411</v>
      </c>
      <c r="E7" s="54">
        <v>43385</v>
      </c>
      <c r="F7" s="54">
        <v>43744</v>
      </c>
      <c r="G7" s="54">
        <v>43750</v>
      </c>
      <c r="H7" s="53">
        <v>6</v>
      </c>
      <c r="I7" s="55">
        <v>47284.13</v>
      </c>
      <c r="J7" s="98">
        <v>4.0999999999999996</v>
      </c>
      <c r="K7" s="55">
        <v>47284.13</v>
      </c>
      <c r="L7" s="376">
        <f>SUM(K7:K9)</f>
        <v>147284.13</v>
      </c>
      <c r="M7" s="379"/>
      <c r="N7" s="242"/>
      <c r="O7" s="242"/>
      <c r="P7" s="242"/>
      <c r="R7" s="355"/>
      <c r="S7" s="59" t="s">
        <v>101</v>
      </c>
      <c r="T7" s="102"/>
      <c r="U7" s="103">
        <v>174.11</v>
      </c>
      <c r="V7" s="358"/>
      <c r="W7" s="359"/>
    </row>
    <row r="8" spans="1:28" ht="12" thickBot="1" x14ac:dyDescent="0.25">
      <c r="A8" s="343"/>
      <c r="B8" s="343"/>
      <c r="C8" s="346"/>
      <c r="D8" s="53">
        <v>970412</v>
      </c>
      <c r="E8" s="54">
        <v>43385</v>
      </c>
      <c r="F8" s="54">
        <v>43744</v>
      </c>
      <c r="G8" s="54">
        <v>43750</v>
      </c>
      <c r="H8" s="53">
        <v>6</v>
      </c>
      <c r="I8" s="55">
        <v>50000</v>
      </c>
      <c r="J8" s="98">
        <v>4.0999999999999996</v>
      </c>
      <c r="K8" s="55">
        <v>50000</v>
      </c>
      <c r="L8" s="346"/>
      <c r="M8" s="379"/>
      <c r="N8" s="243"/>
      <c r="O8" s="243"/>
      <c r="P8" s="243"/>
      <c r="R8" s="360">
        <v>43517</v>
      </c>
      <c r="S8" s="58" t="s">
        <v>138</v>
      </c>
      <c r="T8" s="35"/>
      <c r="U8" s="65">
        <v>147.03</v>
      </c>
      <c r="V8" s="363">
        <f>SUM(U8:U12)</f>
        <v>826.47</v>
      </c>
      <c r="W8" s="359"/>
    </row>
    <row r="9" spans="1:28" ht="13.5" customHeight="1" thickBot="1" x14ac:dyDescent="0.25">
      <c r="A9" s="344"/>
      <c r="B9" s="344"/>
      <c r="C9" s="347"/>
      <c r="D9" s="53">
        <v>970413</v>
      </c>
      <c r="E9" s="54">
        <v>43385</v>
      </c>
      <c r="F9" s="54">
        <v>43744</v>
      </c>
      <c r="G9" s="54">
        <v>43750</v>
      </c>
      <c r="H9" s="53">
        <v>6</v>
      </c>
      <c r="I9" s="55">
        <v>50000</v>
      </c>
      <c r="J9" s="98">
        <v>4.0999999999999996</v>
      </c>
      <c r="K9" s="55">
        <v>50000</v>
      </c>
      <c r="L9" s="347"/>
      <c r="M9" s="379"/>
      <c r="N9" s="243"/>
      <c r="O9" s="243"/>
      <c r="P9" s="243"/>
      <c r="R9" s="361"/>
      <c r="S9" s="58" t="s">
        <v>137</v>
      </c>
      <c r="T9" s="35"/>
      <c r="U9" s="65">
        <v>169.86</v>
      </c>
      <c r="V9" s="364"/>
      <c r="W9" s="359"/>
    </row>
    <row r="10" spans="1:28" ht="13.5" customHeight="1" thickBot="1" x14ac:dyDescent="0.25">
      <c r="A10" s="371" t="s">
        <v>11</v>
      </c>
      <c r="B10" s="371" t="s">
        <v>104</v>
      </c>
      <c r="C10" s="371">
        <v>1345754316</v>
      </c>
      <c r="D10" s="271">
        <v>242144</v>
      </c>
      <c r="E10" s="272">
        <v>43592</v>
      </c>
      <c r="F10" s="272">
        <v>43593</v>
      </c>
      <c r="G10" s="272">
        <v>43593</v>
      </c>
      <c r="H10" s="271">
        <v>1</v>
      </c>
      <c r="I10" s="273">
        <v>100000</v>
      </c>
      <c r="J10" s="274">
        <v>2.95</v>
      </c>
      <c r="K10" s="273">
        <v>100000</v>
      </c>
      <c r="L10" s="377">
        <f>SUM(K10:K11)</f>
        <v>127239.85</v>
      </c>
      <c r="M10" s="379"/>
      <c r="N10" s="245" t="s">
        <v>320</v>
      </c>
      <c r="O10" s="247">
        <v>100250.55</v>
      </c>
      <c r="P10" s="380">
        <f>SUM(O10:O11)</f>
        <v>127558.65</v>
      </c>
      <c r="R10" s="361"/>
      <c r="S10" s="58" t="s">
        <v>136</v>
      </c>
      <c r="T10" s="35"/>
      <c r="U10" s="65">
        <v>169.86</v>
      </c>
      <c r="V10" s="364"/>
      <c r="W10" s="359"/>
    </row>
    <row r="11" spans="1:28" ht="13.5" thickBot="1" x14ac:dyDescent="0.25">
      <c r="A11" s="372"/>
      <c r="B11" s="372"/>
      <c r="C11" s="372"/>
      <c r="D11" s="271">
        <v>242144</v>
      </c>
      <c r="E11" s="272">
        <v>43592</v>
      </c>
      <c r="F11" s="272">
        <v>43593</v>
      </c>
      <c r="G11" s="272">
        <v>43593</v>
      </c>
      <c r="H11" s="271">
        <v>1</v>
      </c>
      <c r="I11" s="273">
        <v>27239.85</v>
      </c>
      <c r="J11" s="274">
        <v>2.95</v>
      </c>
      <c r="K11" s="273">
        <v>27239.85</v>
      </c>
      <c r="L11" s="378"/>
      <c r="M11" s="379"/>
      <c r="N11" s="245" t="s">
        <v>320</v>
      </c>
      <c r="O11" s="247">
        <v>27308.1</v>
      </c>
      <c r="P11" s="380"/>
      <c r="R11" s="361"/>
      <c r="S11" s="58" t="s">
        <v>134</v>
      </c>
      <c r="T11" s="35"/>
      <c r="U11" s="65">
        <v>169.86</v>
      </c>
      <c r="V11" s="364"/>
      <c r="W11" s="359"/>
    </row>
    <row r="12" spans="1:28" ht="13.5" customHeight="1" thickBot="1" x14ac:dyDescent="0.25">
      <c r="R12" s="362"/>
      <c r="S12" s="58" t="s">
        <v>134</v>
      </c>
      <c r="T12" s="35"/>
      <c r="U12" s="65">
        <v>169.86</v>
      </c>
      <c r="V12" s="365"/>
      <c r="W12" s="359"/>
    </row>
    <row r="13" spans="1:28" ht="12" thickBot="1" x14ac:dyDescent="0.25">
      <c r="R13" s="353">
        <v>43533</v>
      </c>
      <c r="S13" s="59" t="s">
        <v>99</v>
      </c>
      <c r="T13" s="102"/>
      <c r="U13" s="103">
        <v>148.72</v>
      </c>
      <c r="V13" s="356">
        <f>SUM(U13:U15)</f>
        <v>463.24</v>
      </c>
      <c r="W13" s="359">
        <f>SUM(U13:U20)</f>
        <v>1209.7600000000002</v>
      </c>
    </row>
    <row r="14" spans="1:28" ht="12" thickBot="1" x14ac:dyDescent="0.25">
      <c r="R14" s="354"/>
      <c r="S14" s="59" t="s">
        <v>100</v>
      </c>
      <c r="T14" s="102"/>
      <c r="U14" s="103">
        <v>157.26</v>
      </c>
      <c r="V14" s="357"/>
      <c r="W14" s="359"/>
    </row>
    <row r="15" spans="1:28" ht="12" thickBot="1" x14ac:dyDescent="0.25">
      <c r="R15" s="355"/>
      <c r="S15" s="59" t="s">
        <v>101</v>
      </c>
      <c r="T15" s="102"/>
      <c r="U15" s="103">
        <v>157.26</v>
      </c>
      <c r="V15" s="358"/>
      <c r="W15" s="359"/>
    </row>
    <row r="16" spans="1:28" ht="12" thickBot="1" x14ac:dyDescent="0.25">
      <c r="M16" s="36">
        <f>UOB!S50</f>
        <v>93056.148442703692</v>
      </c>
      <c r="R16" s="360">
        <v>43545</v>
      </c>
      <c r="S16" s="58" t="s">
        <v>138</v>
      </c>
      <c r="T16" s="35"/>
      <c r="U16" s="65">
        <v>132.80000000000001</v>
      </c>
      <c r="V16" s="363">
        <f>SUM(U16:U20)</f>
        <v>746.52</v>
      </c>
      <c r="W16" s="359"/>
    </row>
    <row r="17" spans="13:24" ht="13.5" customHeight="1" thickBot="1" x14ac:dyDescent="0.25">
      <c r="M17" s="217">
        <f>M16+M1</f>
        <v>610858.8284427037</v>
      </c>
      <c r="R17" s="361"/>
      <c r="S17" s="58" t="s">
        <v>137</v>
      </c>
      <c r="T17" s="35"/>
      <c r="U17" s="65">
        <v>153.43</v>
      </c>
      <c r="V17" s="364"/>
      <c r="W17" s="359"/>
    </row>
    <row r="18" spans="13:24" ht="13.5" customHeight="1" thickBot="1" x14ac:dyDescent="0.25">
      <c r="R18" s="361"/>
      <c r="S18" s="58" t="s">
        <v>136</v>
      </c>
      <c r="T18" s="35"/>
      <c r="U18" s="65">
        <v>153.43</v>
      </c>
      <c r="V18" s="364"/>
      <c r="W18" s="359"/>
    </row>
    <row r="19" spans="13:24" ht="13.5" customHeight="1" thickBot="1" x14ac:dyDescent="0.25">
      <c r="R19" s="361"/>
      <c r="S19" s="58" t="s">
        <v>135</v>
      </c>
      <c r="T19" s="35"/>
      <c r="U19" s="65">
        <v>153.43</v>
      </c>
      <c r="V19" s="364"/>
      <c r="W19" s="359"/>
    </row>
    <row r="20" spans="13:24" ht="13.5" customHeight="1" thickBot="1" x14ac:dyDescent="0.25">
      <c r="R20" s="362"/>
      <c r="S20" s="58" t="s">
        <v>134</v>
      </c>
      <c r="T20" s="35"/>
      <c r="U20" s="65">
        <v>153.43</v>
      </c>
      <c r="V20" s="365"/>
      <c r="W20" s="359"/>
    </row>
    <row r="21" spans="13:24" ht="13.5" customHeight="1" thickBot="1" x14ac:dyDescent="0.25">
      <c r="R21" s="353">
        <v>43564</v>
      </c>
      <c r="S21" s="59" t="s">
        <v>99</v>
      </c>
      <c r="T21" s="102"/>
      <c r="U21" s="103">
        <v>164.66</v>
      </c>
      <c r="V21" s="356">
        <f>SUM(U21:U23)</f>
        <v>512.88</v>
      </c>
      <c r="W21" s="359">
        <f>SUM(U21:U28)</f>
        <v>1339.35</v>
      </c>
    </row>
    <row r="22" spans="13:24" ht="12" thickBot="1" x14ac:dyDescent="0.25">
      <c r="R22" s="354"/>
      <c r="S22" s="59" t="s">
        <v>100</v>
      </c>
      <c r="T22" s="102"/>
      <c r="U22" s="103">
        <v>174.11</v>
      </c>
      <c r="V22" s="357"/>
      <c r="W22" s="359"/>
    </row>
    <row r="23" spans="13:24" ht="12" thickBot="1" x14ac:dyDescent="0.25">
      <c r="R23" s="355"/>
      <c r="S23" s="59" t="s">
        <v>101</v>
      </c>
      <c r="T23" s="102"/>
      <c r="U23" s="103">
        <v>174.11</v>
      </c>
      <c r="V23" s="358"/>
      <c r="W23" s="359"/>
    </row>
    <row r="24" spans="13:24" ht="12" thickBot="1" x14ac:dyDescent="0.25">
      <c r="R24" s="360">
        <v>43576</v>
      </c>
      <c r="S24" s="58" t="s">
        <v>138</v>
      </c>
      <c r="T24" s="35"/>
      <c r="U24" s="65">
        <v>147.03</v>
      </c>
      <c r="V24" s="363">
        <f>SUM(U24:U28)</f>
        <v>826.47</v>
      </c>
      <c r="W24" s="359"/>
    </row>
    <row r="25" spans="13:24" ht="12" thickBot="1" x14ac:dyDescent="0.25">
      <c r="R25" s="361"/>
      <c r="S25" s="58" t="s">
        <v>137</v>
      </c>
      <c r="T25" s="35"/>
      <c r="U25" s="65">
        <v>169.86</v>
      </c>
      <c r="V25" s="364"/>
      <c r="W25" s="359"/>
    </row>
    <row r="26" spans="13:24" ht="12" thickBot="1" x14ac:dyDescent="0.25">
      <c r="R26" s="361"/>
      <c r="S26" s="58" t="s">
        <v>136</v>
      </c>
      <c r="T26" s="35"/>
      <c r="U26" s="65">
        <v>169.86</v>
      </c>
      <c r="V26" s="364"/>
      <c r="W26" s="359"/>
    </row>
    <row r="27" spans="13:24" ht="12" thickBot="1" x14ac:dyDescent="0.25">
      <c r="R27" s="361"/>
      <c r="S27" s="58" t="s">
        <v>135</v>
      </c>
      <c r="T27" s="35"/>
      <c r="U27" s="65">
        <v>169.86</v>
      </c>
      <c r="V27" s="364"/>
      <c r="W27" s="359"/>
    </row>
    <row r="28" spans="13:24" ht="12" thickBot="1" x14ac:dyDescent="0.25">
      <c r="R28" s="362"/>
      <c r="S28" s="58" t="s">
        <v>134</v>
      </c>
      <c r="T28" s="35"/>
      <c r="U28" s="65">
        <v>169.86</v>
      </c>
      <c r="V28" s="365"/>
      <c r="W28" s="359"/>
    </row>
    <row r="29" spans="13:24" ht="13.5" customHeight="1" thickBot="1" x14ac:dyDescent="0.25">
      <c r="R29" s="353">
        <v>43594</v>
      </c>
      <c r="S29" s="59" t="s">
        <v>99</v>
      </c>
      <c r="T29" s="102"/>
      <c r="U29" s="103">
        <v>159.34</v>
      </c>
      <c r="V29" s="356">
        <f>SUM(U29:U31)</f>
        <v>496.32000000000005</v>
      </c>
      <c r="W29" s="359">
        <f>SUM(U29:U36)</f>
        <v>1296.1199999999999</v>
      </c>
      <c r="X29" s="170"/>
    </row>
    <row r="30" spans="13:24" ht="12" thickBot="1" x14ac:dyDescent="0.25">
      <c r="R30" s="354"/>
      <c r="S30" s="59" t="s">
        <v>100</v>
      </c>
      <c r="T30" s="102"/>
      <c r="U30" s="103">
        <v>168.49</v>
      </c>
      <c r="V30" s="357"/>
      <c r="W30" s="359"/>
    </row>
    <row r="31" spans="13:24" ht="12" thickBot="1" x14ac:dyDescent="0.25">
      <c r="R31" s="355"/>
      <c r="S31" s="59" t="s">
        <v>101</v>
      </c>
      <c r="T31" s="102"/>
      <c r="U31" s="103">
        <v>168.49</v>
      </c>
      <c r="V31" s="358"/>
      <c r="W31" s="359"/>
    </row>
    <row r="32" spans="13:24" ht="12" thickBot="1" x14ac:dyDescent="0.25">
      <c r="R32" s="360">
        <v>43606</v>
      </c>
      <c r="S32" s="58" t="s">
        <v>138</v>
      </c>
      <c r="T32" s="35"/>
      <c r="U32" s="65">
        <v>142.28</v>
      </c>
      <c r="V32" s="363">
        <f>SUM(U32:U36)</f>
        <v>799.8</v>
      </c>
      <c r="W32" s="359"/>
    </row>
    <row r="33" spans="18:23" ht="12" thickBot="1" x14ac:dyDescent="0.25">
      <c r="R33" s="361"/>
      <c r="S33" s="58" t="s">
        <v>137</v>
      </c>
      <c r="T33" s="35"/>
      <c r="U33" s="65">
        <v>164.38</v>
      </c>
      <c r="V33" s="364"/>
      <c r="W33" s="359"/>
    </row>
    <row r="34" spans="18:23" ht="12" thickBot="1" x14ac:dyDescent="0.25">
      <c r="R34" s="361"/>
      <c r="S34" s="58" t="s">
        <v>136</v>
      </c>
      <c r="T34" s="35"/>
      <c r="U34" s="65">
        <v>164.38</v>
      </c>
      <c r="V34" s="364"/>
      <c r="W34" s="359"/>
    </row>
    <row r="35" spans="18:23" ht="12" thickBot="1" x14ac:dyDescent="0.25">
      <c r="R35" s="361"/>
      <c r="S35" s="58" t="s">
        <v>135</v>
      </c>
      <c r="T35" s="35"/>
      <c r="U35" s="65">
        <v>164.38</v>
      </c>
      <c r="V35" s="364"/>
      <c r="W35" s="359"/>
    </row>
    <row r="36" spans="18:23" ht="12" thickBot="1" x14ac:dyDescent="0.25">
      <c r="R36" s="362"/>
      <c r="S36" s="58" t="s">
        <v>134</v>
      </c>
      <c r="T36" s="35"/>
      <c r="U36" s="65">
        <v>164.38</v>
      </c>
      <c r="V36" s="365"/>
      <c r="W36" s="359"/>
    </row>
    <row r="37" spans="18:23" ht="12" thickBot="1" x14ac:dyDescent="0.25">
      <c r="R37" s="353">
        <v>43625</v>
      </c>
      <c r="S37" s="59" t="s">
        <v>99</v>
      </c>
      <c r="T37" s="102"/>
      <c r="U37" s="103">
        <v>164.65</v>
      </c>
      <c r="V37" s="356">
        <f>SUM(U37:U39)</f>
        <v>512.87</v>
      </c>
      <c r="W37" s="359">
        <f>SUM(U37:U44)</f>
        <v>1339.38</v>
      </c>
    </row>
    <row r="38" spans="18:23" ht="12" thickBot="1" x14ac:dyDescent="0.25">
      <c r="R38" s="354"/>
      <c r="S38" s="59" t="s">
        <v>100</v>
      </c>
      <c r="T38" s="102"/>
      <c r="U38" s="103">
        <v>174.11</v>
      </c>
      <c r="V38" s="357"/>
      <c r="W38" s="359"/>
    </row>
    <row r="39" spans="18:23" ht="12" thickBot="1" x14ac:dyDescent="0.25">
      <c r="R39" s="355"/>
      <c r="S39" s="59" t="s">
        <v>101</v>
      </c>
      <c r="T39" s="102"/>
      <c r="U39" s="103">
        <v>174.11</v>
      </c>
      <c r="V39" s="358"/>
      <c r="W39" s="359"/>
    </row>
    <row r="40" spans="18:23" ht="12" thickBot="1" x14ac:dyDescent="0.25">
      <c r="R40" s="360">
        <v>43637</v>
      </c>
      <c r="S40" s="58" t="s">
        <v>138</v>
      </c>
      <c r="T40" s="35"/>
      <c r="U40" s="65">
        <v>147.03</v>
      </c>
      <c r="V40" s="363">
        <f>SUM(U40:U44)</f>
        <v>826.51</v>
      </c>
      <c r="W40" s="359"/>
    </row>
    <row r="41" spans="18:23" ht="12" thickBot="1" x14ac:dyDescent="0.25">
      <c r="R41" s="361"/>
      <c r="S41" s="58" t="s">
        <v>137</v>
      </c>
      <c r="T41" s="35"/>
      <c r="U41" s="65">
        <v>169.87</v>
      </c>
      <c r="V41" s="364"/>
      <c r="W41" s="359"/>
    </row>
    <row r="42" spans="18:23" ht="12" thickBot="1" x14ac:dyDescent="0.25">
      <c r="R42" s="361"/>
      <c r="S42" s="58" t="s">
        <v>136</v>
      </c>
      <c r="T42" s="35"/>
      <c r="U42" s="65">
        <v>169.87</v>
      </c>
      <c r="V42" s="364"/>
      <c r="W42" s="359"/>
    </row>
    <row r="43" spans="18:23" ht="12" thickBot="1" x14ac:dyDescent="0.25">
      <c r="R43" s="361"/>
      <c r="S43" s="58" t="s">
        <v>135</v>
      </c>
      <c r="T43" s="35"/>
      <c r="U43" s="65">
        <v>169.87</v>
      </c>
      <c r="V43" s="364"/>
      <c r="W43" s="359"/>
    </row>
    <row r="44" spans="18:23" ht="12" thickBot="1" x14ac:dyDescent="0.25">
      <c r="R44" s="362"/>
      <c r="S44" s="58" t="s">
        <v>134</v>
      </c>
      <c r="T44" s="35"/>
      <c r="U44" s="65">
        <v>169.87</v>
      </c>
      <c r="V44" s="365"/>
      <c r="W44" s="359"/>
    </row>
    <row r="45" spans="18:23" ht="12" thickBot="1" x14ac:dyDescent="0.25">
      <c r="R45" s="353">
        <v>43655</v>
      </c>
      <c r="S45" s="59" t="s">
        <v>99</v>
      </c>
      <c r="T45" s="102"/>
      <c r="U45" s="103">
        <v>118.53</v>
      </c>
      <c r="V45" s="356">
        <f>SUM(U45:U47)</f>
        <v>369.21000000000004</v>
      </c>
      <c r="W45" s="359">
        <f>SUM(U45:U52)</f>
        <v>1169.02</v>
      </c>
    </row>
    <row r="46" spans="18:23" ht="12" thickBot="1" x14ac:dyDescent="0.25">
      <c r="R46" s="354"/>
      <c r="S46" s="59" t="s">
        <v>100</v>
      </c>
      <c r="T46" s="102"/>
      <c r="U46" s="103">
        <v>125.34</v>
      </c>
      <c r="V46" s="357"/>
      <c r="W46" s="359"/>
    </row>
    <row r="47" spans="18:23" ht="12" thickBot="1" x14ac:dyDescent="0.25">
      <c r="R47" s="355"/>
      <c r="S47" s="59" t="s">
        <v>101</v>
      </c>
      <c r="T47" s="102"/>
      <c r="U47" s="103">
        <v>125.34</v>
      </c>
      <c r="V47" s="358"/>
      <c r="W47" s="359"/>
    </row>
    <row r="48" spans="18:23" ht="12" thickBot="1" x14ac:dyDescent="0.25">
      <c r="R48" s="360">
        <v>43667</v>
      </c>
      <c r="S48" s="58" t="s">
        <v>138</v>
      </c>
      <c r="T48" s="35"/>
      <c r="U48" s="65">
        <v>142.29</v>
      </c>
      <c r="V48" s="363">
        <f>SUM(U48:U52)</f>
        <v>799.81</v>
      </c>
      <c r="W48" s="359"/>
    </row>
    <row r="49" spans="18:23" ht="12" thickBot="1" x14ac:dyDescent="0.25">
      <c r="R49" s="361"/>
      <c r="S49" s="58" t="s">
        <v>137</v>
      </c>
      <c r="T49" s="35"/>
      <c r="U49" s="65">
        <v>164.38</v>
      </c>
      <c r="V49" s="364"/>
      <c r="W49" s="359"/>
    </row>
    <row r="50" spans="18:23" ht="12" thickBot="1" x14ac:dyDescent="0.25">
      <c r="R50" s="361"/>
      <c r="S50" s="58" t="s">
        <v>136</v>
      </c>
      <c r="T50" s="35"/>
      <c r="U50" s="65">
        <v>164.38</v>
      </c>
      <c r="V50" s="364"/>
      <c r="W50" s="359"/>
    </row>
    <row r="51" spans="18:23" ht="12" thickBot="1" x14ac:dyDescent="0.25">
      <c r="R51" s="361"/>
      <c r="S51" s="58" t="s">
        <v>135</v>
      </c>
      <c r="T51" s="35"/>
      <c r="U51" s="65">
        <v>164.38</v>
      </c>
      <c r="V51" s="364"/>
      <c r="W51" s="359"/>
    </row>
    <row r="52" spans="18:23" ht="12" thickBot="1" x14ac:dyDescent="0.25">
      <c r="R52" s="362"/>
      <c r="S52" s="58" t="s">
        <v>134</v>
      </c>
      <c r="T52" s="35"/>
      <c r="U52" s="65">
        <v>164.38</v>
      </c>
      <c r="V52" s="365"/>
      <c r="W52" s="359"/>
    </row>
    <row r="53" spans="18:23" ht="12" thickBot="1" x14ac:dyDescent="0.25">
      <c r="R53" s="353">
        <v>43686</v>
      </c>
      <c r="S53" s="59" t="s">
        <v>99</v>
      </c>
      <c r="T53" s="102"/>
      <c r="U53" s="103">
        <v>122.49</v>
      </c>
      <c r="V53" s="356">
        <f>SUM(U53:U55)</f>
        <v>381.53</v>
      </c>
      <c r="W53" s="359">
        <f>SUM(U53:U60)</f>
        <v>1011.7199999999999</v>
      </c>
    </row>
    <row r="54" spans="18:23" ht="12" thickBot="1" x14ac:dyDescent="0.25">
      <c r="R54" s="354"/>
      <c r="S54" s="59" t="s">
        <v>100</v>
      </c>
      <c r="T54" s="102"/>
      <c r="U54" s="103">
        <v>129.52000000000001</v>
      </c>
      <c r="V54" s="357"/>
      <c r="W54" s="359"/>
    </row>
    <row r="55" spans="18:23" ht="12" thickBot="1" x14ac:dyDescent="0.25">
      <c r="R55" s="355"/>
      <c r="S55" s="59" t="s">
        <v>101</v>
      </c>
      <c r="T55" s="102"/>
      <c r="U55" s="103">
        <v>129.52000000000001</v>
      </c>
      <c r="V55" s="358"/>
      <c r="W55" s="359"/>
    </row>
    <row r="56" spans="18:23" ht="12" thickBot="1" x14ac:dyDescent="0.25">
      <c r="R56" s="360">
        <v>43698</v>
      </c>
      <c r="S56" s="58" t="s">
        <v>138</v>
      </c>
      <c r="T56" s="35"/>
      <c r="U56" s="65">
        <v>112.11</v>
      </c>
      <c r="V56" s="363">
        <f>SUM(U56:U60)</f>
        <v>630.18999999999994</v>
      </c>
      <c r="W56" s="359"/>
    </row>
    <row r="57" spans="18:23" ht="12" thickBot="1" x14ac:dyDescent="0.25">
      <c r="R57" s="361"/>
      <c r="S57" s="58" t="s">
        <v>137</v>
      </c>
      <c r="T57" s="35"/>
      <c r="U57" s="65">
        <v>129.52000000000001</v>
      </c>
      <c r="V57" s="364"/>
      <c r="W57" s="359"/>
    </row>
    <row r="58" spans="18:23" ht="12" thickBot="1" x14ac:dyDescent="0.25">
      <c r="R58" s="361"/>
      <c r="S58" s="58" t="s">
        <v>136</v>
      </c>
      <c r="T58" s="35"/>
      <c r="U58" s="65">
        <v>129.52000000000001</v>
      </c>
      <c r="V58" s="364"/>
      <c r="W58" s="359"/>
    </row>
    <row r="59" spans="18:23" ht="12" thickBot="1" x14ac:dyDescent="0.25">
      <c r="R59" s="361"/>
      <c r="S59" s="58" t="s">
        <v>135</v>
      </c>
      <c r="T59" s="35"/>
      <c r="U59" s="65">
        <v>129.52000000000001</v>
      </c>
      <c r="V59" s="364"/>
      <c r="W59" s="359"/>
    </row>
    <row r="60" spans="18:23" ht="12" thickBot="1" x14ac:dyDescent="0.25">
      <c r="R60" s="362"/>
      <c r="S60" s="58" t="s">
        <v>134</v>
      </c>
      <c r="T60" s="35"/>
      <c r="U60" s="65">
        <v>129.52000000000001</v>
      </c>
      <c r="V60" s="365"/>
      <c r="W60" s="359"/>
    </row>
    <row r="61" spans="18:23" ht="12" thickBot="1" x14ac:dyDescent="0.25">
      <c r="R61" s="353">
        <v>43718</v>
      </c>
      <c r="S61" s="59" t="s">
        <v>99</v>
      </c>
      <c r="T61" s="102"/>
      <c r="U61" s="103">
        <v>122.48</v>
      </c>
      <c r="V61" s="356">
        <f>SUM(U61:U63)</f>
        <v>381.53999999999996</v>
      </c>
      <c r="W61" s="359">
        <f>SUM(U61:U68)</f>
        <v>1011.7299999999999</v>
      </c>
    </row>
    <row r="62" spans="18:23" ht="12" thickBot="1" x14ac:dyDescent="0.25">
      <c r="R62" s="354"/>
      <c r="S62" s="59" t="s">
        <v>100</v>
      </c>
      <c r="T62" s="102"/>
      <c r="U62" s="103">
        <v>129.53</v>
      </c>
      <c r="V62" s="357"/>
      <c r="W62" s="359"/>
    </row>
    <row r="63" spans="18:23" ht="12" thickBot="1" x14ac:dyDescent="0.25">
      <c r="R63" s="355"/>
      <c r="S63" s="59" t="s">
        <v>101</v>
      </c>
      <c r="T63" s="102"/>
      <c r="U63" s="103">
        <v>129.53</v>
      </c>
      <c r="V63" s="358"/>
      <c r="W63" s="359"/>
    </row>
    <row r="64" spans="18:23" ht="12" thickBot="1" x14ac:dyDescent="0.25">
      <c r="R64" s="360">
        <v>43729</v>
      </c>
      <c r="S64" s="58" t="s">
        <v>138</v>
      </c>
      <c r="T64" s="35"/>
      <c r="U64" s="65">
        <v>112.11</v>
      </c>
      <c r="V64" s="363">
        <f>SUM(U64:U68)</f>
        <v>630.18999999999994</v>
      </c>
      <c r="W64" s="359"/>
    </row>
    <row r="65" spans="18:23" ht="12" thickBot="1" x14ac:dyDescent="0.25">
      <c r="R65" s="361"/>
      <c r="S65" s="58" t="s">
        <v>137</v>
      </c>
      <c r="T65" s="35"/>
      <c r="U65" s="65">
        <v>129.52000000000001</v>
      </c>
      <c r="V65" s="364"/>
      <c r="W65" s="359"/>
    </row>
    <row r="66" spans="18:23" ht="12" thickBot="1" x14ac:dyDescent="0.25">
      <c r="R66" s="361"/>
      <c r="S66" s="58" t="s">
        <v>136</v>
      </c>
      <c r="T66" s="35"/>
      <c r="U66" s="65">
        <v>129.52000000000001</v>
      </c>
      <c r="V66" s="364"/>
      <c r="W66" s="359"/>
    </row>
    <row r="67" spans="18:23" ht="12" thickBot="1" x14ac:dyDescent="0.25">
      <c r="R67" s="361"/>
      <c r="S67" s="58" t="s">
        <v>135</v>
      </c>
      <c r="T67" s="35"/>
      <c r="U67" s="65">
        <v>129.52000000000001</v>
      </c>
      <c r="V67" s="364"/>
      <c r="W67" s="359"/>
    </row>
    <row r="68" spans="18:23" ht="12" thickBot="1" x14ac:dyDescent="0.25">
      <c r="R68" s="362"/>
      <c r="S68" s="58" t="s">
        <v>134</v>
      </c>
      <c r="T68" s="35"/>
      <c r="U68" s="65">
        <v>129.52000000000001</v>
      </c>
      <c r="V68" s="365"/>
      <c r="W68" s="359"/>
    </row>
    <row r="69" spans="18:23" ht="12" thickBot="1" x14ac:dyDescent="0.25">
      <c r="R69" s="353">
        <v>43740</v>
      </c>
      <c r="S69" s="59" t="s">
        <v>99</v>
      </c>
      <c r="T69" s="102"/>
      <c r="U69" s="103"/>
      <c r="V69" s="356">
        <f>SUM(U69:U71)</f>
        <v>0</v>
      </c>
      <c r="W69" s="359">
        <f>SUM(U69:U76)</f>
        <v>0</v>
      </c>
    </row>
    <row r="70" spans="18:23" ht="12" thickBot="1" x14ac:dyDescent="0.25">
      <c r="R70" s="354"/>
      <c r="S70" s="59" t="s">
        <v>100</v>
      </c>
      <c r="T70" s="102"/>
      <c r="U70" s="103"/>
      <c r="V70" s="357"/>
      <c r="W70" s="359"/>
    </row>
    <row r="71" spans="18:23" ht="12" thickBot="1" x14ac:dyDescent="0.25">
      <c r="R71" s="355"/>
      <c r="S71" s="59" t="s">
        <v>101</v>
      </c>
      <c r="T71" s="102"/>
      <c r="U71" s="103"/>
      <c r="V71" s="358"/>
      <c r="W71" s="359"/>
    </row>
    <row r="72" spans="18:23" ht="12" thickBot="1" x14ac:dyDescent="0.25">
      <c r="R72" s="360">
        <v>43751</v>
      </c>
      <c r="S72" s="58" t="s">
        <v>138</v>
      </c>
      <c r="T72" s="35"/>
      <c r="U72" s="65"/>
      <c r="V72" s="363">
        <f>SUM(U72:U76)</f>
        <v>0</v>
      </c>
      <c r="W72" s="359"/>
    </row>
    <row r="73" spans="18:23" ht="12" thickBot="1" x14ac:dyDescent="0.25">
      <c r="R73" s="361"/>
      <c r="S73" s="58" t="s">
        <v>137</v>
      </c>
      <c r="T73" s="35"/>
      <c r="U73" s="65"/>
      <c r="V73" s="364"/>
      <c r="W73" s="359"/>
    </row>
    <row r="74" spans="18:23" ht="12" thickBot="1" x14ac:dyDescent="0.25">
      <c r="R74" s="361"/>
      <c r="S74" s="58" t="s">
        <v>136</v>
      </c>
      <c r="T74" s="35"/>
      <c r="U74" s="65"/>
      <c r="V74" s="364"/>
      <c r="W74" s="359"/>
    </row>
    <row r="75" spans="18:23" ht="12" thickBot="1" x14ac:dyDescent="0.25">
      <c r="R75" s="361"/>
      <c r="S75" s="58" t="s">
        <v>135</v>
      </c>
      <c r="T75" s="35"/>
      <c r="U75" s="65"/>
      <c r="V75" s="364"/>
      <c r="W75" s="359"/>
    </row>
    <row r="76" spans="18:23" ht="12" thickBot="1" x14ac:dyDescent="0.25">
      <c r="R76" s="362"/>
      <c r="S76" s="58" t="s">
        <v>134</v>
      </c>
      <c r="T76" s="35"/>
      <c r="U76" s="65"/>
      <c r="V76" s="365"/>
      <c r="W76" s="359"/>
    </row>
  </sheetData>
  <mergeCells count="63">
    <mergeCell ref="L2:L6"/>
    <mergeCell ref="L7:L9"/>
    <mergeCell ref="L10:L11"/>
    <mergeCell ref="R2:R4"/>
    <mergeCell ref="R5:R7"/>
    <mergeCell ref="M1:M11"/>
    <mergeCell ref="P10:P11"/>
    <mergeCell ref="A2:A6"/>
    <mergeCell ref="A7:A9"/>
    <mergeCell ref="A10:A11"/>
    <mergeCell ref="B10:B11"/>
    <mergeCell ref="C10:C11"/>
    <mergeCell ref="B7:B9"/>
    <mergeCell ref="B2:B6"/>
    <mergeCell ref="C2:C6"/>
    <mergeCell ref="C7:C9"/>
    <mergeCell ref="X2:X3"/>
    <mergeCell ref="R21:R23"/>
    <mergeCell ref="V21:V23"/>
    <mergeCell ref="W5:W12"/>
    <mergeCell ref="AB2:AB3"/>
    <mergeCell ref="V2:V4"/>
    <mergeCell ref="V5:V7"/>
    <mergeCell ref="R16:R20"/>
    <mergeCell ref="R8:R12"/>
    <mergeCell ref="V8:V12"/>
    <mergeCell ref="V16:V20"/>
    <mergeCell ref="V13:V15"/>
    <mergeCell ref="R13:R15"/>
    <mergeCell ref="R32:R36"/>
    <mergeCell ref="V32:V36"/>
    <mergeCell ref="W29:W36"/>
    <mergeCell ref="W21:W28"/>
    <mergeCell ref="W13:W20"/>
    <mergeCell ref="R29:R31"/>
    <mergeCell ref="V29:V31"/>
    <mergeCell ref="R24:R28"/>
    <mergeCell ref="V24:V28"/>
    <mergeCell ref="R37:R39"/>
    <mergeCell ref="V37:V39"/>
    <mergeCell ref="W37:W44"/>
    <mergeCell ref="R40:R44"/>
    <mergeCell ref="V40:V44"/>
    <mergeCell ref="R45:R47"/>
    <mergeCell ref="V45:V47"/>
    <mergeCell ref="W45:W52"/>
    <mergeCell ref="R48:R52"/>
    <mergeCell ref="V48:V52"/>
    <mergeCell ref="R53:R55"/>
    <mergeCell ref="V53:V55"/>
    <mergeCell ref="W53:W60"/>
    <mergeCell ref="R56:R60"/>
    <mergeCell ref="V56:V60"/>
    <mergeCell ref="R61:R63"/>
    <mergeCell ref="V61:V63"/>
    <mergeCell ref="W61:W68"/>
    <mergeCell ref="R64:R68"/>
    <mergeCell ref="V64:V68"/>
    <mergeCell ref="R69:R71"/>
    <mergeCell ref="V69:V71"/>
    <mergeCell ref="W69:W76"/>
    <mergeCell ref="R72:R76"/>
    <mergeCell ref="V72:V76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9"/>
  <sheetViews>
    <sheetView workbookViewId="0">
      <selection activeCell="P22" sqref="P22"/>
    </sheetView>
  </sheetViews>
  <sheetFormatPr defaultRowHeight="12.75" x14ac:dyDescent="0.2"/>
  <cols>
    <col min="2" max="2" width="9.5703125" bestFit="1" customWidth="1"/>
    <col min="4" max="4" width="9.85546875" bestFit="1" customWidth="1"/>
    <col min="5" max="5" width="10.140625" bestFit="1" customWidth="1"/>
    <col min="6" max="6" width="9.85546875" bestFit="1" customWidth="1"/>
    <col min="14" max="14" width="10.140625" bestFit="1" customWidth="1"/>
    <col min="15" max="15" width="22.42578125" bestFit="1" customWidth="1"/>
  </cols>
  <sheetData>
    <row r="1" spans="1:18" ht="34.5" thickBot="1" x14ac:dyDescent="0.25">
      <c r="A1" s="42" t="s">
        <v>103</v>
      </c>
      <c r="B1" s="42" t="s">
        <v>98</v>
      </c>
      <c r="C1" s="42" t="s">
        <v>88</v>
      </c>
      <c r="D1" s="42" t="s">
        <v>89</v>
      </c>
      <c r="E1" s="42" t="s">
        <v>90</v>
      </c>
      <c r="F1" s="42" t="s">
        <v>91</v>
      </c>
      <c r="G1" s="42" t="s">
        <v>92</v>
      </c>
      <c r="H1" s="42" t="s">
        <v>93</v>
      </c>
      <c r="I1" s="42" t="s">
        <v>94</v>
      </c>
      <c r="J1" s="42" t="s">
        <v>95</v>
      </c>
      <c r="K1" s="42" t="s">
        <v>105</v>
      </c>
      <c r="L1" s="37">
        <f>SUM(J2:J3)</f>
        <v>41156.9</v>
      </c>
      <c r="N1" s="32" t="s">
        <v>25</v>
      </c>
      <c r="O1" s="32" t="s">
        <v>26</v>
      </c>
      <c r="P1" s="32" t="s">
        <v>59</v>
      </c>
      <c r="Q1" s="32" t="s">
        <v>60</v>
      </c>
      <c r="R1" s="36">
        <f>SUM(Q2:Q7)</f>
        <v>401.42</v>
      </c>
    </row>
    <row r="2" spans="1:18" ht="13.5" thickBot="1" x14ac:dyDescent="0.25">
      <c r="A2" s="391" t="s">
        <v>102</v>
      </c>
      <c r="B2" s="393">
        <v>1820425004</v>
      </c>
      <c r="C2" s="43">
        <v>119542</v>
      </c>
      <c r="D2" s="44">
        <v>43508</v>
      </c>
      <c r="E2" s="44">
        <v>43689</v>
      </c>
      <c r="F2" s="44">
        <v>43873</v>
      </c>
      <c r="G2" s="43">
        <v>6</v>
      </c>
      <c r="H2" s="45">
        <v>30000</v>
      </c>
      <c r="I2" s="46">
        <v>4</v>
      </c>
      <c r="J2" s="45">
        <v>30000</v>
      </c>
      <c r="K2" s="395">
        <f>SUM(J2:J3)</f>
        <v>41156.9</v>
      </c>
      <c r="N2" s="381">
        <v>43536</v>
      </c>
      <c r="O2" s="34" t="s">
        <v>124</v>
      </c>
      <c r="P2" s="35"/>
      <c r="Q2" s="51">
        <v>92.05</v>
      </c>
      <c r="R2" s="383">
        <f>SUM(Q2:Q3)</f>
        <v>126.28</v>
      </c>
    </row>
    <row r="3" spans="1:18" ht="13.5" thickBot="1" x14ac:dyDescent="0.25">
      <c r="A3" s="392"/>
      <c r="B3" s="394"/>
      <c r="C3" s="47">
        <v>119543</v>
      </c>
      <c r="D3" s="48">
        <v>43508</v>
      </c>
      <c r="E3" s="48">
        <v>43689</v>
      </c>
      <c r="F3" s="44">
        <v>43873</v>
      </c>
      <c r="G3" s="47">
        <v>6</v>
      </c>
      <c r="H3" s="49">
        <v>11156.9</v>
      </c>
      <c r="I3" s="50">
        <v>4</v>
      </c>
      <c r="J3" s="49">
        <v>11156.9</v>
      </c>
      <c r="K3" s="396"/>
      <c r="N3" s="389"/>
      <c r="O3" s="34" t="s">
        <v>125</v>
      </c>
      <c r="P3" s="35"/>
      <c r="Q3" s="51">
        <v>34.229999999999997</v>
      </c>
      <c r="R3" s="384"/>
    </row>
    <row r="4" spans="1:18" ht="13.5" thickBot="1" x14ac:dyDescent="0.25">
      <c r="N4" s="385">
        <v>43566</v>
      </c>
      <c r="O4" s="285" t="s">
        <v>124</v>
      </c>
      <c r="P4" s="286"/>
      <c r="Q4" s="287">
        <v>101.92</v>
      </c>
      <c r="R4" s="387">
        <f>SUM(Q4:Q5)</f>
        <v>139.82999999999998</v>
      </c>
    </row>
    <row r="5" spans="1:18" ht="13.5" thickBot="1" x14ac:dyDescent="0.25">
      <c r="N5" s="390"/>
      <c r="O5" s="285" t="s">
        <v>125</v>
      </c>
      <c r="P5" s="286"/>
      <c r="Q5" s="287">
        <v>37.909999999999997</v>
      </c>
      <c r="R5" s="388"/>
    </row>
    <row r="6" spans="1:18" ht="13.5" thickBot="1" x14ac:dyDescent="0.25">
      <c r="N6" s="381">
        <v>43597</v>
      </c>
      <c r="O6" s="34" t="s">
        <v>124</v>
      </c>
      <c r="P6" s="35"/>
      <c r="Q6" s="51">
        <v>98.63</v>
      </c>
      <c r="R6" s="383">
        <f>SUM(Q6:Q7)</f>
        <v>135.31</v>
      </c>
    </row>
    <row r="7" spans="1:18" ht="13.5" thickBot="1" x14ac:dyDescent="0.25">
      <c r="N7" s="389"/>
      <c r="O7" s="34" t="s">
        <v>125</v>
      </c>
      <c r="P7" s="35"/>
      <c r="Q7" s="51">
        <v>36.68</v>
      </c>
      <c r="R7" s="384"/>
    </row>
    <row r="8" spans="1:18" ht="13.5" thickBot="1" x14ac:dyDescent="0.25">
      <c r="N8" s="385">
        <v>43628</v>
      </c>
      <c r="O8" s="285" t="s">
        <v>124</v>
      </c>
      <c r="P8" s="286"/>
      <c r="Q8" s="287">
        <v>-25.27</v>
      </c>
      <c r="R8" s="387">
        <f>SUM(Q8:Q9)</f>
        <v>-112.49</v>
      </c>
    </row>
    <row r="9" spans="1:18" ht="13.5" thickBot="1" x14ac:dyDescent="0.25">
      <c r="N9" s="390"/>
      <c r="O9" s="285" t="s">
        <v>125</v>
      </c>
      <c r="P9" s="286"/>
      <c r="Q9" s="287">
        <v>-87.22</v>
      </c>
      <c r="R9" s="388"/>
    </row>
    <row r="10" spans="1:18" ht="13.5" thickBot="1" x14ac:dyDescent="0.25">
      <c r="N10" s="381">
        <v>43658</v>
      </c>
      <c r="O10" s="34" t="s">
        <v>124</v>
      </c>
      <c r="P10" s="35"/>
      <c r="Q10" s="51">
        <v>98.63</v>
      </c>
      <c r="R10" s="383">
        <f>SUM(Q10:Q11)</f>
        <v>135.31</v>
      </c>
    </row>
    <row r="11" spans="1:18" ht="13.5" thickBot="1" x14ac:dyDescent="0.25">
      <c r="N11" s="389"/>
      <c r="O11" s="34" t="s">
        <v>125</v>
      </c>
      <c r="P11" s="35"/>
      <c r="Q11" s="51">
        <v>36.68</v>
      </c>
      <c r="R11" s="384"/>
    </row>
    <row r="12" spans="1:18" ht="13.5" thickBot="1" x14ac:dyDescent="0.25">
      <c r="N12" s="385">
        <v>43689</v>
      </c>
      <c r="O12" s="285" t="s">
        <v>124</v>
      </c>
      <c r="P12" s="286"/>
      <c r="Q12" s="287">
        <v>101.92</v>
      </c>
      <c r="R12" s="387">
        <f>SUM(Q12:Q13)</f>
        <v>139.82</v>
      </c>
    </row>
    <row r="13" spans="1:18" ht="13.5" thickBot="1" x14ac:dyDescent="0.25">
      <c r="N13" s="386"/>
      <c r="O13" s="285" t="s">
        <v>125</v>
      </c>
      <c r="P13" s="286"/>
      <c r="Q13" s="287">
        <v>37.9</v>
      </c>
      <c r="R13" s="388"/>
    </row>
    <row r="14" spans="1:18" ht="13.5" thickBot="1" x14ac:dyDescent="0.25">
      <c r="N14" s="381">
        <v>43720</v>
      </c>
      <c r="O14" s="34" t="s">
        <v>348</v>
      </c>
      <c r="P14" s="35"/>
      <c r="Q14" s="51">
        <v>77.709999999999994</v>
      </c>
      <c r="R14" s="383">
        <f>SUM(Q14:Q15)</f>
        <v>106.60999999999999</v>
      </c>
    </row>
    <row r="15" spans="1:18" ht="13.5" thickBot="1" x14ac:dyDescent="0.25">
      <c r="N15" s="382"/>
      <c r="O15" s="34" t="s">
        <v>349</v>
      </c>
      <c r="P15" s="35"/>
      <c r="Q15" s="51">
        <v>28.9</v>
      </c>
      <c r="R15" s="384"/>
    </row>
    <row r="16" spans="1:18" ht="13.5" thickBot="1" x14ac:dyDescent="0.25">
      <c r="N16" s="385">
        <v>43750</v>
      </c>
      <c r="O16" s="285" t="s">
        <v>350</v>
      </c>
      <c r="P16" s="286"/>
      <c r="Q16" s="287"/>
      <c r="R16" s="387">
        <f>SUM(Q16:Q17)</f>
        <v>0</v>
      </c>
    </row>
    <row r="17" spans="14:18" ht="13.5" thickBot="1" x14ac:dyDescent="0.25">
      <c r="N17" s="386"/>
      <c r="O17" s="285" t="s">
        <v>351</v>
      </c>
      <c r="P17" s="286"/>
      <c r="Q17" s="287"/>
      <c r="R17" s="388"/>
    </row>
    <row r="18" spans="14:18" ht="13.5" thickBot="1" x14ac:dyDescent="0.25">
      <c r="N18" s="381">
        <v>43781</v>
      </c>
      <c r="O18" s="34" t="s">
        <v>352</v>
      </c>
      <c r="P18" s="35"/>
      <c r="Q18" s="51"/>
      <c r="R18" s="383">
        <f>SUM(Q18:Q19)</f>
        <v>0</v>
      </c>
    </row>
    <row r="19" spans="14:18" ht="13.5" thickBot="1" x14ac:dyDescent="0.25">
      <c r="N19" s="382"/>
      <c r="O19" s="34" t="s">
        <v>353</v>
      </c>
      <c r="P19" s="35"/>
      <c r="Q19" s="51"/>
      <c r="R19" s="384"/>
    </row>
  </sheetData>
  <mergeCells count="21">
    <mergeCell ref="A2:A3"/>
    <mergeCell ref="B2:B3"/>
    <mergeCell ref="K2:K3"/>
    <mergeCell ref="R8:R9"/>
    <mergeCell ref="R10:R11"/>
    <mergeCell ref="R12:R13"/>
    <mergeCell ref="N2:N3"/>
    <mergeCell ref="N4:N5"/>
    <mergeCell ref="N6:N7"/>
    <mergeCell ref="N8:N9"/>
    <mergeCell ref="N10:N11"/>
    <mergeCell ref="N12:N13"/>
    <mergeCell ref="R6:R7"/>
    <mergeCell ref="R2:R3"/>
    <mergeCell ref="R4:R5"/>
    <mergeCell ref="N14:N15"/>
    <mergeCell ref="R14:R15"/>
    <mergeCell ref="N16:N17"/>
    <mergeCell ref="R16:R17"/>
    <mergeCell ref="N18:N19"/>
    <mergeCell ref="R18:R1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6"/>
  <sheetViews>
    <sheetView topLeftCell="A7" workbookViewId="0">
      <selection activeCell="I13" sqref="I13"/>
    </sheetView>
  </sheetViews>
  <sheetFormatPr defaultRowHeight="12.75" x14ac:dyDescent="0.2"/>
  <cols>
    <col min="1" max="1" width="19" bestFit="1" customWidth="1"/>
    <col min="2" max="2" width="11.28515625" bestFit="1" customWidth="1"/>
    <col min="3" max="3" width="12.140625" bestFit="1" customWidth="1"/>
    <col min="5" max="5" width="11.28515625" bestFit="1" customWidth="1"/>
    <col min="6" max="6" width="23.28515625" bestFit="1" customWidth="1"/>
    <col min="7" max="8" width="11.28515625" bestFit="1" customWidth="1"/>
    <col min="9" max="9" width="18.5703125" bestFit="1" customWidth="1"/>
    <col min="10" max="10" width="10.140625" bestFit="1" customWidth="1"/>
    <col min="12" max="12" width="11.85546875" bestFit="1" customWidth="1"/>
    <col min="13" max="13" width="17.140625" bestFit="1" customWidth="1"/>
    <col min="18" max="18" width="38.7109375" customWidth="1"/>
  </cols>
  <sheetData>
    <row r="1" spans="1:21" ht="26.25" thickBot="1" x14ac:dyDescent="0.3">
      <c r="C1" s="1">
        <f>SUM(C3:C15)</f>
        <v>9469.3999999999978</v>
      </c>
      <c r="G1" s="6">
        <f>G6+G3</f>
        <v>36525.862179418735</v>
      </c>
      <c r="I1" s="3" t="s">
        <v>77</v>
      </c>
      <c r="J1" s="4">
        <f>G1-C1</f>
        <v>27056.462179418737</v>
      </c>
      <c r="L1" t="s">
        <v>78</v>
      </c>
      <c r="M1" s="23">
        <f>SUM(M2:M4)</f>
        <v>141369.98000000001</v>
      </c>
      <c r="N1">
        <v>0</v>
      </c>
      <c r="O1" s="2">
        <f>M1+N1</f>
        <v>141369.98000000001</v>
      </c>
      <c r="Q1" s="28" t="s">
        <v>58</v>
      </c>
      <c r="R1" s="28" t="s">
        <v>26</v>
      </c>
      <c r="S1" s="28" t="s">
        <v>59</v>
      </c>
      <c r="T1" s="28" t="s">
        <v>60</v>
      </c>
      <c r="U1" s="28" t="s">
        <v>8</v>
      </c>
    </row>
    <row r="2" spans="1:21" ht="18.75" thickBot="1" x14ac:dyDescent="0.3">
      <c r="A2" s="21" t="s">
        <v>52</v>
      </c>
      <c r="B2" s="21" t="s">
        <v>53</v>
      </c>
      <c r="C2" s="22" t="s">
        <v>54</v>
      </c>
      <c r="E2" s="21" t="s">
        <v>56</v>
      </c>
      <c r="F2" s="21" t="s">
        <v>13</v>
      </c>
      <c r="G2" s="22" t="s">
        <v>55</v>
      </c>
      <c r="I2" s="3"/>
      <c r="J2" s="4"/>
      <c r="L2" t="s">
        <v>79</v>
      </c>
      <c r="M2" s="64">
        <v>102751.09</v>
      </c>
      <c r="O2" s="2"/>
      <c r="Q2" s="29">
        <v>43466</v>
      </c>
      <c r="R2" s="25" t="s">
        <v>61</v>
      </c>
      <c r="S2" s="26"/>
      <c r="T2" s="26"/>
      <c r="U2" s="26">
        <v>34</v>
      </c>
    </row>
    <row r="3" spans="1:21" ht="39" thickBot="1" x14ac:dyDescent="0.3">
      <c r="A3" t="s">
        <v>0</v>
      </c>
      <c r="B3" s="20">
        <v>43523</v>
      </c>
      <c r="C3" s="1">
        <v>25</v>
      </c>
      <c r="E3" s="20">
        <v>43520</v>
      </c>
      <c r="F3" t="s">
        <v>128</v>
      </c>
      <c r="G3" s="5">
        <v>9869.6299999999992</v>
      </c>
      <c r="L3" t="s">
        <v>80</v>
      </c>
      <c r="M3" s="23">
        <f>G5+G10</f>
        <v>11962.65782058128</v>
      </c>
      <c r="Q3" s="24">
        <v>43497</v>
      </c>
      <c r="R3" s="25" t="s">
        <v>62</v>
      </c>
      <c r="S3" s="26"/>
      <c r="T3" s="27">
        <v>1250</v>
      </c>
      <c r="U3" s="27">
        <v>1284</v>
      </c>
    </row>
    <row r="4" spans="1:21" ht="18.75" thickBot="1" x14ac:dyDescent="0.3">
      <c r="A4" t="s">
        <v>1</v>
      </c>
      <c r="B4" s="20">
        <v>43523</v>
      </c>
      <c r="C4" s="1">
        <v>2085.87</v>
      </c>
      <c r="E4" s="20">
        <v>43507</v>
      </c>
      <c r="F4" t="s">
        <v>74</v>
      </c>
      <c r="G4" s="5">
        <v>102751.09</v>
      </c>
      <c r="L4" t="s">
        <v>123</v>
      </c>
      <c r="M4" s="23">
        <f>G6</f>
        <v>26656.232179418734</v>
      </c>
      <c r="Q4" s="24">
        <v>43739</v>
      </c>
      <c r="R4" s="25" t="s">
        <v>57</v>
      </c>
      <c r="S4" s="26"/>
      <c r="T4" s="26">
        <v>164.65</v>
      </c>
      <c r="U4" s="27">
        <v>1448.65</v>
      </c>
    </row>
    <row r="5" spans="1:21" ht="13.5" thickBot="1" x14ac:dyDescent="0.25">
      <c r="A5" t="s">
        <v>2</v>
      </c>
      <c r="B5" s="20">
        <v>43523</v>
      </c>
      <c r="C5" s="1">
        <v>802.93</v>
      </c>
      <c r="E5" s="20">
        <v>43507</v>
      </c>
      <c r="F5" t="s">
        <v>75</v>
      </c>
      <c r="G5" s="5">
        <v>11962.65782058128</v>
      </c>
      <c r="Q5" s="24">
        <v>43739</v>
      </c>
      <c r="R5" s="25" t="s">
        <v>57</v>
      </c>
      <c r="S5" s="26"/>
      <c r="T5" s="26">
        <v>174.11</v>
      </c>
      <c r="U5" s="27">
        <v>1622.76</v>
      </c>
    </row>
    <row r="6" spans="1:21" ht="13.5" thickBot="1" x14ac:dyDescent="0.25">
      <c r="A6" t="s">
        <v>4</v>
      </c>
      <c r="B6" s="20">
        <v>43527</v>
      </c>
      <c r="C6" s="1">
        <v>5957.9</v>
      </c>
      <c r="E6" s="20">
        <v>43507</v>
      </c>
      <c r="F6" t="s">
        <v>76</v>
      </c>
      <c r="G6" s="5">
        <f>141369.98-G4-G5</f>
        <v>26656.232179418734</v>
      </c>
      <c r="Q6" s="24">
        <v>43739</v>
      </c>
      <c r="R6" s="25" t="s">
        <v>57</v>
      </c>
      <c r="S6" s="26"/>
      <c r="T6" s="26">
        <v>174.11</v>
      </c>
      <c r="U6" s="27">
        <v>1796.87</v>
      </c>
    </row>
    <row r="7" spans="1:21" ht="26.25" thickBot="1" x14ac:dyDescent="0.25">
      <c r="A7" t="s">
        <v>3</v>
      </c>
      <c r="B7" s="20"/>
      <c r="C7" s="1">
        <v>108.65</v>
      </c>
      <c r="D7" t="s">
        <v>126</v>
      </c>
      <c r="E7" s="20">
        <v>43496</v>
      </c>
      <c r="F7" t="s">
        <v>141</v>
      </c>
      <c r="G7" s="5">
        <f>I16</f>
        <v>454.38</v>
      </c>
      <c r="Q7" s="24">
        <v>43739</v>
      </c>
      <c r="R7" s="25" t="s">
        <v>63</v>
      </c>
      <c r="S7" s="27">
        <v>1751</v>
      </c>
      <c r="T7" s="26"/>
      <c r="U7" s="26">
        <v>45.87</v>
      </c>
    </row>
    <row r="8" spans="1:21" ht="13.5" thickBot="1" x14ac:dyDescent="0.25">
      <c r="A8" t="s">
        <v>5</v>
      </c>
      <c r="B8" s="20"/>
      <c r="C8" s="1">
        <v>120</v>
      </c>
      <c r="E8" s="20">
        <v>43520</v>
      </c>
      <c r="F8" t="s">
        <v>127</v>
      </c>
      <c r="G8" s="5">
        <v>203.48</v>
      </c>
      <c r="Q8" s="29">
        <v>43739</v>
      </c>
      <c r="R8" s="25" t="s">
        <v>64</v>
      </c>
      <c r="S8" s="30"/>
      <c r="T8" s="26"/>
      <c r="U8" s="26">
        <v>45.87</v>
      </c>
    </row>
    <row r="9" spans="1:21" x14ac:dyDescent="0.2">
      <c r="A9" t="s">
        <v>7</v>
      </c>
      <c r="B9" s="20">
        <v>43520</v>
      </c>
      <c r="C9" s="1">
        <v>0</v>
      </c>
    </row>
    <row r="10" spans="1:21" x14ac:dyDescent="0.2">
      <c r="A10" t="s">
        <v>129</v>
      </c>
      <c r="B10" s="20">
        <v>43524</v>
      </c>
      <c r="C10" s="1">
        <v>369.05</v>
      </c>
      <c r="E10" s="20"/>
      <c r="G10" s="5"/>
    </row>
    <row r="11" spans="1:21" x14ac:dyDescent="0.2">
      <c r="E11" s="20"/>
      <c r="G11" s="12"/>
    </row>
    <row r="12" spans="1:21" ht="13.5" thickBot="1" x14ac:dyDescent="0.25">
      <c r="E12" s="63" t="s">
        <v>67</v>
      </c>
      <c r="I12">
        <f>SUM(I13:I99)</f>
        <v>967.25</v>
      </c>
    </row>
    <row r="13" spans="1:21" ht="26.25" thickBot="1" x14ac:dyDescent="0.25">
      <c r="E13" s="24">
        <v>43740</v>
      </c>
      <c r="F13" s="25" t="s">
        <v>68</v>
      </c>
      <c r="G13" s="24" t="s">
        <v>72</v>
      </c>
      <c r="H13" s="26" t="s">
        <v>65</v>
      </c>
      <c r="I13" s="26">
        <v>164.65</v>
      </c>
    </row>
    <row r="14" spans="1:21" ht="26.25" thickBot="1" x14ac:dyDescent="0.25">
      <c r="E14" s="24">
        <v>43740</v>
      </c>
      <c r="F14" s="25" t="s">
        <v>69</v>
      </c>
      <c r="G14" s="24" t="s">
        <v>72</v>
      </c>
      <c r="H14" s="26" t="s">
        <v>66</v>
      </c>
      <c r="I14" s="26">
        <v>174.11</v>
      </c>
    </row>
    <row r="15" spans="1:21" ht="26.25" thickBot="1" x14ac:dyDescent="0.25">
      <c r="E15" s="24">
        <v>43739</v>
      </c>
      <c r="F15" s="25" t="s">
        <v>70</v>
      </c>
      <c r="G15" s="24" t="s">
        <v>72</v>
      </c>
      <c r="H15" s="26" t="s">
        <v>66</v>
      </c>
      <c r="I15" s="26">
        <v>174.11</v>
      </c>
    </row>
    <row r="16" spans="1:21" ht="26.25" thickBot="1" x14ac:dyDescent="0.25">
      <c r="E16" s="24" t="s">
        <v>106</v>
      </c>
      <c r="F16" s="25" t="s">
        <v>57</v>
      </c>
      <c r="G16" s="24" t="s">
        <v>73</v>
      </c>
      <c r="H16" s="31">
        <v>106517.57</v>
      </c>
      <c r="I16" s="26">
        <v>454.38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1"/>
  <sheetViews>
    <sheetView topLeftCell="A13" workbookViewId="0">
      <selection activeCell="D13" sqref="D13"/>
    </sheetView>
  </sheetViews>
  <sheetFormatPr defaultRowHeight="12.75" x14ac:dyDescent="0.2"/>
  <cols>
    <col min="1" max="1" width="44.85546875" bestFit="1" customWidth="1"/>
    <col min="2" max="2" width="26.7109375" bestFit="1" customWidth="1"/>
    <col min="3" max="3" width="11.42578125" bestFit="1" customWidth="1"/>
    <col min="4" max="4" width="8.5703125" bestFit="1" customWidth="1"/>
    <col min="5" max="5" width="17.85546875" bestFit="1" customWidth="1"/>
  </cols>
  <sheetData>
    <row r="1" spans="1:5" x14ac:dyDescent="0.2">
      <c r="A1" s="8" t="s">
        <v>15</v>
      </c>
      <c r="B1" s="7"/>
      <c r="C1" s="7"/>
      <c r="D1" s="7"/>
      <c r="E1" s="7"/>
    </row>
    <row r="2" spans="1:5" x14ac:dyDescent="0.2">
      <c r="A2" s="8" t="s">
        <v>16</v>
      </c>
      <c r="B2" s="7"/>
      <c r="C2" s="7"/>
      <c r="D2" s="7"/>
      <c r="E2" s="7"/>
    </row>
    <row r="3" spans="1:5" x14ac:dyDescent="0.2">
      <c r="A3" s="8" t="s">
        <v>17</v>
      </c>
      <c r="B3" s="7"/>
      <c r="C3" s="7"/>
      <c r="D3" s="7"/>
      <c r="E3" s="7"/>
    </row>
    <row r="4" spans="1:5" x14ac:dyDescent="0.2">
      <c r="A4" s="8" t="s">
        <v>16</v>
      </c>
      <c r="B4" s="7"/>
      <c r="C4" s="7"/>
      <c r="D4" s="7"/>
      <c r="E4" s="7"/>
    </row>
    <row r="5" spans="1:5" x14ac:dyDescent="0.2">
      <c r="A5" s="8" t="s">
        <v>18</v>
      </c>
      <c r="B5" s="8" t="s">
        <v>19</v>
      </c>
      <c r="C5" s="8" t="s">
        <v>20</v>
      </c>
      <c r="D5" s="7"/>
      <c r="E5" s="7"/>
    </row>
    <row r="6" spans="1:5" x14ac:dyDescent="0.2">
      <c r="A6" s="8" t="s">
        <v>21</v>
      </c>
      <c r="B6" s="8" t="s">
        <v>22</v>
      </c>
      <c r="C6" s="7"/>
      <c r="D6" s="7"/>
      <c r="E6" s="7"/>
    </row>
    <row r="7" spans="1:5" x14ac:dyDescent="0.2">
      <c r="A7" s="8" t="s">
        <v>23</v>
      </c>
      <c r="B7" s="8" t="s">
        <v>24</v>
      </c>
      <c r="C7" s="7"/>
      <c r="D7" s="7"/>
      <c r="E7" s="7"/>
    </row>
    <row r="8" spans="1:5" x14ac:dyDescent="0.2">
      <c r="A8" s="8" t="s">
        <v>25</v>
      </c>
      <c r="B8" s="8" t="s">
        <v>26</v>
      </c>
      <c r="C8" s="8" t="s">
        <v>27</v>
      </c>
      <c r="D8" s="8" t="s">
        <v>28</v>
      </c>
      <c r="E8" s="8" t="s">
        <v>29</v>
      </c>
    </row>
    <row r="9" spans="1:5" x14ac:dyDescent="0.2">
      <c r="A9" s="16" t="s">
        <v>30</v>
      </c>
      <c r="B9" s="16" t="s">
        <v>50</v>
      </c>
      <c r="C9" s="17">
        <v>120</v>
      </c>
      <c r="D9" s="17">
        <v>0</v>
      </c>
      <c r="E9" s="17">
        <v>177954.63</v>
      </c>
    </row>
    <row r="10" spans="1:5" x14ac:dyDescent="0.2">
      <c r="A10" s="17" t="s">
        <v>30</v>
      </c>
      <c r="B10" s="17" t="s">
        <v>46</v>
      </c>
      <c r="C10" s="17">
        <v>0</v>
      </c>
      <c r="D10" s="17">
        <v>495.02</v>
      </c>
      <c r="E10" s="17">
        <v>178074.63</v>
      </c>
    </row>
    <row r="11" spans="1:5" ht="63.75" x14ac:dyDescent="0.2">
      <c r="A11" s="9" t="s">
        <v>30</v>
      </c>
      <c r="B11" s="9" t="s">
        <v>31</v>
      </c>
      <c r="C11" s="10">
        <v>0</v>
      </c>
      <c r="D11" s="10">
        <v>3000</v>
      </c>
      <c r="E11" s="10">
        <v>177579.61</v>
      </c>
    </row>
    <row r="12" spans="1:5" ht="51" x14ac:dyDescent="0.2">
      <c r="A12" s="10" t="s">
        <v>32</v>
      </c>
      <c r="B12" s="10" t="s">
        <v>33</v>
      </c>
      <c r="C12" s="10">
        <v>0</v>
      </c>
      <c r="D12" s="10">
        <v>2579</v>
      </c>
      <c r="E12" s="10">
        <v>174579.61</v>
      </c>
    </row>
    <row r="13" spans="1:5" ht="63.75" x14ac:dyDescent="0.2">
      <c r="A13" s="10" t="s">
        <v>34</v>
      </c>
      <c r="B13" s="10" t="s">
        <v>35</v>
      </c>
      <c r="C13" s="10">
        <v>0</v>
      </c>
      <c r="D13" s="10">
        <v>16517.57</v>
      </c>
      <c r="E13" s="10">
        <v>172000.61</v>
      </c>
    </row>
    <row r="14" spans="1:5" ht="63.75" x14ac:dyDescent="0.2">
      <c r="A14" s="10" t="s">
        <v>36</v>
      </c>
      <c r="B14" s="10" t="s">
        <v>37</v>
      </c>
      <c r="C14" s="10">
        <v>0</v>
      </c>
      <c r="D14" s="10">
        <v>30000</v>
      </c>
      <c r="E14" s="10">
        <v>155483.04</v>
      </c>
    </row>
    <row r="15" spans="1:5" ht="63.75" x14ac:dyDescent="0.2">
      <c r="A15" s="10" t="s">
        <v>38</v>
      </c>
      <c r="B15" s="10" t="s">
        <v>39</v>
      </c>
      <c r="C15" s="10">
        <v>0</v>
      </c>
      <c r="D15" s="10">
        <v>30000</v>
      </c>
      <c r="E15" s="10">
        <v>125483.04</v>
      </c>
    </row>
    <row r="16" spans="1:5" ht="63.75" x14ac:dyDescent="0.2">
      <c r="A16" s="10" t="s">
        <v>40</v>
      </c>
      <c r="B16" s="10" t="s">
        <v>41</v>
      </c>
      <c r="C16" s="10">
        <v>0</v>
      </c>
      <c r="D16" s="10">
        <v>30000</v>
      </c>
      <c r="E16" s="10">
        <v>95483.04</v>
      </c>
    </row>
    <row r="17" spans="1:6" ht="63.75" x14ac:dyDescent="0.2">
      <c r="A17" s="10" t="s">
        <v>40</v>
      </c>
      <c r="B17" s="10" t="s">
        <v>42</v>
      </c>
      <c r="C17" s="10">
        <v>0</v>
      </c>
      <c r="D17" s="10">
        <v>30000</v>
      </c>
      <c r="E17" s="10">
        <v>65483.040000000001</v>
      </c>
    </row>
    <row r="18" spans="1:6" ht="38.25" x14ac:dyDescent="0.2">
      <c r="A18" s="10" t="s">
        <v>43</v>
      </c>
      <c r="B18" s="10" t="s">
        <v>44</v>
      </c>
      <c r="C18" s="10">
        <v>2647</v>
      </c>
      <c r="D18" s="10">
        <v>0</v>
      </c>
      <c r="E18" s="11">
        <v>35483.040000000001</v>
      </c>
    </row>
    <row r="19" spans="1:6" x14ac:dyDescent="0.2">
      <c r="A19" s="13" t="s">
        <v>45</v>
      </c>
      <c r="B19" s="13" t="s">
        <v>46</v>
      </c>
      <c r="C19" s="14">
        <v>0</v>
      </c>
      <c r="D19" s="14">
        <v>139.88</v>
      </c>
      <c r="E19" s="14">
        <v>38130.04</v>
      </c>
      <c r="F19" s="12"/>
    </row>
    <row r="20" spans="1:6" ht="51" x14ac:dyDescent="0.2">
      <c r="A20" s="14" t="s">
        <v>47</v>
      </c>
      <c r="B20" s="14" t="s">
        <v>48</v>
      </c>
      <c r="C20" s="14">
        <v>0</v>
      </c>
      <c r="D20" s="14">
        <v>2579</v>
      </c>
      <c r="E20" s="14">
        <v>37990.160000000003</v>
      </c>
    </row>
    <row r="21" spans="1:6" ht="38.25" x14ac:dyDescent="0.2">
      <c r="A21" s="14" t="s">
        <v>49</v>
      </c>
      <c r="B21" s="14" t="s">
        <v>44</v>
      </c>
      <c r="C21" s="14">
        <v>2647</v>
      </c>
      <c r="D21" s="14">
        <v>0</v>
      </c>
      <c r="E21" s="15">
        <v>35411.160000000003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3"/>
  <sheetViews>
    <sheetView topLeftCell="A4" workbookViewId="0">
      <selection activeCell="C12" sqref="C12"/>
    </sheetView>
  </sheetViews>
  <sheetFormatPr defaultRowHeight="12.75" x14ac:dyDescent="0.2"/>
  <cols>
    <col min="1" max="1" width="29.42578125" bestFit="1" customWidth="1"/>
    <col min="2" max="2" width="11.28515625" bestFit="1" customWidth="1"/>
    <col min="3" max="3" width="12.140625" bestFit="1" customWidth="1"/>
    <col min="5" max="5" width="11.28515625" bestFit="1" customWidth="1"/>
    <col min="6" max="6" width="23.28515625" bestFit="1" customWidth="1"/>
    <col min="7" max="8" width="11.28515625" bestFit="1" customWidth="1"/>
    <col min="9" max="9" width="18.5703125" bestFit="1" customWidth="1"/>
    <col min="10" max="10" width="10.140625" bestFit="1" customWidth="1"/>
    <col min="12" max="12" width="11.85546875" bestFit="1" customWidth="1"/>
    <col min="13" max="13" width="17.140625" bestFit="1" customWidth="1"/>
    <col min="18" max="18" width="38.7109375" customWidth="1"/>
  </cols>
  <sheetData>
    <row r="1" spans="1:21" ht="26.25" thickBot="1" x14ac:dyDescent="0.3">
      <c r="C1" s="1">
        <f>SUM(C3:C15)</f>
        <v>12869.119999999999</v>
      </c>
      <c r="G1" s="6">
        <f>G6+G3</f>
        <v>20744.7</v>
      </c>
      <c r="I1" s="3" t="s">
        <v>77</v>
      </c>
      <c r="J1" s="4">
        <f>G1-C1</f>
        <v>7875.5800000000017</v>
      </c>
      <c r="L1" t="s">
        <v>78</v>
      </c>
      <c r="M1" s="23">
        <f>SUM(M2:M4)</f>
        <v>135866</v>
      </c>
      <c r="N1">
        <v>0</v>
      </c>
      <c r="O1" s="2">
        <f>M1+N1</f>
        <v>135866</v>
      </c>
      <c r="Q1" s="28" t="s">
        <v>58</v>
      </c>
      <c r="R1" s="28" t="s">
        <v>26</v>
      </c>
      <c r="S1" s="28" t="s">
        <v>59</v>
      </c>
      <c r="T1" s="28" t="s">
        <v>60</v>
      </c>
      <c r="U1" s="28" t="s">
        <v>8</v>
      </c>
    </row>
    <row r="2" spans="1:21" ht="18.75" thickBot="1" x14ac:dyDescent="0.3">
      <c r="A2" s="21" t="s">
        <v>52</v>
      </c>
      <c r="B2" s="21" t="s">
        <v>53</v>
      </c>
      <c r="C2" s="22" t="s">
        <v>54</v>
      </c>
      <c r="E2" s="21" t="s">
        <v>56</v>
      </c>
      <c r="F2" s="21" t="s">
        <v>13</v>
      </c>
      <c r="G2" s="22" t="s">
        <v>55</v>
      </c>
      <c r="I2" s="3"/>
      <c r="J2" s="4"/>
      <c r="L2" t="s">
        <v>79</v>
      </c>
      <c r="M2" s="23">
        <f>G4</f>
        <v>103116.14</v>
      </c>
      <c r="O2" s="2"/>
      <c r="Q2" s="29">
        <v>43466</v>
      </c>
      <c r="R2" s="25" t="s">
        <v>61</v>
      </c>
      <c r="S2" s="26"/>
      <c r="T2" s="26"/>
      <c r="U2" s="26">
        <v>34</v>
      </c>
    </row>
    <row r="3" spans="1:21" ht="39" thickBot="1" x14ac:dyDescent="0.3">
      <c r="A3" t="s">
        <v>0</v>
      </c>
      <c r="B3" s="20">
        <v>43551</v>
      </c>
      <c r="C3" s="1">
        <v>0</v>
      </c>
      <c r="E3" s="20">
        <v>43548</v>
      </c>
      <c r="F3" t="s">
        <v>128</v>
      </c>
      <c r="G3" s="5"/>
      <c r="L3" t="s">
        <v>80</v>
      </c>
      <c r="M3" s="23">
        <f>G5</f>
        <v>12005.16</v>
      </c>
      <c r="Q3" s="24">
        <v>43497</v>
      </c>
      <c r="R3" s="25" t="s">
        <v>62</v>
      </c>
      <c r="S3" s="26"/>
      <c r="T3" s="27">
        <v>1250</v>
      </c>
      <c r="U3" s="27">
        <v>1284</v>
      </c>
    </row>
    <row r="4" spans="1:21" ht="18.75" thickBot="1" x14ac:dyDescent="0.3">
      <c r="A4" t="s">
        <v>1</v>
      </c>
      <c r="B4" s="20">
        <v>43551</v>
      </c>
      <c r="C4" s="66">
        <v>1050.48</v>
      </c>
      <c r="E4" s="20">
        <v>43528</v>
      </c>
      <c r="F4" t="s">
        <v>74</v>
      </c>
      <c r="G4" s="5">
        <v>103116.14</v>
      </c>
      <c r="L4" t="s">
        <v>123</v>
      </c>
      <c r="M4" s="23">
        <f>G6</f>
        <v>20744.7</v>
      </c>
      <c r="Q4" s="24">
        <v>43739</v>
      </c>
      <c r="R4" s="25" t="s">
        <v>57</v>
      </c>
      <c r="S4" s="26"/>
      <c r="T4" s="26">
        <v>164.65</v>
      </c>
      <c r="U4" s="27">
        <v>1448.65</v>
      </c>
    </row>
    <row r="5" spans="1:21" ht="13.5" thickBot="1" x14ac:dyDescent="0.25">
      <c r="A5" t="s">
        <v>2</v>
      </c>
      <c r="B5" s="20">
        <v>43551</v>
      </c>
      <c r="C5" s="1">
        <v>661.1</v>
      </c>
      <c r="E5" s="20">
        <v>43507</v>
      </c>
      <c r="F5" t="s">
        <v>75</v>
      </c>
      <c r="G5" s="5">
        <v>12005.16</v>
      </c>
      <c r="Q5" s="24">
        <v>43739</v>
      </c>
      <c r="R5" s="25" t="s">
        <v>57</v>
      </c>
      <c r="S5" s="26"/>
      <c r="T5" s="26">
        <v>174.11</v>
      </c>
      <c r="U5" s="27">
        <v>1622.76</v>
      </c>
    </row>
    <row r="6" spans="1:21" ht="13.5" thickBot="1" x14ac:dyDescent="0.25">
      <c r="A6" t="s">
        <v>4</v>
      </c>
      <c r="B6" s="20">
        <v>43555</v>
      </c>
      <c r="C6" s="1">
        <v>2775.88</v>
      </c>
      <c r="E6" s="20">
        <v>43507</v>
      </c>
      <c r="F6" t="s">
        <v>76</v>
      </c>
      <c r="G6" s="5">
        <f>135866-G4-G5</f>
        <v>20744.7</v>
      </c>
      <c r="Q6" s="24">
        <v>43739</v>
      </c>
      <c r="R6" s="25" t="s">
        <v>57</v>
      </c>
      <c r="S6" s="26"/>
      <c r="T6" s="26">
        <v>174.11</v>
      </c>
      <c r="U6" s="27">
        <v>1796.87</v>
      </c>
    </row>
    <row r="7" spans="1:21" ht="26.25" thickBot="1" x14ac:dyDescent="0.25">
      <c r="A7" s="60" t="s">
        <v>3</v>
      </c>
      <c r="B7" s="61"/>
      <c r="C7" s="62">
        <v>93</v>
      </c>
      <c r="D7" s="60"/>
      <c r="E7" s="20">
        <v>43524</v>
      </c>
      <c r="F7" t="s">
        <v>141</v>
      </c>
      <c r="G7" s="5">
        <v>365.05269315371231</v>
      </c>
      <c r="Q7" s="24">
        <v>43739</v>
      </c>
      <c r="R7" s="25" t="s">
        <v>63</v>
      </c>
      <c r="S7" s="27">
        <v>1751</v>
      </c>
      <c r="T7" s="26"/>
      <c r="U7" s="26">
        <v>45.87</v>
      </c>
    </row>
    <row r="8" spans="1:21" ht="13.5" thickBot="1" x14ac:dyDescent="0.25">
      <c r="A8" t="s">
        <v>5</v>
      </c>
      <c r="B8" s="20"/>
      <c r="C8" s="1">
        <v>120</v>
      </c>
      <c r="E8" s="20">
        <v>43520</v>
      </c>
      <c r="F8" t="s">
        <v>127</v>
      </c>
      <c r="G8" s="5"/>
      <c r="Q8" s="29">
        <v>43739</v>
      </c>
      <c r="R8" s="25" t="s">
        <v>64</v>
      </c>
      <c r="S8" s="30"/>
      <c r="T8" s="26"/>
      <c r="U8" s="26">
        <v>45.87</v>
      </c>
    </row>
    <row r="9" spans="1:21" x14ac:dyDescent="0.2">
      <c r="A9" t="s">
        <v>7</v>
      </c>
      <c r="B9" s="20">
        <v>43548</v>
      </c>
      <c r="C9" s="1">
        <v>0</v>
      </c>
    </row>
    <row r="10" spans="1:21" x14ac:dyDescent="0.2">
      <c r="A10" t="s">
        <v>129</v>
      </c>
      <c r="B10" s="20">
        <v>43552</v>
      </c>
      <c r="C10" s="1">
        <v>369.05</v>
      </c>
    </row>
    <row r="11" spans="1:21" x14ac:dyDescent="0.2">
      <c r="A11" t="s">
        <v>153</v>
      </c>
      <c r="B11" s="20">
        <v>43528</v>
      </c>
      <c r="C11" s="1">
        <v>5947.4</v>
      </c>
    </row>
    <row r="12" spans="1:21" x14ac:dyDescent="0.2">
      <c r="A12" t="s">
        <v>142</v>
      </c>
      <c r="B12" s="20">
        <v>43528</v>
      </c>
      <c r="C12" s="1">
        <v>1852.21</v>
      </c>
      <c r="E12" t="s">
        <v>67</v>
      </c>
      <c r="I12" s="6">
        <f>SUM(I13:I22)</f>
        <v>1336.0400000000002</v>
      </c>
    </row>
    <row r="13" spans="1:21" x14ac:dyDescent="0.2">
      <c r="E13" s="80">
        <v>43534</v>
      </c>
      <c r="F13" s="75" t="s">
        <v>68</v>
      </c>
      <c r="G13" s="77" t="s">
        <v>72</v>
      </c>
      <c r="H13" s="76">
        <v>35000</v>
      </c>
      <c r="I13" s="76">
        <v>148.72</v>
      </c>
    </row>
    <row r="14" spans="1:21" x14ac:dyDescent="0.2">
      <c r="E14" s="80">
        <v>43534</v>
      </c>
      <c r="F14" s="75" t="s">
        <v>69</v>
      </c>
      <c r="G14" s="77" t="s">
        <v>72</v>
      </c>
      <c r="H14" s="76">
        <v>50000</v>
      </c>
      <c r="I14" s="76">
        <v>157.26</v>
      </c>
    </row>
    <row r="15" spans="1:21" x14ac:dyDescent="0.2">
      <c r="E15" s="80">
        <v>43534</v>
      </c>
      <c r="F15" s="75" t="s">
        <v>70</v>
      </c>
      <c r="G15" s="77" t="s">
        <v>72</v>
      </c>
      <c r="H15" s="76">
        <v>50000</v>
      </c>
      <c r="I15" s="76">
        <v>157.26</v>
      </c>
    </row>
    <row r="16" spans="1:21" x14ac:dyDescent="0.2">
      <c r="E16" s="80">
        <v>43536</v>
      </c>
      <c r="F16" s="82" t="s">
        <v>158</v>
      </c>
      <c r="G16" s="77" t="s">
        <v>72</v>
      </c>
      <c r="H16" s="83">
        <v>11156.9</v>
      </c>
      <c r="I16" s="84">
        <v>34.229999999999997</v>
      </c>
    </row>
    <row r="17" spans="5:9" x14ac:dyDescent="0.2">
      <c r="E17" s="80">
        <v>43536</v>
      </c>
      <c r="F17" s="82" t="s">
        <v>159</v>
      </c>
      <c r="G17" s="77" t="s">
        <v>72</v>
      </c>
      <c r="H17" s="83">
        <v>30000</v>
      </c>
      <c r="I17" s="84">
        <v>92.05</v>
      </c>
    </row>
    <row r="18" spans="5:9" x14ac:dyDescent="0.2">
      <c r="E18" s="80">
        <v>43545</v>
      </c>
      <c r="F18" s="81" t="s">
        <v>138</v>
      </c>
      <c r="G18" s="77" t="s">
        <v>72</v>
      </c>
      <c r="H18" s="76">
        <v>50000</v>
      </c>
      <c r="I18" s="76">
        <v>153.43</v>
      </c>
    </row>
    <row r="19" spans="5:9" x14ac:dyDescent="0.2">
      <c r="E19" s="80">
        <v>43545</v>
      </c>
      <c r="F19" s="81" t="s">
        <v>137</v>
      </c>
      <c r="G19" s="77" t="s">
        <v>72</v>
      </c>
      <c r="H19" s="76">
        <v>50000</v>
      </c>
      <c r="I19" s="76">
        <v>153.43</v>
      </c>
    </row>
    <row r="20" spans="5:9" x14ac:dyDescent="0.2">
      <c r="E20" s="80">
        <v>43545</v>
      </c>
      <c r="F20" s="81" t="s">
        <v>136</v>
      </c>
      <c r="G20" s="77" t="s">
        <v>72</v>
      </c>
      <c r="H20" s="76">
        <v>50000</v>
      </c>
      <c r="I20" s="76">
        <v>153.43</v>
      </c>
    </row>
    <row r="21" spans="5:9" x14ac:dyDescent="0.2">
      <c r="E21" s="80">
        <v>43545</v>
      </c>
      <c r="F21" s="81" t="s">
        <v>135</v>
      </c>
      <c r="G21" s="77" t="s">
        <v>72</v>
      </c>
      <c r="H21" s="76">
        <v>50000</v>
      </c>
      <c r="I21" s="76">
        <v>153.43</v>
      </c>
    </row>
    <row r="22" spans="5:9" x14ac:dyDescent="0.2">
      <c r="E22" s="80">
        <v>43545</v>
      </c>
      <c r="F22" s="81" t="s">
        <v>134</v>
      </c>
      <c r="G22" s="77" t="s">
        <v>72</v>
      </c>
      <c r="H22" s="76">
        <v>43278.7</v>
      </c>
      <c r="I22" s="76">
        <v>132.80000000000001</v>
      </c>
    </row>
    <row r="23" spans="5:9" ht="22.5" x14ac:dyDescent="0.2">
      <c r="E23" s="80">
        <v>43555</v>
      </c>
      <c r="F23" s="75" t="s">
        <v>57</v>
      </c>
      <c r="G23" s="77" t="s">
        <v>73</v>
      </c>
      <c r="H23" s="76">
        <v>141110.65</v>
      </c>
      <c r="I23" s="76">
        <v>558.25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3"/>
  <sheetViews>
    <sheetView topLeftCell="K1" workbookViewId="0">
      <selection activeCell="V18" sqref="V18"/>
    </sheetView>
  </sheetViews>
  <sheetFormatPr defaultRowHeight="12.75" x14ac:dyDescent="0.2"/>
  <cols>
    <col min="1" max="1" width="29.42578125" bestFit="1" customWidth="1"/>
    <col min="2" max="2" width="11.7109375" bestFit="1" customWidth="1"/>
    <col min="3" max="3" width="12.140625" bestFit="1" customWidth="1"/>
    <col min="5" max="5" width="11.28515625" bestFit="1" customWidth="1"/>
    <col min="6" max="6" width="23.28515625" bestFit="1" customWidth="1"/>
    <col min="7" max="8" width="11.28515625" bestFit="1" customWidth="1"/>
    <col min="9" max="9" width="18.5703125" bestFit="1" customWidth="1"/>
    <col min="10" max="10" width="10.140625" bestFit="1" customWidth="1"/>
    <col min="11" max="11" width="10.140625" customWidth="1"/>
    <col min="12" max="12" width="11.28515625" bestFit="1" customWidth="1"/>
    <col min="13" max="13" width="11.85546875" bestFit="1" customWidth="1"/>
    <col min="14" max="14" width="17.140625" bestFit="1" customWidth="1"/>
    <col min="15" max="16" width="11.28515625" bestFit="1" customWidth="1"/>
    <col min="19" max="19" width="38.7109375" customWidth="1"/>
    <col min="20" max="20" width="9.28515625" bestFit="1" customWidth="1"/>
    <col min="21" max="21" width="10.28515625" bestFit="1" customWidth="1"/>
    <col min="22" max="22" width="10.42578125" bestFit="1" customWidth="1"/>
    <col min="24" max="24" width="11.28515625" bestFit="1" customWidth="1"/>
  </cols>
  <sheetData>
    <row r="1" spans="1:22" ht="25.5" x14ac:dyDescent="0.25">
      <c r="C1" s="1">
        <f>SUM(C3:C11)</f>
        <v>8226.23</v>
      </c>
      <c r="G1" s="6">
        <f>G6+G3</f>
        <v>33543.10727808041</v>
      </c>
      <c r="I1" s="3" t="s">
        <v>77</v>
      </c>
      <c r="J1" s="4">
        <f>G1-C1</f>
        <v>25316.87727808041</v>
      </c>
      <c r="L1" s="320">
        <v>43556</v>
      </c>
      <c r="M1" s="67" t="s">
        <v>78</v>
      </c>
      <c r="N1" s="68">
        <f>SUM(N2:N4)</f>
        <v>141110.65</v>
      </c>
      <c r="P1" s="5"/>
      <c r="R1" s="69" t="s">
        <v>25</v>
      </c>
      <c r="S1" s="69" t="s">
        <v>26</v>
      </c>
      <c r="T1" s="69" t="s">
        <v>59</v>
      </c>
      <c r="U1" s="69" t="s">
        <v>60</v>
      </c>
      <c r="V1" s="69" t="s">
        <v>8</v>
      </c>
    </row>
    <row r="2" spans="1:22" ht="18" x14ac:dyDescent="0.25">
      <c r="A2" s="21" t="s">
        <v>52</v>
      </c>
      <c r="B2" s="21" t="s">
        <v>53</v>
      </c>
      <c r="C2" s="22" t="s">
        <v>54</v>
      </c>
      <c r="E2" s="21" t="s">
        <v>56</v>
      </c>
      <c r="F2" s="21" t="s">
        <v>13</v>
      </c>
      <c r="G2" s="22" t="s">
        <v>55</v>
      </c>
      <c r="I2" s="3"/>
      <c r="J2" s="4"/>
      <c r="L2" s="320"/>
      <c r="M2" s="67" t="s">
        <v>79</v>
      </c>
      <c r="N2" s="68">
        <f>G4</f>
        <v>105383.62034007929</v>
      </c>
      <c r="P2" s="2"/>
      <c r="R2" s="70">
        <v>43556</v>
      </c>
      <c r="S2" s="71" t="s">
        <v>61</v>
      </c>
      <c r="T2" s="72"/>
      <c r="U2" s="72"/>
      <c r="V2" s="72">
        <f>N4</f>
        <v>23674.377278080414</v>
      </c>
    </row>
    <row r="3" spans="1:22" ht="17.25" customHeight="1" x14ac:dyDescent="0.25">
      <c r="A3" t="s">
        <v>0</v>
      </c>
      <c r="B3" s="20">
        <v>43582</v>
      </c>
      <c r="C3" s="1">
        <v>0</v>
      </c>
      <c r="E3" s="20">
        <v>43579</v>
      </c>
      <c r="F3" t="s">
        <v>128</v>
      </c>
      <c r="G3" s="5">
        <v>9868.73</v>
      </c>
      <c r="H3" s="6">
        <f>G3-C1</f>
        <v>1642.5</v>
      </c>
      <c r="L3" s="320"/>
      <c r="M3" s="67" t="s">
        <v>80</v>
      </c>
      <c r="N3" s="68">
        <f>G5</f>
        <v>12052.652381840298</v>
      </c>
      <c r="R3" s="70">
        <v>43556</v>
      </c>
      <c r="S3" s="73" t="s">
        <v>147</v>
      </c>
      <c r="T3" s="78">
        <v>0</v>
      </c>
      <c r="U3" s="78">
        <v>15000</v>
      </c>
      <c r="V3" s="72">
        <f>V2+U3-T3</f>
        <v>38674.377278080414</v>
      </c>
    </row>
    <row r="4" spans="1:22" ht="17.25" customHeight="1" x14ac:dyDescent="0.25">
      <c r="A4" t="s">
        <v>1</v>
      </c>
      <c r="B4" s="20">
        <v>43582</v>
      </c>
      <c r="C4" s="1">
        <v>1666.43</v>
      </c>
      <c r="E4" s="20">
        <v>43556</v>
      </c>
      <c r="F4" t="s">
        <v>74</v>
      </c>
      <c r="G4" s="52">
        <v>105383.62034007929</v>
      </c>
      <c r="L4" s="320"/>
      <c r="M4" s="67" t="s">
        <v>123</v>
      </c>
      <c r="N4" s="68">
        <f>G6</f>
        <v>23674.377278080414</v>
      </c>
      <c r="R4" s="70">
        <v>43556</v>
      </c>
      <c r="S4" s="73" t="s">
        <v>44</v>
      </c>
      <c r="T4" s="78">
        <v>2647</v>
      </c>
      <c r="U4" s="78">
        <v>0</v>
      </c>
      <c r="V4" s="72">
        <f t="shared" ref="V4:V8" si="0">V3+U4-T4</f>
        <v>36027.377278080414</v>
      </c>
    </row>
    <row r="5" spans="1:22" ht="17.25" customHeight="1" x14ac:dyDescent="0.2">
      <c r="A5" t="s">
        <v>2</v>
      </c>
      <c r="B5" s="20">
        <v>43582</v>
      </c>
      <c r="C5" s="1">
        <v>87.46</v>
      </c>
      <c r="E5" s="20">
        <v>43556</v>
      </c>
      <c r="F5" t="s">
        <v>75</v>
      </c>
      <c r="G5" s="5">
        <v>12052.652381840298</v>
      </c>
      <c r="R5" s="70">
        <v>43563</v>
      </c>
      <c r="S5" s="79" t="s">
        <v>156</v>
      </c>
      <c r="T5" s="78">
        <v>1980.7</v>
      </c>
      <c r="U5" s="78">
        <v>0</v>
      </c>
      <c r="V5" s="72">
        <f t="shared" si="0"/>
        <v>34046.677278080417</v>
      </c>
    </row>
    <row r="6" spans="1:22" ht="17.25" customHeight="1" x14ac:dyDescent="0.25">
      <c r="A6" t="s">
        <v>4</v>
      </c>
      <c r="B6" s="20">
        <v>43586</v>
      </c>
      <c r="C6" s="1">
        <v>1122.29</v>
      </c>
      <c r="E6" s="20">
        <v>43556</v>
      </c>
      <c r="F6" t="s">
        <v>76</v>
      </c>
      <c r="G6" s="5">
        <f>UOB!B22-UOB!S19-UOB!S20</f>
        <v>23674.377278080414</v>
      </c>
      <c r="L6" s="320">
        <v>43581</v>
      </c>
      <c r="M6" s="67" t="s">
        <v>78</v>
      </c>
      <c r="N6" s="68">
        <f>'UOB TXN 2019'!E45</f>
        <v>194568.3</v>
      </c>
      <c r="R6" s="70">
        <v>43563</v>
      </c>
      <c r="S6" s="74" t="s">
        <v>157</v>
      </c>
      <c r="T6" s="78">
        <v>5000</v>
      </c>
      <c r="U6" s="78">
        <v>0</v>
      </c>
      <c r="V6" s="72">
        <f t="shared" si="0"/>
        <v>29046.677278080417</v>
      </c>
    </row>
    <row r="7" spans="1:22" ht="18" x14ac:dyDescent="0.25">
      <c r="A7" s="60" t="s">
        <v>3</v>
      </c>
      <c r="B7" s="20">
        <v>43580</v>
      </c>
      <c r="C7" s="62">
        <v>93</v>
      </c>
      <c r="D7" s="60"/>
      <c r="E7" s="20"/>
      <c r="G7" s="5"/>
      <c r="L7" s="320"/>
      <c r="M7" s="67" t="s">
        <v>79</v>
      </c>
      <c r="N7" s="68">
        <f>UOB!S28</f>
        <v>107694.94034007929</v>
      </c>
      <c r="O7" s="6">
        <f>SUM(N7:N9)</f>
        <v>194568.3</v>
      </c>
      <c r="R7" s="70">
        <v>43564</v>
      </c>
      <c r="S7" s="71" t="s">
        <v>175</v>
      </c>
      <c r="T7" s="78">
        <f>3188.25-799</f>
        <v>2389.25</v>
      </c>
      <c r="U7" s="78">
        <v>0</v>
      </c>
      <c r="V7" s="72">
        <f t="shared" si="0"/>
        <v>26657.427278080417</v>
      </c>
    </row>
    <row r="8" spans="1:22" ht="18" x14ac:dyDescent="0.25">
      <c r="A8" t="s">
        <v>5</v>
      </c>
      <c r="B8" s="20">
        <v>43563</v>
      </c>
      <c r="C8" s="1">
        <v>120</v>
      </c>
      <c r="E8" s="20">
        <v>43556</v>
      </c>
      <c r="F8" t="s">
        <v>127</v>
      </c>
      <c r="G8" s="5"/>
      <c r="L8" s="320"/>
      <c r="M8" s="67" t="s">
        <v>80</v>
      </c>
      <c r="N8" s="68">
        <f>UOB!S25</f>
        <v>12318.762381840299</v>
      </c>
      <c r="R8" s="70">
        <v>43564</v>
      </c>
      <c r="S8" s="71" t="s">
        <v>177</v>
      </c>
      <c r="T8" s="78"/>
      <c r="U8" s="78">
        <v>1500</v>
      </c>
      <c r="V8" s="72">
        <f t="shared" si="0"/>
        <v>28157.427278080417</v>
      </c>
    </row>
    <row r="9" spans="1:22" ht="18" x14ac:dyDescent="0.25">
      <c r="A9" t="s">
        <v>7</v>
      </c>
      <c r="B9" s="20">
        <v>43579</v>
      </c>
      <c r="C9" s="1">
        <v>768</v>
      </c>
      <c r="L9" s="320"/>
      <c r="M9" s="67" t="s">
        <v>123</v>
      </c>
      <c r="N9" s="68">
        <f>V18</f>
        <v>74554.5972780804</v>
      </c>
      <c r="R9" s="70">
        <v>43566</v>
      </c>
      <c r="S9" s="71" t="s">
        <v>178</v>
      </c>
      <c r="T9" s="78"/>
      <c r="U9" s="78">
        <v>32620</v>
      </c>
      <c r="V9" s="72">
        <f t="shared" ref="V9:V13" si="1">V8+U9-T9</f>
        <v>60777.427278080417</v>
      </c>
    </row>
    <row r="10" spans="1:22" x14ac:dyDescent="0.2">
      <c r="A10" t="s">
        <v>129</v>
      </c>
      <c r="B10" s="20">
        <v>43583</v>
      </c>
      <c r="C10" s="1">
        <v>369.05</v>
      </c>
      <c r="R10" s="70">
        <v>43572</v>
      </c>
      <c r="S10" s="71" t="s">
        <v>203</v>
      </c>
      <c r="T10" s="78">
        <v>263</v>
      </c>
      <c r="U10" s="78">
        <v>0</v>
      </c>
      <c r="V10" s="72">
        <f t="shared" si="1"/>
        <v>60514.427278080417</v>
      </c>
    </row>
    <row r="11" spans="1:22" x14ac:dyDescent="0.2">
      <c r="A11" t="s">
        <v>13</v>
      </c>
      <c r="B11" s="20">
        <v>43579</v>
      </c>
      <c r="C11" s="1">
        <v>4000</v>
      </c>
      <c r="R11" s="70">
        <v>43572</v>
      </c>
      <c r="S11" s="71" t="s">
        <v>204</v>
      </c>
      <c r="T11" s="78">
        <v>500</v>
      </c>
      <c r="U11" s="78">
        <v>0</v>
      </c>
      <c r="V11" s="72">
        <f t="shared" si="1"/>
        <v>60014.427278080417</v>
      </c>
    </row>
    <row r="12" spans="1:22" x14ac:dyDescent="0.2">
      <c r="A12" t="s">
        <v>154</v>
      </c>
      <c r="B12" s="20">
        <v>43563</v>
      </c>
      <c r="C12" s="1">
        <v>5000</v>
      </c>
      <c r="E12" t="s">
        <v>67</v>
      </c>
      <c r="I12" s="6">
        <f>SUM(I13:I22)</f>
        <v>1415.99</v>
      </c>
      <c r="R12" s="70">
        <v>43574</v>
      </c>
      <c r="S12" s="71" t="s">
        <v>205</v>
      </c>
      <c r="T12" s="78">
        <v>0</v>
      </c>
      <c r="U12" s="78">
        <v>4700</v>
      </c>
      <c r="V12" s="72">
        <f t="shared" si="1"/>
        <v>64714.427278080417</v>
      </c>
    </row>
    <row r="13" spans="1:22" x14ac:dyDescent="0.2">
      <c r="A13" t="s">
        <v>155</v>
      </c>
      <c r="B13" s="20">
        <v>43563</v>
      </c>
      <c r="C13" s="1">
        <v>1980.7</v>
      </c>
      <c r="E13" s="80">
        <v>43565</v>
      </c>
      <c r="F13" s="75" t="s">
        <v>68</v>
      </c>
      <c r="G13" s="77" t="s">
        <v>72</v>
      </c>
      <c r="H13" s="76">
        <v>35000</v>
      </c>
      <c r="I13" s="76">
        <v>148.72</v>
      </c>
      <c r="R13" s="70">
        <v>43573</v>
      </c>
      <c r="S13" s="71" t="s">
        <v>206</v>
      </c>
      <c r="T13" s="78">
        <v>0</v>
      </c>
      <c r="U13" s="142">
        <v>2579</v>
      </c>
      <c r="V13" s="72">
        <f t="shared" si="1"/>
        <v>67293.427278080417</v>
      </c>
    </row>
    <row r="14" spans="1:22" x14ac:dyDescent="0.2">
      <c r="E14" s="80">
        <v>43565</v>
      </c>
      <c r="F14" s="75" t="s">
        <v>69</v>
      </c>
      <c r="G14" s="77" t="s">
        <v>72</v>
      </c>
      <c r="H14" s="76">
        <v>50000</v>
      </c>
      <c r="I14" s="76">
        <v>157.26</v>
      </c>
      <c r="R14" s="70">
        <v>43577</v>
      </c>
      <c r="S14" s="71" t="s">
        <v>208</v>
      </c>
      <c r="T14" s="78">
        <v>0</v>
      </c>
      <c r="U14" s="142">
        <v>585</v>
      </c>
      <c r="V14" s="72">
        <f t="shared" ref="V14:V20" si="2">V13+U14-T14</f>
        <v>67878.427278080417</v>
      </c>
    </row>
    <row r="15" spans="1:22" x14ac:dyDescent="0.2">
      <c r="E15" s="80">
        <v>43565</v>
      </c>
      <c r="F15" s="75" t="s">
        <v>70</v>
      </c>
      <c r="G15" s="77" t="s">
        <v>72</v>
      </c>
      <c r="H15" s="76">
        <v>50000</v>
      </c>
      <c r="I15" s="76">
        <v>157.26</v>
      </c>
      <c r="R15" s="70">
        <v>43577</v>
      </c>
      <c r="S15" s="71" t="s">
        <v>214</v>
      </c>
      <c r="T15" s="67">
        <v>255</v>
      </c>
      <c r="U15" s="142">
        <v>0</v>
      </c>
      <c r="V15" s="72">
        <f t="shared" si="2"/>
        <v>67623.427278080417</v>
      </c>
    </row>
    <row r="16" spans="1:22" x14ac:dyDescent="0.2">
      <c r="E16" s="80">
        <v>43567</v>
      </c>
      <c r="F16" s="147" t="s">
        <v>158</v>
      </c>
      <c r="G16" s="148" t="s">
        <v>72</v>
      </c>
      <c r="H16" s="149">
        <v>11156.9</v>
      </c>
      <c r="I16" s="150">
        <v>34.229999999999997</v>
      </c>
      <c r="R16" s="70">
        <v>43578</v>
      </c>
      <c r="S16" s="71" t="s">
        <v>216</v>
      </c>
      <c r="T16" s="78">
        <v>0</v>
      </c>
      <c r="U16" s="142">
        <v>2644</v>
      </c>
      <c r="V16" s="72">
        <f t="shared" si="2"/>
        <v>70267.427278080417</v>
      </c>
    </row>
    <row r="17" spans="5:24" x14ac:dyDescent="0.2">
      <c r="E17" s="80">
        <v>43567</v>
      </c>
      <c r="F17" s="147" t="s">
        <v>159</v>
      </c>
      <c r="G17" s="148" t="s">
        <v>72</v>
      </c>
      <c r="H17" s="149">
        <v>30000</v>
      </c>
      <c r="I17" s="150">
        <v>92.05</v>
      </c>
      <c r="R17" s="70">
        <v>43578</v>
      </c>
      <c r="S17" s="151" t="s">
        <v>221</v>
      </c>
      <c r="T17" s="152">
        <v>0</v>
      </c>
      <c r="U17">
        <v>287.1699999999837</v>
      </c>
      <c r="V17" s="72">
        <f t="shared" si="2"/>
        <v>70554.5972780804</v>
      </c>
    </row>
    <row r="18" spans="5:24" x14ac:dyDescent="0.2">
      <c r="E18" s="80">
        <v>43576</v>
      </c>
      <c r="F18" s="81" t="s">
        <v>138</v>
      </c>
      <c r="G18" s="77" t="s">
        <v>72</v>
      </c>
      <c r="H18" s="76">
        <v>50000</v>
      </c>
      <c r="I18" s="76">
        <v>169.86</v>
      </c>
      <c r="R18" s="70">
        <v>43579</v>
      </c>
      <c r="S18" s="71" t="s">
        <v>222</v>
      </c>
      <c r="T18" s="78">
        <v>0</v>
      </c>
      <c r="U18" s="78">
        <v>4000</v>
      </c>
      <c r="V18" s="72">
        <f t="shared" si="2"/>
        <v>74554.5972780804</v>
      </c>
      <c r="X18" s="6">
        <f>V18+UOB!S27+UOB!S25</f>
        <v>195043.3</v>
      </c>
    </row>
    <row r="19" spans="5:24" x14ac:dyDescent="0.2">
      <c r="E19" s="80">
        <v>43576</v>
      </c>
      <c r="F19" s="81" t="s">
        <v>137</v>
      </c>
      <c r="G19" s="77" t="s">
        <v>72</v>
      </c>
      <c r="H19" s="76">
        <v>50000</v>
      </c>
      <c r="I19" s="76">
        <v>169.86</v>
      </c>
      <c r="R19" s="70">
        <v>43585</v>
      </c>
      <c r="S19" s="71" t="s">
        <v>14</v>
      </c>
      <c r="T19" s="78"/>
      <c r="U19" s="78">
        <v>213.90999423075797</v>
      </c>
      <c r="V19" s="72">
        <f t="shared" si="2"/>
        <v>74768.507272311152</v>
      </c>
    </row>
    <row r="20" spans="5:24" x14ac:dyDescent="0.2">
      <c r="E20" s="80">
        <v>43576</v>
      </c>
      <c r="F20" s="81" t="s">
        <v>136</v>
      </c>
      <c r="G20" s="77" t="s">
        <v>72</v>
      </c>
      <c r="H20" s="76">
        <v>50000</v>
      </c>
      <c r="I20" s="76">
        <v>169.86</v>
      </c>
      <c r="R20" s="70">
        <v>43585</v>
      </c>
      <c r="S20" s="71" t="s">
        <v>64</v>
      </c>
      <c r="T20" s="78">
        <v>0</v>
      </c>
      <c r="U20" s="78">
        <v>0</v>
      </c>
      <c r="V20" s="72">
        <f t="shared" si="2"/>
        <v>74768.507272311152</v>
      </c>
    </row>
    <row r="21" spans="5:24" x14ac:dyDescent="0.2">
      <c r="E21" s="80">
        <v>43576</v>
      </c>
      <c r="F21" s="81" t="s">
        <v>135</v>
      </c>
      <c r="G21" s="77" t="s">
        <v>72</v>
      </c>
      <c r="H21" s="76">
        <v>50000</v>
      </c>
      <c r="I21" s="76">
        <v>169.86</v>
      </c>
    </row>
    <row r="22" spans="5:24" x14ac:dyDescent="0.2">
      <c r="E22" s="80">
        <v>43576</v>
      </c>
      <c r="F22" s="81" t="s">
        <v>134</v>
      </c>
      <c r="G22" s="77" t="s">
        <v>72</v>
      </c>
      <c r="H22" s="76">
        <v>43278.7</v>
      </c>
      <c r="I22" s="76">
        <v>147.03</v>
      </c>
    </row>
    <row r="23" spans="5:24" ht="22.5" x14ac:dyDescent="0.2">
      <c r="E23" s="80">
        <v>43585</v>
      </c>
      <c r="F23" s="75" t="s">
        <v>57</v>
      </c>
      <c r="G23" s="77" t="s">
        <v>73</v>
      </c>
      <c r="H23" s="76">
        <v>141110.65</v>
      </c>
      <c r="I23" s="76">
        <v>558.25</v>
      </c>
    </row>
  </sheetData>
  <mergeCells count="2">
    <mergeCell ref="L1:L4"/>
    <mergeCell ref="L6:L9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3"/>
  <sheetViews>
    <sheetView topLeftCell="J1" workbookViewId="0">
      <selection activeCell="V18" sqref="V18"/>
    </sheetView>
  </sheetViews>
  <sheetFormatPr defaultRowHeight="12.75" x14ac:dyDescent="0.2"/>
  <cols>
    <col min="1" max="1" width="29.42578125" bestFit="1" customWidth="1"/>
    <col min="2" max="2" width="11.7109375" bestFit="1" customWidth="1"/>
    <col min="3" max="3" width="12.140625" bestFit="1" customWidth="1"/>
    <col min="5" max="5" width="11.7109375" bestFit="1" customWidth="1"/>
    <col min="6" max="6" width="23.28515625" bestFit="1" customWidth="1"/>
    <col min="7" max="8" width="11.28515625" bestFit="1" customWidth="1"/>
    <col min="9" max="9" width="18.5703125" bestFit="1" customWidth="1"/>
    <col min="10" max="10" width="10.140625" bestFit="1" customWidth="1"/>
    <col min="11" max="11" width="10.140625" customWidth="1"/>
    <col min="12" max="13" width="11.85546875" bestFit="1" customWidth="1"/>
    <col min="14" max="14" width="17.140625" bestFit="1" customWidth="1"/>
    <col min="15" max="16" width="11.28515625" bestFit="1" customWidth="1"/>
    <col min="18" max="18" width="11.140625" bestFit="1" customWidth="1"/>
    <col min="19" max="19" width="38.7109375" customWidth="1"/>
    <col min="20" max="20" width="9.7109375" bestFit="1" customWidth="1"/>
    <col min="21" max="21" width="10.28515625" bestFit="1" customWidth="1"/>
    <col min="22" max="22" width="10.42578125" bestFit="1" customWidth="1"/>
    <col min="24" max="24" width="11.28515625" bestFit="1" customWidth="1"/>
  </cols>
  <sheetData>
    <row r="1" spans="1:22" ht="25.5" x14ac:dyDescent="0.25">
      <c r="C1" s="1">
        <f>SUM(C3:C12)</f>
        <v>8256.2799999999988</v>
      </c>
      <c r="G1" s="6">
        <f>G3+G8</f>
        <v>9911.9599999999991</v>
      </c>
      <c r="I1" s="3" t="s">
        <v>77</v>
      </c>
      <c r="J1" s="4">
        <f>G1-C1</f>
        <v>1655.6800000000003</v>
      </c>
      <c r="L1" s="320">
        <v>43586</v>
      </c>
      <c r="M1" s="67" t="s">
        <v>78</v>
      </c>
      <c r="N1" s="68">
        <f>SUM(N2:N4)</f>
        <v>195245</v>
      </c>
      <c r="P1" s="5"/>
      <c r="R1" s="69" t="s">
        <v>25</v>
      </c>
      <c r="S1" s="69" t="s">
        <v>26</v>
      </c>
      <c r="T1" s="69" t="s">
        <v>59</v>
      </c>
      <c r="U1" s="69" t="s">
        <v>60</v>
      </c>
      <c r="V1" s="69" t="s">
        <v>8</v>
      </c>
    </row>
    <row r="2" spans="1:22" ht="18" x14ac:dyDescent="0.25">
      <c r="A2" s="21" t="s">
        <v>52</v>
      </c>
      <c r="B2" s="21" t="s">
        <v>53</v>
      </c>
      <c r="C2" s="22" t="s">
        <v>54</v>
      </c>
      <c r="E2" s="21" t="s">
        <v>56</v>
      </c>
      <c r="F2" s="21" t="s">
        <v>13</v>
      </c>
      <c r="G2" s="22" t="s">
        <v>55</v>
      </c>
      <c r="I2" s="3"/>
      <c r="J2" s="4"/>
      <c r="L2" s="320"/>
      <c r="M2" s="67" t="s">
        <v>79</v>
      </c>
      <c r="N2" s="68">
        <f>G4</f>
        <v>108211.39438609306</v>
      </c>
      <c r="P2" s="2"/>
      <c r="R2" s="157">
        <v>43586</v>
      </c>
      <c r="S2" s="71" t="s">
        <v>61</v>
      </c>
      <c r="T2" s="72"/>
      <c r="U2" s="72"/>
      <c r="V2" s="72">
        <v>74655.768268527099</v>
      </c>
    </row>
    <row r="3" spans="1:22" ht="17.25" customHeight="1" x14ac:dyDescent="0.25">
      <c r="A3" t="s">
        <v>0</v>
      </c>
      <c r="B3" s="20">
        <v>43612</v>
      </c>
      <c r="C3" s="1">
        <v>0</v>
      </c>
      <c r="E3" s="20">
        <v>43579</v>
      </c>
      <c r="F3" t="s">
        <v>128</v>
      </c>
      <c r="G3" s="5">
        <v>9868.73</v>
      </c>
      <c r="H3" s="6">
        <f>G3-C1</f>
        <v>1612.4500000000007</v>
      </c>
      <c r="L3" s="320"/>
      <c r="M3" s="67" t="s">
        <v>80</v>
      </c>
      <c r="N3" s="68">
        <f>G5</f>
        <v>12377.837345379843</v>
      </c>
      <c r="R3" s="157">
        <v>43587</v>
      </c>
      <c r="S3" s="71" t="s">
        <v>230</v>
      </c>
      <c r="T3" s="78">
        <v>50000</v>
      </c>
      <c r="U3" s="78"/>
      <c r="V3" s="72">
        <f>V2+U3-T3</f>
        <v>24655.768268527099</v>
      </c>
    </row>
    <row r="4" spans="1:22" ht="17.25" customHeight="1" x14ac:dyDescent="0.25">
      <c r="A4" t="s">
        <v>1</v>
      </c>
      <c r="B4" s="20">
        <v>43612</v>
      </c>
      <c r="C4" s="1">
        <v>865.92</v>
      </c>
      <c r="E4" s="20">
        <v>43586</v>
      </c>
      <c r="F4" t="s">
        <v>74</v>
      </c>
      <c r="G4" s="52">
        <v>108211.39438609306</v>
      </c>
      <c r="L4" s="320"/>
      <c r="M4" s="67" t="s">
        <v>123</v>
      </c>
      <c r="N4" s="68">
        <f>'UOB TXN 2019'!E46-'May2019'!N2-N3</f>
        <v>74655.768268527099</v>
      </c>
      <c r="R4" s="157">
        <v>43587</v>
      </c>
      <c r="S4" s="71" t="s">
        <v>44</v>
      </c>
      <c r="T4" s="78">
        <v>2647</v>
      </c>
      <c r="U4" s="78"/>
      <c r="V4" s="72">
        <f t="shared" ref="V4:V19" si="0">V3+U4-T4</f>
        <v>22008.768268527099</v>
      </c>
    </row>
    <row r="5" spans="1:22" ht="17.25" customHeight="1" x14ac:dyDescent="0.2">
      <c r="A5" t="s">
        <v>2</v>
      </c>
      <c r="B5" s="20">
        <v>43612</v>
      </c>
      <c r="C5" s="1">
        <v>744.67</v>
      </c>
      <c r="E5" s="20">
        <v>43586</v>
      </c>
      <c r="F5" t="s">
        <v>75</v>
      </c>
      <c r="G5" s="5">
        <v>12377.837345379843</v>
      </c>
      <c r="R5" s="157">
        <v>43591</v>
      </c>
      <c r="S5" s="71" t="s">
        <v>231</v>
      </c>
      <c r="T5" s="78">
        <v>4850</v>
      </c>
      <c r="U5" s="78">
        <v>0</v>
      </c>
      <c r="V5" s="72">
        <f t="shared" si="0"/>
        <v>17158.768268527099</v>
      </c>
    </row>
    <row r="6" spans="1:22" ht="17.25" customHeight="1" x14ac:dyDescent="0.25">
      <c r="A6" t="s">
        <v>4</v>
      </c>
      <c r="B6" s="20">
        <v>43617</v>
      </c>
      <c r="C6" s="1">
        <v>2375.91</v>
      </c>
      <c r="E6" s="20">
        <v>43586</v>
      </c>
      <c r="F6" t="s">
        <v>76</v>
      </c>
      <c r="G6" s="5">
        <v>74768.507272311152</v>
      </c>
      <c r="L6" s="320">
        <f>UOB!O33</f>
        <v>43599</v>
      </c>
      <c r="M6" s="67" t="s">
        <v>78</v>
      </c>
      <c r="N6" s="68">
        <f>SUM(N7:N9)</f>
        <v>146832.78</v>
      </c>
      <c r="O6">
        <v>143858.43</v>
      </c>
      <c r="P6" s="6">
        <f>O6-N6</f>
        <v>-2974.3500000000058</v>
      </c>
      <c r="R6" s="157">
        <v>43591</v>
      </c>
      <c r="S6" s="71" t="s">
        <v>232</v>
      </c>
      <c r="T6" s="78">
        <v>300</v>
      </c>
      <c r="U6" s="78"/>
      <c r="V6" s="72">
        <f t="shared" si="0"/>
        <v>16858.768268527099</v>
      </c>
    </row>
    <row r="7" spans="1:22" ht="15.75" customHeight="1" x14ac:dyDescent="0.25">
      <c r="A7" s="60" t="s">
        <v>246</v>
      </c>
      <c r="B7" s="61">
        <v>43617</v>
      </c>
      <c r="C7" s="62">
        <v>187.73</v>
      </c>
      <c r="D7" s="60"/>
      <c r="E7" s="20"/>
      <c r="G7" s="5"/>
      <c r="L7" s="320"/>
      <c r="M7" s="67" t="s">
        <v>79</v>
      </c>
      <c r="N7" s="68">
        <f>UOB!S34</f>
        <v>109207.51438609307</v>
      </c>
      <c r="O7" s="6"/>
      <c r="P7" s="6"/>
      <c r="R7" s="157">
        <v>43591</v>
      </c>
      <c r="S7" s="164" t="s">
        <v>237</v>
      </c>
      <c r="T7" s="78">
        <v>300</v>
      </c>
      <c r="U7" s="78"/>
      <c r="V7" s="72">
        <f>V6+U7-T7</f>
        <v>16558.768268527099</v>
      </c>
    </row>
    <row r="8" spans="1:22" ht="15.75" customHeight="1" x14ac:dyDescent="0.25">
      <c r="A8" s="60" t="s">
        <v>3</v>
      </c>
      <c r="B8" s="20">
        <v>43610</v>
      </c>
      <c r="C8" s="62">
        <v>93</v>
      </c>
      <c r="E8" s="20">
        <v>43586</v>
      </c>
      <c r="F8" t="s">
        <v>127</v>
      </c>
      <c r="G8" s="5">
        <v>43.23</v>
      </c>
      <c r="L8" s="320"/>
      <c r="M8" s="67" t="s">
        <v>80</v>
      </c>
      <c r="N8" s="68">
        <f>UOB!S32</f>
        <v>12513.147345379843</v>
      </c>
      <c r="R8" s="157">
        <v>43591</v>
      </c>
      <c r="S8" s="71" t="s">
        <v>239</v>
      </c>
      <c r="T8" s="78">
        <v>300</v>
      </c>
      <c r="U8" s="78"/>
      <c r="V8" s="72">
        <f>V7+U8-T8</f>
        <v>16258.768268527099</v>
      </c>
    </row>
    <row r="9" spans="1:22" ht="16.5" customHeight="1" x14ac:dyDescent="0.25">
      <c r="A9" t="s">
        <v>5</v>
      </c>
      <c r="B9" s="20">
        <v>43593</v>
      </c>
      <c r="C9" s="1">
        <v>120</v>
      </c>
      <c r="L9" s="320"/>
      <c r="M9" s="67" t="s">
        <v>123</v>
      </c>
      <c r="N9" s="68">
        <f>V19</f>
        <v>25112.118268527098</v>
      </c>
      <c r="R9" s="157">
        <v>43591</v>
      </c>
      <c r="S9" s="71" t="s">
        <v>239</v>
      </c>
      <c r="T9" s="78"/>
      <c r="U9" s="78">
        <v>300</v>
      </c>
      <c r="V9" s="72">
        <f>V8+U9-T9</f>
        <v>16558.768268527099</v>
      </c>
    </row>
    <row r="10" spans="1:22" x14ac:dyDescent="0.2">
      <c r="A10" t="s">
        <v>7</v>
      </c>
      <c r="B10" s="20">
        <v>43609</v>
      </c>
      <c r="C10" s="1"/>
      <c r="R10" s="157">
        <v>43591</v>
      </c>
      <c r="S10" s="71" t="s">
        <v>240</v>
      </c>
      <c r="T10" s="78"/>
      <c r="U10" s="78">
        <v>100</v>
      </c>
      <c r="V10" s="72">
        <f t="shared" ref="V10" si="1">V9+U10-T10</f>
        <v>16658.768268527099</v>
      </c>
    </row>
    <row r="11" spans="1:22" ht="10.5" customHeight="1" x14ac:dyDescent="0.2">
      <c r="A11" t="s">
        <v>129</v>
      </c>
      <c r="B11" s="20">
        <v>43613</v>
      </c>
      <c r="C11" s="1">
        <v>369.05</v>
      </c>
      <c r="R11" s="157">
        <v>43606</v>
      </c>
      <c r="S11" s="185" t="s">
        <v>252</v>
      </c>
      <c r="T11" s="78">
        <v>300</v>
      </c>
      <c r="U11" s="78"/>
      <c r="V11" s="72">
        <f t="shared" si="0"/>
        <v>16358.768268527099</v>
      </c>
    </row>
    <row r="12" spans="1:22" x14ac:dyDescent="0.2">
      <c r="A12" t="s">
        <v>13</v>
      </c>
      <c r="B12" s="20">
        <v>43609</v>
      </c>
      <c r="C12" s="1">
        <v>3500</v>
      </c>
      <c r="E12" t="s">
        <v>67</v>
      </c>
      <c r="I12" s="6">
        <f>SUM(I13:I22)</f>
        <v>1415.99</v>
      </c>
      <c r="R12" s="157">
        <v>43606</v>
      </c>
      <c r="S12" s="71" t="s">
        <v>253</v>
      </c>
      <c r="T12" s="78">
        <v>0</v>
      </c>
      <c r="U12" s="78">
        <v>2579</v>
      </c>
      <c r="V12" s="72">
        <f t="shared" si="0"/>
        <v>18937.768268527099</v>
      </c>
    </row>
    <row r="13" spans="1:22" ht="13.5" customHeight="1" x14ac:dyDescent="0.2">
      <c r="B13" s="20"/>
      <c r="C13" s="1"/>
      <c r="E13" s="80">
        <v>43595</v>
      </c>
      <c r="F13" s="75" t="s">
        <v>68</v>
      </c>
      <c r="G13" s="77" t="s">
        <v>72</v>
      </c>
      <c r="H13" s="76">
        <v>35000</v>
      </c>
      <c r="I13" s="76">
        <v>148.72</v>
      </c>
      <c r="R13" s="157">
        <v>43608</v>
      </c>
      <c r="S13" s="71" t="s">
        <v>254</v>
      </c>
      <c r="T13" s="78">
        <v>300</v>
      </c>
      <c r="U13" s="142"/>
      <c r="V13" s="72">
        <f t="shared" si="0"/>
        <v>18637.768268527099</v>
      </c>
    </row>
    <row r="14" spans="1:22" x14ac:dyDescent="0.2">
      <c r="B14" s="20"/>
      <c r="C14" s="1"/>
      <c r="E14" s="80">
        <v>43595</v>
      </c>
      <c r="F14" s="75" t="s">
        <v>69</v>
      </c>
      <c r="G14" s="77" t="s">
        <v>72</v>
      </c>
      <c r="H14" s="76">
        <v>50000</v>
      </c>
      <c r="I14" s="76">
        <v>157.26</v>
      </c>
      <c r="R14" s="157">
        <v>43609</v>
      </c>
      <c r="S14" s="71" t="s">
        <v>259</v>
      </c>
      <c r="T14" s="78"/>
      <c r="U14" s="142">
        <v>3500</v>
      </c>
      <c r="V14" s="72">
        <f t="shared" si="0"/>
        <v>22137.768268527099</v>
      </c>
    </row>
    <row r="15" spans="1:22" x14ac:dyDescent="0.2">
      <c r="E15" s="80">
        <v>43595</v>
      </c>
      <c r="F15" s="75" t="s">
        <v>70</v>
      </c>
      <c r="G15" s="77" t="s">
        <v>72</v>
      </c>
      <c r="H15" s="76">
        <v>50000</v>
      </c>
      <c r="I15" s="76">
        <v>157.26</v>
      </c>
      <c r="R15" s="157">
        <v>43607</v>
      </c>
      <c r="S15" s="71" t="s">
        <v>275</v>
      </c>
      <c r="T15" s="67"/>
      <c r="U15" s="198">
        <v>1241.3499999999999</v>
      </c>
      <c r="V15" s="72">
        <f t="shared" si="0"/>
        <v>23379.118268527098</v>
      </c>
    </row>
    <row r="16" spans="1:22" x14ac:dyDescent="0.2">
      <c r="E16" s="80">
        <v>43597</v>
      </c>
      <c r="F16" s="147" t="s">
        <v>158</v>
      </c>
      <c r="G16" s="148" t="s">
        <v>72</v>
      </c>
      <c r="H16" s="149">
        <v>11156.9</v>
      </c>
      <c r="I16" s="150">
        <v>34.229999999999997</v>
      </c>
      <c r="R16" s="157">
        <v>43608</v>
      </c>
      <c r="S16" s="71" t="s">
        <v>275</v>
      </c>
      <c r="T16" s="78"/>
      <c r="U16" s="199">
        <v>1733</v>
      </c>
      <c r="V16" s="72">
        <f t="shared" si="0"/>
        <v>25112.118268527098</v>
      </c>
    </row>
    <row r="17" spans="5:24" x14ac:dyDescent="0.2">
      <c r="E17" s="80">
        <v>43597</v>
      </c>
      <c r="F17" s="147" t="s">
        <v>159</v>
      </c>
      <c r="G17" s="148" t="s">
        <v>72</v>
      </c>
      <c r="H17" s="149">
        <v>30000</v>
      </c>
      <c r="I17" s="150">
        <v>92.05</v>
      </c>
      <c r="R17" s="157">
        <v>43608</v>
      </c>
      <c r="S17" s="71"/>
      <c r="T17" s="142"/>
      <c r="U17" s="67"/>
      <c r="V17" s="72">
        <f t="shared" si="0"/>
        <v>25112.118268527098</v>
      </c>
    </row>
    <row r="18" spans="5:24" x14ac:dyDescent="0.2">
      <c r="E18" s="80">
        <v>43606</v>
      </c>
      <c r="F18" s="81" t="s">
        <v>138</v>
      </c>
      <c r="G18" s="77" t="s">
        <v>72</v>
      </c>
      <c r="H18" s="76">
        <v>50000</v>
      </c>
      <c r="I18" s="76">
        <v>169.86</v>
      </c>
      <c r="R18" s="157">
        <v>43610</v>
      </c>
      <c r="S18" s="71"/>
      <c r="T18" s="78"/>
      <c r="U18" s="78"/>
      <c r="V18" s="72">
        <f t="shared" si="0"/>
        <v>25112.118268527098</v>
      </c>
      <c r="X18" s="6"/>
    </row>
    <row r="19" spans="5:24" x14ac:dyDescent="0.2">
      <c r="E19" s="80">
        <v>43606</v>
      </c>
      <c r="F19" s="81" t="s">
        <v>137</v>
      </c>
      <c r="G19" s="77" t="s">
        <v>72</v>
      </c>
      <c r="H19" s="76">
        <v>50000</v>
      </c>
      <c r="I19" s="76">
        <v>169.86</v>
      </c>
      <c r="R19" s="157">
        <v>43616</v>
      </c>
      <c r="S19" s="71" t="s">
        <v>64</v>
      </c>
      <c r="T19" s="78">
        <v>0</v>
      </c>
      <c r="U19" s="78">
        <v>0</v>
      </c>
      <c r="V19" s="72">
        <f t="shared" si="0"/>
        <v>25112.118268527098</v>
      </c>
    </row>
    <row r="20" spans="5:24" x14ac:dyDescent="0.2">
      <c r="E20" s="80">
        <v>43606</v>
      </c>
      <c r="F20" s="81" t="s">
        <v>136</v>
      </c>
      <c r="G20" s="77" t="s">
        <v>72</v>
      </c>
      <c r="H20" s="76">
        <v>50000</v>
      </c>
      <c r="I20" s="76">
        <v>169.86</v>
      </c>
    </row>
    <row r="21" spans="5:24" x14ac:dyDescent="0.2">
      <c r="E21" s="80">
        <v>43606</v>
      </c>
      <c r="F21" s="81" t="s">
        <v>135</v>
      </c>
      <c r="G21" s="77" t="s">
        <v>72</v>
      </c>
      <c r="H21" s="76">
        <v>50000</v>
      </c>
      <c r="I21" s="76">
        <v>169.86</v>
      </c>
    </row>
    <row r="22" spans="5:24" x14ac:dyDescent="0.2">
      <c r="E22" s="80">
        <v>43606</v>
      </c>
      <c r="F22" s="81" t="s">
        <v>134</v>
      </c>
      <c r="G22" s="77" t="s">
        <v>72</v>
      </c>
      <c r="H22" s="76">
        <v>43278.7</v>
      </c>
      <c r="I22" s="76">
        <v>147.03</v>
      </c>
    </row>
    <row r="23" spans="5:24" ht="22.5" x14ac:dyDescent="0.2">
      <c r="E23" s="80">
        <v>43616</v>
      </c>
      <c r="F23" s="75" t="s">
        <v>57</v>
      </c>
      <c r="G23" s="77" t="s">
        <v>73</v>
      </c>
      <c r="H23" s="76">
        <v>143858.43</v>
      </c>
      <c r="I23" s="76">
        <v>546.12</v>
      </c>
    </row>
  </sheetData>
  <mergeCells count="2">
    <mergeCell ref="L1:L4"/>
    <mergeCell ref="L6:L9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3"/>
  <sheetViews>
    <sheetView workbookViewId="0">
      <selection activeCell="I21" sqref="I21"/>
    </sheetView>
  </sheetViews>
  <sheetFormatPr defaultRowHeight="12.75" x14ac:dyDescent="0.2"/>
  <cols>
    <col min="1" max="1" width="29.42578125" bestFit="1" customWidth="1"/>
    <col min="2" max="2" width="11.7109375" bestFit="1" customWidth="1"/>
    <col min="3" max="3" width="12.140625" bestFit="1" customWidth="1"/>
    <col min="5" max="5" width="11.7109375" bestFit="1" customWidth="1"/>
    <col min="6" max="6" width="23.28515625" bestFit="1" customWidth="1"/>
    <col min="7" max="8" width="11.28515625" bestFit="1" customWidth="1"/>
    <col min="9" max="9" width="18.5703125" bestFit="1" customWidth="1"/>
    <col min="10" max="10" width="10.140625" bestFit="1" customWidth="1"/>
    <col min="11" max="11" width="10.140625" customWidth="1"/>
    <col min="12" max="13" width="11.85546875" bestFit="1" customWidth="1"/>
    <col min="14" max="14" width="17.140625" bestFit="1" customWidth="1"/>
    <col min="15" max="16" width="11.28515625" bestFit="1" customWidth="1"/>
    <col min="18" max="18" width="11.140625" bestFit="1" customWidth="1"/>
    <col min="19" max="19" width="38.7109375" customWidth="1"/>
    <col min="20" max="20" width="9.7109375" bestFit="1" customWidth="1"/>
    <col min="21" max="21" width="10.28515625" bestFit="1" customWidth="1"/>
    <col min="22" max="22" width="10.42578125" bestFit="1" customWidth="1"/>
    <col min="24" max="24" width="11.28515625" bestFit="1" customWidth="1"/>
  </cols>
  <sheetData>
    <row r="1" spans="1:22" ht="25.5" x14ac:dyDescent="0.25">
      <c r="C1" s="1">
        <f>SUM(C3:C12)</f>
        <v>9699.6</v>
      </c>
      <c r="G1" s="6">
        <f>G3+G8</f>
        <v>11029.73</v>
      </c>
      <c r="I1" s="3" t="s">
        <v>77</v>
      </c>
      <c r="J1" s="4">
        <f>G1-C1</f>
        <v>1330.1299999999992</v>
      </c>
      <c r="L1" s="320">
        <v>43617</v>
      </c>
      <c r="M1" s="67" t="s">
        <v>78</v>
      </c>
      <c r="N1" s="68">
        <f>SUM(N2:N4)</f>
        <v>144404.54999999999</v>
      </c>
      <c r="P1" s="5"/>
      <c r="R1" s="69" t="s">
        <v>25</v>
      </c>
      <c r="S1" s="69" t="s">
        <v>26</v>
      </c>
      <c r="T1" s="69" t="s">
        <v>59</v>
      </c>
      <c r="U1" s="69" t="s">
        <v>60</v>
      </c>
      <c r="V1" s="69" t="s">
        <v>8</v>
      </c>
    </row>
    <row r="2" spans="1:22" ht="18" x14ac:dyDescent="0.25">
      <c r="A2" s="21" t="s">
        <v>52</v>
      </c>
      <c r="B2" s="21" t="s">
        <v>53</v>
      </c>
      <c r="C2" s="22" t="s">
        <v>54</v>
      </c>
      <c r="E2" s="21" t="s">
        <v>56</v>
      </c>
      <c r="F2" s="21" t="s">
        <v>13</v>
      </c>
      <c r="G2" s="22" t="s">
        <v>55</v>
      </c>
      <c r="I2" s="3"/>
      <c r="J2" s="4"/>
      <c r="L2" s="320"/>
      <c r="M2" s="67" t="s">
        <v>79</v>
      </c>
      <c r="N2" s="68">
        <f>G4</f>
        <v>106644.30313242109</v>
      </c>
      <c r="P2" s="2"/>
      <c r="R2" s="157">
        <v>43617</v>
      </c>
      <c r="S2" s="71" t="s">
        <v>61</v>
      </c>
      <c r="T2" s="72"/>
      <c r="U2" s="72"/>
      <c r="V2" s="72">
        <f>'May2019'!V19</f>
        <v>25112.118268527098</v>
      </c>
    </row>
    <row r="3" spans="1:22" ht="17.25" customHeight="1" x14ac:dyDescent="0.25">
      <c r="A3" t="s">
        <v>0</v>
      </c>
      <c r="B3" s="20">
        <v>43643</v>
      </c>
      <c r="C3" s="1">
        <v>0</v>
      </c>
      <c r="E3" s="20">
        <v>43640</v>
      </c>
      <c r="F3" t="s">
        <v>128</v>
      </c>
      <c r="G3" s="5">
        <v>9868.73</v>
      </c>
      <c r="H3" s="6">
        <f>G3-C1</f>
        <v>169.1299999999992</v>
      </c>
      <c r="L3" s="320"/>
      <c r="M3" s="67" t="s">
        <v>80</v>
      </c>
      <c r="N3" s="68">
        <f>G5</f>
        <v>12561.575157371772</v>
      </c>
      <c r="R3" s="157">
        <v>43617</v>
      </c>
      <c r="S3" s="71" t="s">
        <v>274</v>
      </c>
      <c r="T3" s="78"/>
      <c r="U3" s="78">
        <f>UOB!H6</f>
        <v>97.036257397762142</v>
      </c>
      <c r="V3" s="72">
        <f>V2+U3-T3</f>
        <v>25209.15452592486</v>
      </c>
    </row>
    <row r="4" spans="1:22" ht="17.25" customHeight="1" x14ac:dyDescent="0.25">
      <c r="A4" t="s">
        <v>1</v>
      </c>
      <c r="B4" s="20">
        <v>43643</v>
      </c>
      <c r="C4" s="1">
        <v>2108.86</v>
      </c>
      <c r="E4" s="20">
        <v>43617</v>
      </c>
      <c r="F4" t="s">
        <v>74</v>
      </c>
      <c r="G4" s="52">
        <f>UOB!S38</f>
        <v>106644.30313242109</v>
      </c>
      <c r="L4" s="320"/>
      <c r="M4" s="67" t="s">
        <v>123</v>
      </c>
      <c r="N4" s="68">
        <f>G6</f>
        <v>25198.671710207127</v>
      </c>
      <c r="R4" s="157">
        <v>43618</v>
      </c>
      <c r="S4" s="71" t="s">
        <v>44</v>
      </c>
      <c r="T4" s="78">
        <v>2647</v>
      </c>
      <c r="U4" s="78"/>
      <c r="V4" s="72">
        <f t="shared" ref="V4:V19" si="0">V3+U4-T4</f>
        <v>22562.15452592486</v>
      </c>
    </row>
    <row r="5" spans="1:22" ht="17.25" customHeight="1" x14ac:dyDescent="0.2">
      <c r="A5" t="s">
        <v>2</v>
      </c>
      <c r="B5" s="20">
        <v>43643</v>
      </c>
      <c r="C5" s="1">
        <v>454.83</v>
      </c>
      <c r="E5" s="20">
        <v>43617</v>
      </c>
      <c r="F5" t="s">
        <v>75</v>
      </c>
      <c r="G5" s="124">
        <f>UOB!S37</f>
        <v>12561.575157371772</v>
      </c>
      <c r="R5" s="157">
        <v>43634</v>
      </c>
      <c r="S5" s="71" t="s">
        <v>276</v>
      </c>
      <c r="T5" s="78">
        <v>512.87</v>
      </c>
      <c r="U5" s="78"/>
      <c r="V5" s="72">
        <f t="shared" si="0"/>
        <v>22049.284525924861</v>
      </c>
    </row>
    <row r="6" spans="1:22" ht="17.25" customHeight="1" x14ac:dyDescent="0.25">
      <c r="A6" t="s">
        <v>4</v>
      </c>
      <c r="B6" s="20">
        <v>43647</v>
      </c>
      <c r="C6" s="1">
        <v>3258.39</v>
      </c>
      <c r="E6" s="20">
        <v>43617</v>
      </c>
      <c r="F6" t="s">
        <v>76</v>
      </c>
      <c r="G6" s="5">
        <f>'UOB TXN 2019'!E62-'Jun2019'!G4-'Jun2019'!G5</f>
        <v>25198.671710207127</v>
      </c>
      <c r="L6" s="320">
        <v>43640</v>
      </c>
      <c r="M6" s="67" t="s">
        <v>78</v>
      </c>
      <c r="N6" s="68">
        <f>SUM(N7:N9)</f>
        <v>146084.05500372578</v>
      </c>
      <c r="O6" s="132">
        <v>146084.06</v>
      </c>
      <c r="P6" s="6">
        <f>O6-N6</f>
        <v>4.9962742195930332E-3</v>
      </c>
      <c r="R6" s="157">
        <v>43634</v>
      </c>
      <c r="S6" s="71" t="s">
        <v>277</v>
      </c>
      <c r="T6" s="78">
        <v>139.82</v>
      </c>
      <c r="U6" s="78"/>
      <c r="V6" s="72">
        <f t="shared" si="0"/>
        <v>21909.464525924861</v>
      </c>
    </row>
    <row r="7" spans="1:22" ht="15.75" customHeight="1" x14ac:dyDescent="0.25">
      <c r="A7" s="60" t="s">
        <v>246</v>
      </c>
      <c r="B7" s="61">
        <v>43647</v>
      </c>
      <c r="C7" s="62">
        <v>164.52</v>
      </c>
      <c r="D7" s="60"/>
      <c r="E7" s="20"/>
      <c r="G7" s="5"/>
      <c r="L7" s="320"/>
      <c r="M7" s="67" t="s">
        <v>79</v>
      </c>
      <c r="N7" s="68">
        <f>UOB!S41</f>
        <v>107983.68313242108</v>
      </c>
      <c r="O7" s="6"/>
      <c r="P7" s="6"/>
      <c r="R7" s="157">
        <v>43634</v>
      </c>
      <c r="S7" s="197" t="s">
        <v>278</v>
      </c>
      <c r="T7" s="78"/>
      <c r="U7" s="78">
        <v>37.94</v>
      </c>
      <c r="V7" s="72">
        <f>V6+U7-T7</f>
        <v>21947.40452592486</v>
      </c>
    </row>
    <row r="8" spans="1:22" ht="15.75" customHeight="1" x14ac:dyDescent="0.25">
      <c r="A8" s="60" t="s">
        <v>3</v>
      </c>
      <c r="B8" s="20">
        <v>43641</v>
      </c>
      <c r="C8" s="62">
        <v>93</v>
      </c>
      <c r="E8" s="20">
        <v>43617</v>
      </c>
      <c r="F8" t="s">
        <v>127</v>
      </c>
      <c r="G8" s="5">
        <v>1161</v>
      </c>
      <c r="L8" s="320"/>
      <c r="M8" s="67" t="s">
        <v>80</v>
      </c>
      <c r="N8" s="68">
        <f>UOB!S39</f>
        <v>12652.967345379842</v>
      </c>
      <c r="R8" s="157">
        <v>43640</v>
      </c>
      <c r="S8" s="71" t="s">
        <v>280</v>
      </c>
      <c r="T8" s="78"/>
      <c r="U8" s="78">
        <v>3500</v>
      </c>
      <c r="V8" s="72">
        <f>V7+U8-T8</f>
        <v>25447.40452592486</v>
      </c>
    </row>
    <row r="9" spans="1:22" ht="16.5" customHeight="1" x14ac:dyDescent="0.25">
      <c r="A9" t="s">
        <v>5</v>
      </c>
      <c r="B9" s="20">
        <v>43624</v>
      </c>
      <c r="C9" s="1">
        <v>120</v>
      </c>
      <c r="L9" s="320"/>
      <c r="M9" s="67" t="s">
        <v>123</v>
      </c>
      <c r="N9" s="68">
        <f>V8</f>
        <v>25447.40452592486</v>
      </c>
      <c r="R9" s="157"/>
      <c r="S9" s="71"/>
      <c r="T9" s="78"/>
      <c r="U9" s="78"/>
      <c r="V9" s="72">
        <f>V8+U9-T9</f>
        <v>25447.40452592486</v>
      </c>
    </row>
    <row r="10" spans="1:22" x14ac:dyDescent="0.2">
      <c r="A10" t="s">
        <v>7</v>
      </c>
      <c r="B10" s="20">
        <v>43640</v>
      </c>
      <c r="C10" s="1">
        <v>0</v>
      </c>
      <c r="R10" s="157"/>
      <c r="S10" s="71"/>
      <c r="T10" s="78"/>
      <c r="U10" s="78"/>
      <c r="V10" s="72">
        <f t="shared" ref="V10" si="1">V9+U10-T10</f>
        <v>25447.40452592486</v>
      </c>
    </row>
    <row r="11" spans="1:22" ht="10.5" customHeight="1" x14ac:dyDescent="0.2">
      <c r="A11" t="s">
        <v>129</v>
      </c>
      <c r="B11" s="20">
        <v>43644</v>
      </c>
      <c r="C11" s="1">
        <v>0</v>
      </c>
      <c r="R11" s="157"/>
      <c r="S11" s="188"/>
      <c r="T11" s="78"/>
      <c r="U11" s="78"/>
      <c r="V11" s="72">
        <f t="shared" si="0"/>
        <v>25447.40452592486</v>
      </c>
    </row>
    <row r="12" spans="1:22" x14ac:dyDescent="0.2">
      <c r="A12" t="s">
        <v>13</v>
      </c>
      <c r="B12" s="20">
        <v>43640</v>
      </c>
      <c r="C12" s="1">
        <v>3500</v>
      </c>
      <c r="E12" t="s">
        <v>67</v>
      </c>
      <c r="I12" s="6">
        <f>SUM(I13:I22)</f>
        <v>1479.2</v>
      </c>
      <c r="R12" s="157"/>
      <c r="S12" s="71"/>
      <c r="T12" s="78"/>
      <c r="U12" s="78"/>
      <c r="V12" s="72">
        <f t="shared" si="0"/>
        <v>25447.40452592486</v>
      </c>
    </row>
    <row r="13" spans="1:22" ht="13.5" customHeight="1" x14ac:dyDescent="0.2">
      <c r="B13" s="20"/>
      <c r="C13" s="1"/>
      <c r="E13" s="80">
        <v>43626</v>
      </c>
      <c r="F13" s="75" t="s">
        <v>68</v>
      </c>
      <c r="G13" s="77" t="s">
        <v>72</v>
      </c>
      <c r="H13" s="76">
        <v>35000</v>
      </c>
      <c r="I13" s="76">
        <v>164.65</v>
      </c>
      <c r="R13" s="157"/>
      <c r="S13" s="71"/>
      <c r="T13" s="78"/>
      <c r="U13" s="142"/>
      <c r="V13" s="72">
        <f t="shared" si="0"/>
        <v>25447.40452592486</v>
      </c>
    </row>
    <row r="14" spans="1:22" x14ac:dyDescent="0.2">
      <c r="B14" s="20"/>
      <c r="C14" s="1"/>
      <c r="E14" s="80">
        <v>43626</v>
      </c>
      <c r="F14" s="75" t="s">
        <v>69</v>
      </c>
      <c r="G14" s="77" t="s">
        <v>72</v>
      </c>
      <c r="H14" s="76">
        <v>50000</v>
      </c>
      <c r="I14" s="76">
        <v>174.11</v>
      </c>
      <c r="R14" s="157"/>
      <c r="S14" s="71"/>
      <c r="T14" s="78"/>
      <c r="U14" s="142"/>
      <c r="V14" s="72">
        <f t="shared" si="0"/>
        <v>25447.40452592486</v>
      </c>
    </row>
    <row r="15" spans="1:22" x14ac:dyDescent="0.2">
      <c r="E15" s="80">
        <v>43626</v>
      </c>
      <c r="F15" s="75" t="s">
        <v>70</v>
      </c>
      <c r="G15" s="77" t="s">
        <v>72</v>
      </c>
      <c r="H15" s="76">
        <v>50000</v>
      </c>
      <c r="I15" s="76">
        <v>174.11</v>
      </c>
      <c r="R15" s="157"/>
      <c r="S15" s="71"/>
      <c r="T15" s="67"/>
      <c r="U15" s="142"/>
      <c r="V15" s="72">
        <f t="shared" si="0"/>
        <v>25447.40452592486</v>
      </c>
    </row>
    <row r="16" spans="1:22" x14ac:dyDescent="0.2">
      <c r="E16" s="80">
        <v>43628</v>
      </c>
      <c r="F16" s="147" t="s">
        <v>158</v>
      </c>
      <c r="G16" s="148" t="s">
        <v>72</v>
      </c>
      <c r="H16" s="149">
        <v>11156.9</v>
      </c>
      <c r="I16" s="150">
        <v>37.9</v>
      </c>
      <c r="R16" s="157"/>
      <c r="S16" s="71"/>
      <c r="T16" s="78"/>
      <c r="U16" s="142"/>
      <c r="V16" s="72">
        <f t="shared" si="0"/>
        <v>25447.40452592486</v>
      </c>
    </row>
    <row r="17" spans="5:24" x14ac:dyDescent="0.2">
      <c r="E17" s="80">
        <v>43628</v>
      </c>
      <c r="F17" s="147" t="s">
        <v>159</v>
      </c>
      <c r="G17" s="148" t="s">
        <v>72</v>
      </c>
      <c r="H17" s="149">
        <v>30000</v>
      </c>
      <c r="I17" s="150">
        <v>101.92</v>
      </c>
      <c r="R17" s="157"/>
      <c r="S17" s="71"/>
      <c r="T17" s="152"/>
      <c r="V17" s="72">
        <f t="shared" si="0"/>
        <v>25447.40452592486</v>
      </c>
    </row>
    <row r="18" spans="5:24" x14ac:dyDescent="0.2">
      <c r="E18" s="80">
        <v>43637</v>
      </c>
      <c r="F18" s="81" t="s">
        <v>138</v>
      </c>
      <c r="G18" s="77" t="s">
        <v>72</v>
      </c>
      <c r="H18" s="76">
        <v>50000</v>
      </c>
      <c r="I18" s="76">
        <v>169.87</v>
      </c>
      <c r="R18" s="157"/>
      <c r="S18" s="71"/>
      <c r="T18" s="78"/>
      <c r="U18" s="78"/>
      <c r="V18" s="72">
        <f t="shared" si="0"/>
        <v>25447.40452592486</v>
      </c>
      <c r="X18" s="6"/>
    </row>
    <row r="19" spans="5:24" x14ac:dyDescent="0.2">
      <c r="E19" s="80">
        <v>43637</v>
      </c>
      <c r="F19" s="81" t="s">
        <v>137</v>
      </c>
      <c r="G19" s="77" t="s">
        <v>72</v>
      </c>
      <c r="H19" s="76">
        <v>50000</v>
      </c>
      <c r="I19" s="76">
        <v>169.87</v>
      </c>
      <c r="R19" s="157">
        <v>43646</v>
      </c>
      <c r="S19" s="71" t="s">
        <v>64</v>
      </c>
      <c r="T19" s="78">
        <v>0</v>
      </c>
      <c r="U19" s="78">
        <v>0</v>
      </c>
      <c r="V19" s="72">
        <f t="shared" si="0"/>
        <v>25447.40452592486</v>
      </c>
    </row>
    <row r="20" spans="5:24" x14ac:dyDescent="0.2">
      <c r="E20" s="80">
        <v>43637</v>
      </c>
      <c r="F20" s="81" t="s">
        <v>136</v>
      </c>
      <c r="G20" s="77" t="s">
        <v>72</v>
      </c>
      <c r="H20" s="76">
        <v>50000</v>
      </c>
      <c r="I20" s="76">
        <v>169.87</v>
      </c>
    </row>
    <row r="21" spans="5:24" x14ac:dyDescent="0.2">
      <c r="E21" s="80">
        <v>43637</v>
      </c>
      <c r="F21" s="81" t="s">
        <v>135</v>
      </c>
      <c r="G21" s="77" t="s">
        <v>72</v>
      </c>
      <c r="H21" s="76">
        <v>50000</v>
      </c>
      <c r="I21" s="76">
        <v>169.87</v>
      </c>
    </row>
    <row r="22" spans="5:24" x14ac:dyDescent="0.2">
      <c r="E22" s="80">
        <v>43637</v>
      </c>
      <c r="F22" s="81" t="s">
        <v>134</v>
      </c>
      <c r="G22" s="77" t="s">
        <v>72</v>
      </c>
      <c r="H22" s="76">
        <v>43278.7</v>
      </c>
      <c r="I22" s="76">
        <v>147.03</v>
      </c>
    </row>
    <row r="23" spans="5:24" ht="22.5" x14ac:dyDescent="0.2">
      <c r="E23" s="80">
        <v>43646</v>
      </c>
      <c r="F23" s="75" t="s">
        <v>57</v>
      </c>
      <c r="G23" s="77" t="s">
        <v>73</v>
      </c>
      <c r="H23" s="76">
        <v>141110.65</v>
      </c>
      <c r="I23" s="76">
        <v>558.25</v>
      </c>
    </row>
  </sheetData>
  <mergeCells count="2">
    <mergeCell ref="L1:L4"/>
    <mergeCell ref="L6:L9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B751A-3A0C-43D8-A782-253D9C277DE0}">
  <dimension ref="A1:X23"/>
  <sheetViews>
    <sheetView topLeftCell="J1" workbookViewId="0">
      <selection activeCell="V19" sqref="V19"/>
    </sheetView>
  </sheetViews>
  <sheetFormatPr defaultRowHeight="12.75" x14ac:dyDescent="0.2"/>
  <cols>
    <col min="1" max="1" width="29.42578125" bestFit="1" customWidth="1"/>
    <col min="2" max="2" width="11.7109375" bestFit="1" customWidth="1"/>
    <col min="3" max="3" width="12.140625" bestFit="1" customWidth="1"/>
    <col min="5" max="5" width="11.7109375" bestFit="1" customWidth="1"/>
    <col min="6" max="6" width="23.28515625" bestFit="1" customWidth="1"/>
    <col min="7" max="8" width="11.28515625" bestFit="1" customWidth="1"/>
    <col min="9" max="9" width="18.5703125" bestFit="1" customWidth="1"/>
    <col min="10" max="10" width="10.140625" bestFit="1" customWidth="1"/>
    <col min="11" max="11" width="10.140625" customWidth="1"/>
    <col min="12" max="13" width="11.85546875" bestFit="1" customWidth="1"/>
    <col min="14" max="14" width="17.140625" bestFit="1" customWidth="1"/>
    <col min="15" max="16" width="11.28515625" bestFit="1" customWidth="1"/>
    <col min="18" max="18" width="11.140625" bestFit="1" customWidth="1"/>
    <col min="19" max="19" width="38.7109375" customWidth="1"/>
    <col min="20" max="20" width="9.7109375" bestFit="1" customWidth="1"/>
    <col min="21" max="21" width="10.28515625" bestFit="1" customWidth="1"/>
    <col min="22" max="22" width="10.42578125" bestFit="1" customWidth="1"/>
    <col min="24" max="24" width="11.28515625" bestFit="1" customWidth="1"/>
  </cols>
  <sheetData>
    <row r="1" spans="1:22" ht="25.5" x14ac:dyDescent="0.25">
      <c r="C1" s="1">
        <f>SUM(C3:C12)</f>
        <v>7647.6399999999994</v>
      </c>
      <c r="G1" s="6">
        <f>G3+G8</f>
        <v>9869.15</v>
      </c>
      <c r="I1" s="3" t="s">
        <v>77</v>
      </c>
      <c r="J1" s="4">
        <f>G1-C1</f>
        <v>2221.5100000000002</v>
      </c>
      <c r="L1" s="320">
        <v>43647</v>
      </c>
      <c r="M1" s="67" t="s">
        <v>78</v>
      </c>
      <c r="N1" s="68">
        <f>SUM(N2:N4)</f>
        <v>107700.98999999999</v>
      </c>
      <c r="O1" s="6">
        <f>'UOB TXN 2019'!E72</f>
        <v>107700.98999999999</v>
      </c>
      <c r="P1" s="5">
        <f>O1-N1</f>
        <v>0</v>
      </c>
      <c r="R1" s="69" t="s">
        <v>25</v>
      </c>
      <c r="S1" s="69" t="s">
        <v>26</v>
      </c>
      <c r="T1" s="69" t="s">
        <v>59</v>
      </c>
      <c r="U1" s="69" t="s">
        <v>60</v>
      </c>
      <c r="V1" s="69" t="s">
        <v>8</v>
      </c>
    </row>
    <row r="2" spans="1:22" ht="18" x14ac:dyDescent="0.25">
      <c r="A2" s="21" t="s">
        <v>52</v>
      </c>
      <c r="B2" s="21" t="s">
        <v>53</v>
      </c>
      <c r="C2" s="22" t="s">
        <v>54</v>
      </c>
      <c r="E2" s="21" t="s">
        <v>56</v>
      </c>
      <c r="F2" s="21" t="s">
        <v>13</v>
      </c>
      <c r="G2" s="22" t="s">
        <v>55</v>
      </c>
      <c r="I2" s="3"/>
      <c r="J2" s="4"/>
      <c r="L2" s="320"/>
      <c r="M2" s="67" t="s">
        <v>79</v>
      </c>
      <c r="N2" s="68">
        <f>UOB!S48</f>
        <v>69435.148442703692</v>
      </c>
      <c r="O2" s="6"/>
      <c r="P2" s="2"/>
      <c r="R2" s="157">
        <v>43647</v>
      </c>
      <c r="S2" s="234" t="s">
        <v>61</v>
      </c>
      <c r="T2" s="72"/>
      <c r="U2" s="72"/>
      <c r="V2" s="72">
        <f>'Jun2019'!V19</f>
        <v>25447.40452592486</v>
      </c>
    </row>
    <row r="3" spans="1:22" ht="17.25" customHeight="1" x14ac:dyDescent="0.25">
      <c r="A3" t="s">
        <v>0</v>
      </c>
      <c r="B3" s="20">
        <v>43673</v>
      </c>
      <c r="C3" s="1">
        <v>0</v>
      </c>
      <c r="E3" s="20">
        <v>43670</v>
      </c>
      <c r="F3" t="s">
        <v>128</v>
      </c>
      <c r="G3" s="5">
        <v>9869.15</v>
      </c>
      <c r="H3" s="6">
        <f>G3-C1</f>
        <v>2221.5100000000002</v>
      </c>
      <c r="L3" s="320"/>
      <c r="M3" s="67" t="s">
        <v>80</v>
      </c>
      <c r="N3" s="68">
        <f>UOB!S47</f>
        <v>12698.332565999604</v>
      </c>
      <c r="R3" s="157">
        <v>43647</v>
      </c>
      <c r="S3" s="234" t="s">
        <v>292</v>
      </c>
      <c r="T3" s="72"/>
      <c r="U3" s="72">
        <f>UOB!H7</f>
        <v>120.10446537182931</v>
      </c>
      <c r="V3" s="72">
        <f>V2+U3-T3</f>
        <v>25567.508991296691</v>
      </c>
    </row>
    <row r="4" spans="1:22" ht="17.25" customHeight="1" x14ac:dyDescent="0.25">
      <c r="A4" t="s">
        <v>1</v>
      </c>
      <c r="B4" s="20">
        <v>43673</v>
      </c>
      <c r="C4" s="1">
        <v>20.78</v>
      </c>
      <c r="E4" s="20">
        <v>43647</v>
      </c>
      <c r="F4" t="s">
        <v>74</v>
      </c>
      <c r="G4" s="52">
        <f>UOB!S38</f>
        <v>106644.30313242109</v>
      </c>
      <c r="L4" s="320"/>
      <c r="M4" s="67" t="s">
        <v>123</v>
      </c>
      <c r="N4" s="68">
        <f>V3</f>
        <v>25567.508991296691</v>
      </c>
      <c r="R4" s="157">
        <v>43647</v>
      </c>
      <c r="S4" s="234" t="s">
        <v>293</v>
      </c>
      <c r="T4" s="72">
        <v>8</v>
      </c>
      <c r="U4" s="72"/>
      <c r="V4" s="72">
        <f t="shared" ref="V4:V19" si="0">V3+U4-T4</f>
        <v>25559.508991296691</v>
      </c>
    </row>
    <row r="5" spans="1:22" ht="17.25" customHeight="1" x14ac:dyDescent="0.2">
      <c r="A5" t="s">
        <v>2</v>
      </c>
      <c r="B5" s="20">
        <v>43673</v>
      </c>
      <c r="C5" s="1">
        <v>337.41</v>
      </c>
      <c r="E5" s="20">
        <v>43647</v>
      </c>
      <c r="F5" t="s">
        <v>75</v>
      </c>
      <c r="G5" s="124">
        <f>UOB!S37</f>
        <v>12561.575157371772</v>
      </c>
      <c r="R5" s="157">
        <v>43648</v>
      </c>
      <c r="S5" s="234" t="s">
        <v>44</v>
      </c>
      <c r="T5" s="72">
        <v>2208</v>
      </c>
      <c r="U5" s="72"/>
      <c r="V5" s="72">
        <f t="shared" si="0"/>
        <v>23351.508991296691</v>
      </c>
    </row>
    <row r="6" spans="1:22" ht="17.25" customHeight="1" x14ac:dyDescent="0.25">
      <c r="A6" t="s">
        <v>4</v>
      </c>
      <c r="B6" s="20">
        <v>43647</v>
      </c>
      <c r="C6" s="1">
        <v>2138.71</v>
      </c>
      <c r="E6" s="20">
        <v>43647</v>
      </c>
      <c r="F6" t="s">
        <v>76</v>
      </c>
      <c r="G6" s="5">
        <f>'UOB TXN 2019'!E62-'Jul2019'!G4-'Jul2019'!G5</f>
        <v>25198.671710207127</v>
      </c>
      <c r="L6" s="320">
        <v>43670</v>
      </c>
      <c r="M6" s="67" t="s">
        <v>78</v>
      </c>
      <c r="N6" s="68">
        <f>SUM(N7:N9)</f>
        <v>132385.79999999999</v>
      </c>
      <c r="O6" s="132">
        <v>132385.79999999999</v>
      </c>
      <c r="P6" s="6">
        <f>O6-N6</f>
        <v>0</v>
      </c>
      <c r="R6" s="157">
        <v>43648</v>
      </c>
      <c r="S6" s="234" t="s">
        <v>300</v>
      </c>
      <c r="T6" s="72">
        <v>1000</v>
      </c>
      <c r="U6" s="72"/>
      <c r="V6" s="72">
        <f t="shared" si="0"/>
        <v>22351.508991296691</v>
      </c>
    </row>
    <row r="7" spans="1:22" ht="15.75" customHeight="1" x14ac:dyDescent="0.25">
      <c r="A7" s="60" t="s">
        <v>246</v>
      </c>
      <c r="B7" s="61">
        <v>43647</v>
      </c>
      <c r="C7" s="62">
        <v>199.64</v>
      </c>
      <c r="D7" s="60"/>
      <c r="E7" s="20"/>
      <c r="G7" s="5"/>
      <c r="L7" s="320"/>
      <c r="M7" s="67" t="s">
        <v>79</v>
      </c>
      <c r="N7" s="68">
        <f>UOB!S53</f>
        <v>94225.168442703696</v>
      </c>
      <c r="O7" s="6"/>
      <c r="P7" s="6"/>
      <c r="R7" s="157">
        <v>43655</v>
      </c>
      <c r="S7" s="234" t="s">
        <v>303</v>
      </c>
      <c r="T7" s="72">
        <f>775-270-0.48</f>
        <v>504.52</v>
      </c>
      <c r="U7" s="72"/>
      <c r="V7" s="72">
        <f>V6+U7-T7</f>
        <v>21846.98899129669</v>
      </c>
    </row>
    <row r="8" spans="1:22" ht="15.75" customHeight="1" x14ac:dyDescent="0.25">
      <c r="A8" s="60" t="s">
        <v>3</v>
      </c>
      <c r="B8" s="20">
        <v>43671</v>
      </c>
      <c r="C8" s="62">
        <v>93</v>
      </c>
      <c r="E8" s="20">
        <v>43647</v>
      </c>
      <c r="F8" t="s">
        <v>127</v>
      </c>
      <c r="G8" s="5">
        <v>0</v>
      </c>
      <c r="L8" s="320"/>
      <c r="M8" s="67" t="s">
        <v>80</v>
      </c>
      <c r="N8" s="68">
        <f>UOB!S52</f>
        <v>12833.642565999604</v>
      </c>
      <c r="R8" s="157">
        <v>43655</v>
      </c>
      <c r="S8" s="234" t="s">
        <v>303</v>
      </c>
      <c r="T8" s="72">
        <v>270</v>
      </c>
      <c r="U8" s="72"/>
      <c r="V8" s="72">
        <f>V7+U8-T8</f>
        <v>21576.98899129669</v>
      </c>
    </row>
    <row r="9" spans="1:22" ht="16.5" customHeight="1" x14ac:dyDescent="0.25">
      <c r="A9" t="s">
        <v>5</v>
      </c>
      <c r="B9" s="20">
        <v>43654</v>
      </c>
      <c r="C9" s="1">
        <v>120</v>
      </c>
      <c r="L9" s="320"/>
      <c r="M9" s="67" t="s">
        <v>123</v>
      </c>
      <c r="N9" s="68">
        <f>V19</f>
        <v>25326.98899129669</v>
      </c>
      <c r="R9" s="157">
        <v>43658</v>
      </c>
      <c r="S9" s="234" t="s">
        <v>303</v>
      </c>
      <c r="T9" s="72">
        <v>0</v>
      </c>
      <c r="U9" s="72"/>
      <c r="V9" s="72">
        <f>V8+U9-T9</f>
        <v>21576.98899129669</v>
      </c>
    </row>
    <row r="10" spans="1:22" x14ac:dyDescent="0.2">
      <c r="A10" t="s">
        <v>7</v>
      </c>
      <c r="B10" s="20">
        <v>43670</v>
      </c>
      <c r="C10" s="1">
        <v>0</v>
      </c>
      <c r="R10" s="157" t="s">
        <v>309</v>
      </c>
      <c r="S10" s="234" t="s">
        <v>310</v>
      </c>
      <c r="T10" s="72">
        <v>250</v>
      </c>
      <c r="U10" s="72">
        <v>0</v>
      </c>
      <c r="V10" s="72">
        <f t="shared" ref="V10" si="1">V9+U10-T10</f>
        <v>21326.98899129669</v>
      </c>
    </row>
    <row r="11" spans="1:22" ht="10.5" customHeight="1" x14ac:dyDescent="0.2">
      <c r="A11" t="s">
        <v>129</v>
      </c>
      <c r="B11" s="20">
        <v>43674</v>
      </c>
      <c r="C11" s="1">
        <f>369.05*2</f>
        <v>738.1</v>
      </c>
      <c r="R11" s="157" t="s">
        <v>311</v>
      </c>
      <c r="S11" s="234" t="s">
        <v>314</v>
      </c>
      <c r="T11" s="72">
        <v>0</v>
      </c>
      <c r="U11" s="72">
        <v>4000</v>
      </c>
      <c r="V11" s="72">
        <f t="shared" si="0"/>
        <v>25326.98899129669</v>
      </c>
    </row>
    <row r="12" spans="1:22" x14ac:dyDescent="0.2">
      <c r="A12" t="s">
        <v>13</v>
      </c>
      <c r="B12" s="20">
        <v>43670</v>
      </c>
      <c r="C12" s="1">
        <v>4000</v>
      </c>
      <c r="E12" t="s">
        <v>67</v>
      </c>
      <c r="I12" s="6">
        <f>SUM(I13:I22)</f>
        <v>1331.03</v>
      </c>
      <c r="R12" s="157"/>
      <c r="S12" s="71"/>
      <c r="T12" s="72"/>
      <c r="U12" s="72"/>
      <c r="V12" s="72">
        <f t="shared" si="0"/>
        <v>25326.98899129669</v>
      </c>
    </row>
    <row r="13" spans="1:22" ht="13.5" customHeight="1" x14ac:dyDescent="0.2">
      <c r="B13" s="20"/>
      <c r="C13" s="1"/>
      <c r="E13" s="80">
        <v>43656</v>
      </c>
      <c r="F13" s="75" t="s">
        <v>68</v>
      </c>
      <c r="G13" s="77" t="s">
        <v>72</v>
      </c>
      <c r="H13" s="76">
        <v>35000</v>
      </c>
      <c r="I13" s="76">
        <v>118.53</v>
      </c>
      <c r="R13" s="157"/>
      <c r="S13" s="71"/>
      <c r="T13" s="72"/>
      <c r="U13" s="72"/>
      <c r="V13" s="72">
        <f t="shared" si="0"/>
        <v>25326.98899129669</v>
      </c>
    </row>
    <row r="14" spans="1:22" x14ac:dyDescent="0.2">
      <c r="B14" s="20"/>
      <c r="C14" s="1"/>
      <c r="E14" s="80">
        <v>43656</v>
      </c>
      <c r="F14" s="75" t="s">
        <v>69</v>
      </c>
      <c r="G14" s="77" t="s">
        <v>72</v>
      </c>
      <c r="H14" s="76">
        <v>50000</v>
      </c>
      <c r="I14" s="76">
        <v>125.34</v>
      </c>
      <c r="R14" s="157"/>
      <c r="S14" s="71"/>
      <c r="T14" s="72"/>
      <c r="U14" s="72"/>
      <c r="V14" s="72">
        <f t="shared" si="0"/>
        <v>25326.98899129669</v>
      </c>
    </row>
    <row r="15" spans="1:22" x14ac:dyDescent="0.2">
      <c r="E15" s="80">
        <v>43656</v>
      </c>
      <c r="F15" s="75" t="s">
        <v>70</v>
      </c>
      <c r="G15" s="77" t="s">
        <v>72</v>
      </c>
      <c r="H15" s="76">
        <v>50000</v>
      </c>
      <c r="I15" s="76">
        <v>125.34</v>
      </c>
      <c r="J15" s="6">
        <f>SUM(I13:I15)</f>
        <v>369.21000000000004</v>
      </c>
      <c r="R15" s="157"/>
      <c r="S15" s="71"/>
      <c r="T15" s="72"/>
      <c r="U15" s="72"/>
      <c r="V15" s="72">
        <f t="shared" si="0"/>
        <v>25326.98899129669</v>
      </c>
    </row>
    <row r="16" spans="1:22" x14ac:dyDescent="0.2">
      <c r="E16" s="80">
        <v>43658</v>
      </c>
      <c r="F16" s="147" t="s">
        <v>158</v>
      </c>
      <c r="G16" s="148" t="s">
        <v>72</v>
      </c>
      <c r="H16" s="149">
        <v>11156.9</v>
      </c>
      <c r="I16" s="150">
        <v>36.68</v>
      </c>
      <c r="R16" s="157"/>
      <c r="S16" s="71"/>
      <c r="T16" s="72"/>
      <c r="U16" s="72"/>
      <c r="V16" s="72">
        <f t="shared" si="0"/>
        <v>25326.98899129669</v>
      </c>
    </row>
    <row r="17" spans="5:24" x14ac:dyDescent="0.2">
      <c r="E17" s="80">
        <v>43658</v>
      </c>
      <c r="F17" s="147" t="s">
        <v>159</v>
      </c>
      <c r="G17" s="148" t="s">
        <v>72</v>
      </c>
      <c r="H17" s="149">
        <v>30000</v>
      </c>
      <c r="I17" s="150">
        <v>98.63</v>
      </c>
      <c r="R17" s="157"/>
      <c r="S17" s="71"/>
      <c r="T17" s="72"/>
      <c r="U17" s="72"/>
      <c r="V17" s="72">
        <f t="shared" si="0"/>
        <v>25326.98899129669</v>
      </c>
    </row>
    <row r="18" spans="5:24" x14ac:dyDescent="0.2">
      <c r="E18" s="80">
        <v>43667</v>
      </c>
      <c r="F18" s="81" t="s">
        <v>138</v>
      </c>
      <c r="G18" s="77" t="s">
        <v>72</v>
      </c>
      <c r="H18" s="76">
        <v>50000</v>
      </c>
      <c r="I18" s="76">
        <v>169.87</v>
      </c>
      <c r="R18" s="157"/>
      <c r="S18" s="71"/>
      <c r="T18" s="72"/>
      <c r="U18" s="72"/>
      <c r="V18" s="72">
        <f t="shared" si="0"/>
        <v>25326.98899129669</v>
      </c>
      <c r="X18" s="6"/>
    </row>
    <row r="19" spans="5:24" x14ac:dyDescent="0.2">
      <c r="E19" s="80">
        <v>43667</v>
      </c>
      <c r="F19" s="81" t="s">
        <v>137</v>
      </c>
      <c r="G19" s="77" t="s">
        <v>72</v>
      </c>
      <c r="H19" s="76">
        <v>50000</v>
      </c>
      <c r="I19" s="76">
        <v>169.87</v>
      </c>
      <c r="R19" s="157">
        <v>43677</v>
      </c>
      <c r="S19" s="71" t="s">
        <v>64</v>
      </c>
      <c r="T19" s="72">
        <v>0</v>
      </c>
      <c r="U19" s="72">
        <v>0</v>
      </c>
      <c r="V19" s="72">
        <f t="shared" si="0"/>
        <v>25326.98899129669</v>
      </c>
    </row>
    <row r="20" spans="5:24" x14ac:dyDescent="0.2">
      <c r="E20" s="80">
        <v>43667</v>
      </c>
      <c r="F20" s="81" t="s">
        <v>136</v>
      </c>
      <c r="G20" s="77" t="s">
        <v>72</v>
      </c>
      <c r="H20" s="76">
        <v>50000</v>
      </c>
      <c r="I20" s="76">
        <v>169.87</v>
      </c>
    </row>
    <row r="21" spans="5:24" x14ac:dyDescent="0.2">
      <c r="E21" s="80">
        <v>43667</v>
      </c>
      <c r="F21" s="81" t="s">
        <v>135</v>
      </c>
      <c r="G21" s="77" t="s">
        <v>72</v>
      </c>
      <c r="H21" s="76">
        <v>50000</v>
      </c>
      <c r="I21" s="76">
        <v>169.87</v>
      </c>
    </row>
    <row r="22" spans="5:24" x14ac:dyDescent="0.2">
      <c r="E22" s="80">
        <v>43667</v>
      </c>
      <c r="F22" s="81" t="s">
        <v>134</v>
      </c>
      <c r="G22" s="77" t="s">
        <v>72</v>
      </c>
      <c r="H22" s="76">
        <v>43278.7</v>
      </c>
      <c r="I22" s="76">
        <v>147.03</v>
      </c>
    </row>
    <row r="23" spans="5:24" ht="22.5" x14ac:dyDescent="0.2">
      <c r="E23" s="80">
        <v>43676</v>
      </c>
      <c r="F23" s="75" t="s">
        <v>57</v>
      </c>
      <c r="G23" s="77" t="s">
        <v>73</v>
      </c>
      <c r="H23" s="76">
        <v>141110.65</v>
      </c>
      <c r="I23" s="76">
        <v>558.25</v>
      </c>
    </row>
  </sheetData>
  <mergeCells count="2">
    <mergeCell ref="L1:L4"/>
    <mergeCell ref="L6:L9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2749-C39B-4070-9ABB-0E27CC76B6C6}">
  <dimension ref="A1:X23"/>
  <sheetViews>
    <sheetView workbookViewId="0">
      <selection activeCell="O21" sqref="O21"/>
    </sheetView>
  </sheetViews>
  <sheetFormatPr defaultRowHeight="12.75" x14ac:dyDescent="0.2"/>
  <cols>
    <col min="1" max="1" width="29.42578125" bestFit="1" customWidth="1"/>
    <col min="2" max="2" width="11.7109375" bestFit="1" customWidth="1"/>
    <col min="3" max="3" width="12.140625" bestFit="1" customWidth="1"/>
    <col min="5" max="5" width="11.7109375" bestFit="1" customWidth="1"/>
    <col min="6" max="6" width="23.28515625" bestFit="1" customWidth="1"/>
    <col min="7" max="8" width="11.28515625" bestFit="1" customWidth="1"/>
    <col min="9" max="9" width="18.5703125" bestFit="1" customWidth="1"/>
    <col min="10" max="10" width="10.140625" bestFit="1" customWidth="1"/>
    <col min="11" max="11" width="10.140625" customWidth="1"/>
    <col min="12" max="13" width="11.85546875" bestFit="1" customWidth="1"/>
    <col min="14" max="14" width="17.140625" bestFit="1" customWidth="1"/>
    <col min="15" max="16" width="11.28515625" bestFit="1" customWidth="1"/>
    <col min="18" max="18" width="11.140625" bestFit="1" customWidth="1"/>
    <col min="19" max="19" width="38.7109375" customWidth="1"/>
    <col min="20" max="20" width="9.7109375" bestFit="1" customWidth="1"/>
    <col min="21" max="21" width="10.28515625" bestFit="1" customWidth="1"/>
    <col min="22" max="22" width="10.42578125" bestFit="1" customWidth="1"/>
    <col min="24" max="24" width="11.28515625" bestFit="1" customWidth="1"/>
  </cols>
  <sheetData>
    <row r="1" spans="1:24" ht="25.5" x14ac:dyDescent="0.25">
      <c r="C1" s="1">
        <f>SUM(C3:C12)</f>
        <v>7717.7300000000005</v>
      </c>
      <c r="G1" s="6">
        <f>G3+G8</f>
        <v>9868.68</v>
      </c>
      <c r="I1" s="3" t="s">
        <v>77</v>
      </c>
      <c r="J1" s="4">
        <f>G1-C1</f>
        <v>2150.9499999999998</v>
      </c>
      <c r="L1" s="320">
        <v>43678</v>
      </c>
      <c r="M1" s="67" t="s">
        <v>78</v>
      </c>
      <c r="N1" s="68">
        <f>SUM(N2:N4)</f>
        <v>132862.3234961417</v>
      </c>
      <c r="O1" s="240"/>
      <c r="P1" s="5"/>
      <c r="R1" s="69" t="s">
        <v>25</v>
      </c>
      <c r="S1" s="69" t="s">
        <v>26</v>
      </c>
      <c r="T1" s="69" t="s">
        <v>59</v>
      </c>
      <c r="U1" s="69" t="s">
        <v>60</v>
      </c>
      <c r="V1" s="69" t="s">
        <v>8</v>
      </c>
    </row>
    <row r="2" spans="1:24" ht="18" x14ac:dyDescent="0.25">
      <c r="A2" s="21" t="s">
        <v>52</v>
      </c>
      <c r="B2" s="21" t="s">
        <v>53</v>
      </c>
      <c r="C2" s="22" t="s">
        <v>54</v>
      </c>
      <c r="E2" s="21" t="s">
        <v>56</v>
      </c>
      <c r="F2" s="21" t="s">
        <v>13</v>
      </c>
      <c r="G2" s="22" t="s">
        <v>55</v>
      </c>
      <c r="I2" s="3"/>
      <c r="J2" s="4"/>
      <c r="L2" s="320"/>
      <c r="M2" s="67" t="s">
        <v>79</v>
      </c>
      <c r="N2" s="68">
        <f>UOB!S55</f>
        <v>94567.189715058528</v>
      </c>
      <c r="O2" s="6"/>
      <c r="P2" s="2"/>
      <c r="R2" s="157">
        <v>43678</v>
      </c>
      <c r="S2" s="71" t="s">
        <v>61</v>
      </c>
      <c r="T2" s="72"/>
      <c r="U2" s="72"/>
      <c r="V2" s="72">
        <v>25326.98899129669</v>
      </c>
    </row>
    <row r="3" spans="1:24" ht="17.25" customHeight="1" x14ac:dyDescent="0.25">
      <c r="A3" t="s">
        <v>0</v>
      </c>
      <c r="B3" s="20">
        <v>43705</v>
      </c>
      <c r="C3" s="1">
        <v>0</v>
      </c>
      <c r="E3" s="20">
        <v>43670</v>
      </c>
      <c r="F3" t="s">
        <v>128</v>
      </c>
      <c r="G3" s="5">
        <v>9868.68</v>
      </c>
      <c r="H3" s="6">
        <f>G3-C1</f>
        <v>2150.9499999999998</v>
      </c>
      <c r="L3" s="320"/>
      <c r="M3" s="67" t="s">
        <v>80</v>
      </c>
      <c r="N3" s="68">
        <f>UOB!S54</f>
        <v>12876.98080698673</v>
      </c>
      <c r="R3" s="157">
        <v>43678</v>
      </c>
      <c r="S3" s="71" t="s">
        <v>317</v>
      </c>
      <c r="T3" s="78"/>
      <c r="U3" s="78">
        <v>91.163982799761754</v>
      </c>
      <c r="V3" s="72">
        <f>V2+U3-T3</f>
        <v>25418.152974096451</v>
      </c>
    </row>
    <row r="4" spans="1:24" ht="17.25" customHeight="1" x14ac:dyDescent="0.25">
      <c r="A4" t="s">
        <v>1</v>
      </c>
      <c r="B4" s="20">
        <v>43705</v>
      </c>
      <c r="C4" s="1">
        <v>914.66</v>
      </c>
      <c r="E4" s="20">
        <v>43647</v>
      </c>
      <c r="F4" t="s">
        <v>74</v>
      </c>
      <c r="G4" s="52">
        <f>UOB!S38</f>
        <v>106644.30313242109</v>
      </c>
      <c r="L4" s="320"/>
      <c r="M4" s="67" t="s">
        <v>123</v>
      </c>
      <c r="N4" s="68">
        <f>V3</f>
        <v>25418.152974096451</v>
      </c>
      <c r="R4" s="157" t="s">
        <v>316</v>
      </c>
      <c r="S4" s="260" t="s">
        <v>44</v>
      </c>
      <c r="T4" s="261">
        <v>2208</v>
      </c>
      <c r="U4" s="261">
        <v>0</v>
      </c>
      <c r="V4" s="72">
        <f t="shared" ref="V4:V19" si="0">V3+U4-T4</f>
        <v>23210.152974096451</v>
      </c>
    </row>
    <row r="5" spans="1:24" ht="17.25" customHeight="1" x14ac:dyDescent="0.2">
      <c r="A5" t="s">
        <v>2</v>
      </c>
      <c r="B5" s="20">
        <v>43705</v>
      </c>
      <c r="C5" s="1">
        <v>2579.46</v>
      </c>
      <c r="E5" s="20">
        <v>43647</v>
      </c>
      <c r="F5" t="s">
        <v>75</v>
      </c>
      <c r="G5" s="124">
        <f>UOB!S37</f>
        <v>12561.575157371772</v>
      </c>
      <c r="R5" s="157">
        <v>43693</v>
      </c>
      <c r="S5" s="71" t="s">
        <v>324</v>
      </c>
      <c r="T5" s="78">
        <f>139.82+381.53</f>
        <v>521.34999999999991</v>
      </c>
      <c r="U5" s="78"/>
      <c r="V5" s="72">
        <f t="shared" si="0"/>
        <v>22688.802974096452</v>
      </c>
    </row>
    <row r="6" spans="1:24" ht="17.25" customHeight="1" x14ac:dyDescent="0.25">
      <c r="A6" t="s">
        <v>4</v>
      </c>
      <c r="B6" s="20">
        <v>43708</v>
      </c>
      <c r="C6" s="1">
        <v>2791.56</v>
      </c>
      <c r="E6" s="20">
        <v>43647</v>
      </c>
      <c r="F6" t="s">
        <v>76</v>
      </c>
      <c r="G6" s="5">
        <f>'UOB TXN 2019'!E62-'Aug2019'!G4-'Aug2019'!G5</f>
        <v>25198.671710207127</v>
      </c>
      <c r="L6" s="320">
        <v>43704</v>
      </c>
      <c r="M6" s="67" t="s">
        <v>78</v>
      </c>
      <c r="N6" s="68">
        <f>SUM(N7:N9)</f>
        <v>90053.323496141718</v>
      </c>
      <c r="O6" s="132">
        <v>90653.319999999978</v>
      </c>
      <c r="P6" s="6">
        <f>N6-O6</f>
        <v>-599.99650385825953</v>
      </c>
      <c r="R6" s="157">
        <v>43704</v>
      </c>
      <c r="S6" s="262" t="s">
        <v>339</v>
      </c>
      <c r="T6" s="262">
        <v>600</v>
      </c>
      <c r="U6" s="78"/>
      <c r="V6" s="72">
        <f t="shared" si="0"/>
        <v>22088.802974096452</v>
      </c>
      <c r="X6" s="6">
        <f>T5+T6-230</f>
        <v>891.34999999999991</v>
      </c>
    </row>
    <row r="7" spans="1:24" ht="15.75" customHeight="1" x14ac:dyDescent="0.25">
      <c r="A7" s="60" t="s">
        <v>246</v>
      </c>
      <c r="B7" s="61">
        <v>43708</v>
      </c>
      <c r="C7" s="62">
        <v>0</v>
      </c>
      <c r="D7" s="60"/>
      <c r="E7" s="20"/>
      <c r="G7" s="5"/>
      <c r="L7" s="320"/>
      <c r="M7" s="67" t="s">
        <v>79</v>
      </c>
      <c r="N7" s="68">
        <f>UOB!S59</f>
        <v>54947.719715058527</v>
      </c>
      <c r="O7" s="6"/>
      <c r="P7" s="6"/>
      <c r="R7" s="157"/>
      <c r="S7" s="263"/>
      <c r="T7" s="78"/>
      <c r="U7" s="78"/>
      <c r="V7" s="72">
        <f>V6+U7-T7</f>
        <v>22088.802974096452</v>
      </c>
    </row>
    <row r="8" spans="1:24" ht="15.75" customHeight="1" x14ac:dyDescent="0.25">
      <c r="A8" s="60" t="s">
        <v>3</v>
      </c>
      <c r="B8" s="20">
        <v>43702</v>
      </c>
      <c r="C8" s="62">
        <v>93</v>
      </c>
      <c r="E8" s="20">
        <v>43678</v>
      </c>
      <c r="F8" t="s">
        <v>127</v>
      </c>
      <c r="G8" s="5">
        <v>0</v>
      </c>
      <c r="L8" s="320"/>
      <c r="M8" s="67" t="s">
        <v>80</v>
      </c>
      <c r="N8" s="68">
        <f>UOB!S57</f>
        <v>13016.80080698673</v>
      </c>
      <c r="R8" s="157"/>
      <c r="S8" s="263"/>
      <c r="T8" s="78"/>
      <c r="U8" s="78"/>
      <c r="V8" s="72">
        <f>V7+U8-T8</f>
        <v>22088.802974096452</v>
      </c>
    </row>
    <row r="9" spans="1:24" ht="16.5" customHeight="1" x14ac:dyDescent="0.25">
      <c r="A9" t="s">
        <v>5</v>
      </c>
      <c r="B9" s="20">
        <v>43685</v>
      </c>
      <c r="C9" s="1">
        <v>120</v>
      </c>
      <c r="L9" s="320"/>
      <c r="M9" s="67" t="s">
        <v>123</v>
      </c>
      <c r="N9" s="68">
        <f>V19</f>
        <v>22088.802974096452</v>
      </c>
      <c r="R9" s="157"/>
      <c r="S9" s="263"/>
      <c r="T9" s="78"/>
      <c r="U9" s="78"/>
      <c r="V9" s="72">
        <f>V8+U9-T9</f>
        <v>22088.802974096452</v>
      </c>
    </row>
    <row r="10" spans="1:24" x14ac:dyDescent="0.2">
      <c r="A10" t="s">
        <v>325</v>
      </c>
      <c r="B10" s="20">
        <v>43701</v>
      </c>
      <c r="C10" s="1">
        <v>850</v>
      </c>
      <c r="R10" s="262"/>
      <c r="S10" s="262"/>
      <c r="T10" s="262"/>
      <c r="U10" s="262"/>
      <c r="V10" s="72">
        <f t="shared" ref="V10" si="1">V9+U10-T10</f>
        <v>22088.802974096452</v>
      </c>
    </row>
    <row r="11" spans="1:24" ht="10.5" customHeight="1" x14ac:dyDescent="0.2">
      <c r="A11" t="s">
        <v>129</v>
      </c>
      <c r="B11" s="20">
        <v>43705</v>
      </c>
      <c r="C11" s="1">
        <v>369.05</v>
      </c>
      <c r="R11" s="264"/>
      <c r="S11" s="264"/>
      <c r="T11" s="265"/>
      <c r="U11" s="265"/>
      <c r="V11" s="72">
        <f t="shared" si="0"/>
        <v>22088.802974096452</v>
      </c>
    </row>
    <row r="12" spans="1:24" x14ac:dyDescent="0.2">
      <c r="A12" t="s">
        <v>13</v>
      </c>
      <c r="B12" s="20">
        <v>43701</v>
      </c>
      <c r="C12" s="1">
        <v>0</v>
      </c>
      <c r="E12" t="s">
        <v>67</v>
      </c>
      <c r="I12" s="6">
        <f>SUM(I13:I22)</f>
        <v>1331.03</v>
      </c>
      <c r="R12" s="157"/>
      <c r="S12" s="71"/>
      <c r="T12" s="78"/>
      <c r="U12" s="78"/>
      <c r="V12" s="72">
        <f t="shared" si="0"/>
        <v>22088.802974096452</v>
      </c>
    </row>
    <row r="13" spans="1:24" ht="13.5" customHeight="1" x14ac:dyDescent="0.2">
      <c r="B13" s="20"/>
      <c r="C13" s="1"/>
      <c r="E13" s="80">
        <v>43687</v>
      </c>
      <c r="F13" s="75" t="s">
        <v>68</v>
      </c>
      <c r="G13" s="77" t="s">
        <v>72</v>
      </c>
      <c r="H13" s="76">
        <v>35000</v>
      </c>
      <c r="I13" s="76">
        <v>118.53</v>
      </c>
      <c r="R13" s="157"/>
      <c r="S13" s="71"/>
      <c r="T13" s="78"/>
      <c r="U13" s="142"/>
      <c r="V13" s="72">
        <f t="shared" si="0"/>
        <v>22088.802974096452</v>
      </c>
    </row>
    <row r="14" spans="1:24" x14ac:dyDescent="0.2">
      <c r="B14" s="20"/>
      <c r="C14" s="1"/>
      <c r="E14" s="80">
        <v>43687</v>
      </c>
      <c r="F14" s="75" t="s">
        <v>69</v>
      </c>
      <c r="G14" s="77" t="s">
        <v>72</v>
      </c>
      <c r="H14" s="76">
        <v>50000</v>
      </c>
      <c r="I14" s="76">
        <v>125.34</v>
      </c>
      <c r="R14" s="157"/>
      <c r="S14" s="71"/>
      <c r="T14" s="78"/>
      <c r="U14" s="142"/>
      <c r="V14" s="72">
        <f t="shared" si="0"/>
        <v>22088.802974096452</v>
      </c>
    </row>
    <row r="15" spans="1:24" x14ac:dyDescent="0.2">
      <c r="E15" s="80">
        <v>43687</v>
      </c>
      <c r="F15" s="75" t="s">
        <v>70</v>
      </c>
      <c r="G15" s="77" t="s">
        <v>72</v>
      </c>
      <c r="H15" s="76">
        <v>50000</v>
      </c>
      <c r="I15" s="76">
        <v>125.34</v>
      </c>
      <c r="J15" s="6">
        <f>SUM(I13:I15)</f>
        <v>369.21000000000004</v>
      </c>
      <c r="R15" s="157"/>
      <c r="S15" s="71"/>
      <c r="T15" s="266"/>
      <c r="U15" s="142"/>
      <c r="V15" s="72">
        <f t="shared" si="0"/>
        <v>22088.802974096452</v>
      </c>
    </row>
    <row r="16" spans="1:24" x14ac:dyDescent="0.2">
      <c r="E16" s="80">
        <v>43689</v>
      </c>
      <c r="F16" s="147" t="s">
        <v>158</v>
      </c>
      <c r="G16" s="148" t="s">
        <v>72</v>
      </c>
      <c r="H16" s="149">
        <v>11156.9</v>
      </c>
      <c r="I16" s="150">
        <v>36.68</v>
      </c>
      <c r="R16" s="157"/>
      <c r="S16" s="71"/>
      <c r="T16" s="78"/>
      <c r="U16" s="142"/>
      <c r="V16" s="72">
        <f t="shared" si="0"/>
        <v>22088.802974096452</v>
      </c>
    </row>
    <row r="17" spans="5:24" x14ac:dyDescent="0.2">
      <c r="E17" s="80">
        <v>43689</v>
      </c>
      <c r="F17" s="147" t="s">
        <v>159</v>
      </c>
      <c r="G17" s="148" t="s">
        <v>72</v>
      </c>
      <c r="H17" s="149">
        <v>30000</v>
      </c>
      <c r="I17" s="150">
        <v>98.63</v>
      </c>
      <c r="R17" s="157"/>
      <c r="S17" s="71"/>
      <c r="T17" s="152"/>
      <c r="U17" s="267"/>
      <c r="V17" s="72">
        <f t="shared" si="0"/>
        <v>22088.802974096452</v>
      </c>
    </row>
    <row r="18" spans="5:24" x14ac:dyDescent="0.2">
      <c r="E18" s="80">
        <v>43698</v>
      </c>
      <c r="F18" s="81" t="s">
        <v>138</v>
      </c>
      <c r="G18" s="77" t="s">
        <v>72</v>
      </c>
      <c r="H18" s="76">
        <v>50000</v>
      </c>
      <c r="I18" s="76">
        <v>169.87</v>
      </c>
      <c r="R18" s="157"/>
      <c r="S18" s="71"/>
      <c r="T18" s="78"/>
      <c r="U18" s="78"/>
      <c r="V18" s="72">
        <f t="shared" si="0"/>
        <v>22088.802974096452</v>
      </c>
      <c r="X18" s="6"/>
    </row>
    <row r="19" spans="5:24" x14ac:dyDescent="0.2">
      <c r="E19" s="80">
        <v>43698</v>
      </c>
      <c r="F19" s="81" t="s">
        <v>137</v>
      </c>
      <c r="G19" s="77" t="s">
        <v>72</v>
      </c>
      <c r="H19" s="76">
        <v>50000</v>
      </c>
      <c r="I19" s="76">
        <v>169.87</v>
      </c>
      <c r="R19" s="157">
        <v>43708</v>
      </c>
      <c r="S19" s="71" t="s">
        <v>64</v>
      </c>
      <c r="T19" s="78">
        <v>0</v>
      </c>
      <c r="U19" s="78">
        <v>0</v>
      </c>
      <c r="V19" s="72">
        <f t="shared" si="0"/>
        <v>22088.802974096452</v>
      </c>
      <c r="X19" s="6">
        <f>V19+UOB!S56+UOB!S57</f>
        <v>130054.32349614172</v>
      </c>
    </row>
    <row r="20" spans="5:24" x14ac:dyDescent="0.2">
      <c r="E20" s="80">
        <v>43698</v>
      </c>
      <c r="F20" s="81" t="s">
        <v>136</v>
      </c>
      <c r="G20" s="77" t="s">
        <v>72</v>
      </c>
      <c r="H20" s="76">
        <v>50000</v>
      </c>
      <c r="I20" s="76">
        <v>169.87</v>
      </c>
      <c r="X20">
        <v>130654.32</v>
      </c>
    </row>
    <row r="21" spans="5:24" x14ac:dyDescent="0.2">
      <c r="E21" s="80">
        <v>43698</v>
      </c>
      <c r="F21" s="81" t="s">
        <v>135</v>
      </c>
      <c r="G21" s="77" t="s">
        <v>72</v>
      </c>
      <c r="H21" s="76">
        <v>50000</v>
      </c>
      <c r="I21" s="76">
        <v>169.87</v>
      </c>
      <c r="X21" s="6">
        <f>X20-X19</f>
        <v>599.99650385828863</v>
      </c>
    </row>
    <row r="22" spans="5:24" x14ac:dyDescent="0.2">
      <c r="E22" s="80">
        <v>43698</v>
      </c>
      <c r="F22" s="81" t="s">
        <v>134</v>
      </c>
      <c r="G22" s="77" t="s">
        <v>72</v>
      </c>
      <c r="H22" s="76">
        <v>43278.7</v>
      </c>
      <c r="I22" s="76">
        <v>147.03</v>
      </c>
    </row>
    <row r="23" spans="5:24" ht="22.5" x14ac:dyDescent="0.2">
      <c r="E23" s="80">
        <v>43707</v>
      </c>
      <c r="F23" s="75" t="s">
        <v>57</v>
      </c>
      <c r="G23" s="77" t="s">
        <v>73</v>
      </c>
      <c r="H23" s="76">
        <v>141110.65</v>
      </c>
      <c r="I23" s="76">
        <v>558.25</v>
      </c>
    </row>
  </sheetData>
  <mergeCells count="2">
    <mergeCell ref="L1:L4"/>
    <mergeCell ref="L6:L9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602A-08D9-4869-99B1-45BF9595AC08}">
  <dimension ref="A1:X23"/>
  <sheetViews>
    <sheetView topLeftCell="K1" workbookViewId="0">
      <selection activeCell="V19" sqref="V19"/>
    </sheetView>
  </sheetViews>
  <sheetFormatPr defaultRowHeight="12.75" x14ac:dyDescent="0.2"/>
  <cols>
    <col min="1" max="1" width="29.42578125" bestFit="1" customWidth="1"/>
    <col min="2" max="2" width="11.7109375" bestFit="1" customWidth="1"/>
    <col min="3" max="3" width="12.140625" bestFit="1" customWidth="1"/>
    <col min="5" max="5" width="11.7109375" bestFit="1" customWidth="1"/>
    <col min="6" max="6" width="23.28515625" bestFit="1" customWidth="1"/>
    <col min="7" max="8" width="11.28515625" bestFit="1" customWidth="1"/>
    <col min="9" max="9" width="18.5703125" bestFit="1" customWidth="1"/>
    <col min="10" max="10" width="10.140625" bestFit="1" customWidth="1"/>
    <col min="11" max="11" width="10.140625" customWidth="1"/>
    <col min="12" max="13" width="11.85546875" bestFit="1" customWidth="1"/>
    <col min="14" max="14" width="17.140625" bestFit="1" customWidth="1"/>
    <col min="15" max="16" width="11.28515625" bestFit="1" customWidth="1"/>
    <col min="18" max="18" width="11.140625" bestFit="1" customWidth="1"/>
    <col min="19" max="19" width="38.7109375" customWidth="1"/>
    <col min="20" max="20" width="9.7109375" bestFit="1" customWidth="1"/>
    <col min="21" max="21" width="10.28515625" bestFit="1" customWidth="1"/>
    <col min="22" max="22" width="10.42578125" bestFit="1" customWidth="1"/>
    <col min="24" max="24" width="11.28515625" bestFit="1" customWidth="1"/>
  </cols>
  <sheetData>
    <row r="1" spans="1:24" ht="25.5" x14ac:dyDescent="0.25">
      <c r="C1" s="1">
        <f>SUM(C3:C12)</f>
        <v>9430.5299999999988</v>
      </c>
      <c r="G1" s="6">
        <f>G3+G8</f>
        <v>11065.39</v>
      </c>
      <c r="I1" s="3" t="s">
        <v>77</v>
      </c>
      <c r="J1" s="4">
        <f>G1-C1</f>
        <v>1634.8600000000006</v>
      </c>
      <c r="L1" s="320">
        <v>43709</v>
      </c>
      <c r="M1" s="67" t="s">
        <v>78</v>
      </c>
      <c r="N1" s="68">
        <f>SUM(N2:N4)</f>
        <v>91115.925579636038</v>
      </c>
      <c r="O1" s="235">
        <v>91115.929999999978</v>
      </c>
      <c r="P1" s="5">
        <f>N1-O1</f>
        <v>-4.4203639408806339E-3</v>
      </c>
      <c r="R1" s="69" t="s">
        <v>25</v>
      </c>
      <c r="S1" s="69" t="s">
        <v>26</v>
      </c>
      <c r="T1" s="69" t="s">
        <v>59</v>
      </c>
      <c r="U1" s="69" t="s">
        <v>60</v>
      </c>
      <c r="V1" s="69" t="s">
        <v>8</v>
      </c>
    </row>
    <row r="2" spans="1:24" ht="18" x14ac:dyDescent="0.25">
      <c r="A2" s="21" t="s">
        <v>52</v>
      </c>
      <c r="B2" s="21" t="s">
        <v>53</v>
      </c>
      <c r="C2" s="22" t="s">
        <v>54</v>
      </c>
      <c r="E2" s="21" t="s">
        <v>56</v>
      </c>
      <c r="F2" s="21" t="s">
        <v>13</v>
      </c>
      <c r="G2" s="22" t="s">
        <v>55</v>
      </c>
      <c r="I2" s="3"/>
      <c r="J2" s="4"/>
      <c r="L2" s="320"/>
      <c r="M2" s="67" t="s">
        <v>79</v>
      </c>
      <c r="N2" s="68">
        <f>UOB!S63</f>
        <v>55854.92753326986</v>
      </c>
      <c r="O2" s="6"/>
      <c r="P2" s="2"/>
      <c r="R2" s="157">
        <v>43709</v>
      </c>
      <c r="S2" s="71" t="s">
        <v>61</v>
      </c>
      <c r="T2" s="72">
        <v>0</v>
      </c>
      <c r="U2" s="72">
        <v>0</v>
      </c>
      <c r="V2" s="72">
        <v>22088.802974096452</v>
      </c>
    </row>
    <row r="3" spans="1:24" ht="17.25" customHeight="1" x14ac:dyDescent="0.25">
      <c r="A3" t="s">
        <v>0</v>
      </c>
      <c r="B3" s="20">
        <v>43737</v>
      </c>
      <c r="C3" s="1">
        <v>0</v>
      </c>
      <c r="E3" s="20">
        <v>43732</v>
      </c>
      <c r="F3" t="s">
        <v>128</v>
      </c>
      <c r="G3" s="5">
        <v>9868.73</v>
      </c>
      <c r="H3" s="6">
        <f>G3-C1</f>
        <v>438.20000000000073</v>
      </c>
      <c r="L3" s="320"/>
      <c r="M3" s="67" t="s">
        <v>80</v>
      </c>
      <c r="N3" s="68">
        <f>UOB!S61</f>
        <v>13059.474426740591</v>
      </c>
      <c r="R3" s="157">
        <v>43709</v>
      </c>
      <c r="S3" s="71" t="s">
        <v>317</v>
      </c>
      <c r="T3" s="72">
        <v>0</v>
      </c>
      <c r="U3" s="294">
        <v>112.72064552913683</v>
      </c>
      <c r="V3" s="72">
        <f>V2+U3-T3</f>
        <v>22201.52361962559</v>
      </c>
    </row>
    <row r="4" spans="1:24" ht="17.25" customHeight="1" x14ac:dyDescent="0.25">
      <c r="A4" t="s">
        <v>1</v>
      </c>
      <c r="B4" s="20">
        <v>43737</v>
      </c>
      <c r="C4" s="1">
        <v>1824.87</v>
      </c>
      <c r="E4" s="20">
        <v>43709</v>
      </c>
      <c r="F4" t="s">
        <v>74</v>
      </c>
      <c r="G4" s="52">
        <f>UOB!S38</f>
        <v>106644.30313242109</v>
      </c>
      <c r="L4" s="320"/>
      <c r="M4" s="67" t="s">
        <v>123</v>
      </c>
      <c r="N4" s="68">
        <f>V3</f>
        <v>22201.52361962559</v>
      </c>
      <c r="R4" s="157">
        <v>43710</v>
      </c>
      <c r="S4" s="260" t="s">
        <v>44</v>
      </c>
      <c r="T4" s="295">
        <v>2208</v>
      </c>
      <c r="U4" s="72">
        <v>0</v>
      </c>
      <c r="V4" s="72">
        <f t="shared" ref="V4:V19" si="0">V3+U4-T4</f>
        <v>19993.52361962559</v>
      </c>
    </row>
    <row r="5" spans="1:24" ht="17.25" customHeight="1" x14ac:dyDescent="0.2">
      <c r="A5" t="s">
        <v>2</v>
      </c>
      <c r="B5" s="20">
        <v>43737</v>
      </c>
      <c r="C5" s="1">
        <v>516.9</v>
      </c>
      <c r="E5" s="20">
        <v>43709</v>
      </c>
      <c r="F5" t="s">
        <v>75</v>
      </c>
      <c r="G5" s="124">
        <f>UOB!S37</f>
        <v>12561.575157371772</v>
      </c>
      <c r="R5" s="157">
        <v>43714</v>
      </c>
      <c r="S5" s="71" t="s">
        <v>342</v>
      </c>
      <c r="T5" s="294">
        <v>3000</v>
      </c>
      <c r="U5" s="72">
        <v>0</v>
      </c>
      <c r="V5" s="72">
        <f t="shared" si="0"/>
        <v>16993.52361962559</v>
      </c>
    </row>
    <row r="6" spans="1:24" ht="17.25" customHeight="1" x14ac:dyDescent="0.25">
      <c r="A6" t="s">
        <v>4</v>
      </c>
      <c r="B6" s="20">
        <v>43738</v>
      </c>
      <c r="C6" s="1">
        <v>3506.71</v>
      </c>
      <c r="E6" s="20">
        <v>43709</v>
      </c>
      <c r="F6" t="s">
        <v>76</v>
      </c>
      <c r="G6" s="5">
        <f>'UOB TXN 2019'!E62-'SEP2019'!G4-'SEP2019'!G5</f>
        <v>25198.671710207127</v>
      </c>
      <c r="L6" s="320">
        <v>43732</v>
      </c>
      <c r="M6" s="67" t="s">
        <v>78</v>
      </c>
      <c r="N6" s="68">
        <f>SUM(N7:N9)</f>
        <v>86338.925579636052</v>
      </c>
      <c r="O6" s="132">
        <f>'UOB TXN 2019'!E94</f>
        <v>86338.929999999978</v>
      </c>
      <c r="P6" s="6">
        <f>N6-O6</f>
        <v>-4.4203639263287187E-3</v>
      </c>
      <c r="R6" s="157">
        <v>43717</v>
      </c>
      <c r="S6" s="262" t="s">
        <v>368</v>
      </c>
      <c r="T6" s="296">
        <v>2150</v>
      </c>
      <c r="U6" s="72">
        <v>0</v>
      </c>
      <c r="V6" s="72">
        <f t="shared" si="0"/>
        <v>14843.52361962559</v>
      </c>
      <c r="X6" s="6"/>
    </row>
    <row r="7" spans="1:24" ht="15.75" customHeight="1" x14ac:dyDescent="0.25">
      <c r="A7" s="60" t="s">
        <v>246</v>
      </c>
      <c r="B7" s="20">
        <v>43738</v>
      </c>
      <c r="C7" s="62">
        <v>0</v>
      </c>
      <c r="D7" s="60"/>
      <c r="E7" s="20"/>
      <c r="G7" s="5"/>
      <c r="L7" s="320"/>
      <c r="M7" s="67" t="s">
        <v>79</v>
      </c>
      <c r="N7" s="68">
        <f>UOB!S67</f>
        <v>57166.657533269863</v>
      </c>
      <c r="O7" s="6"/>
      <c r="P7" s="6"/>
      <c r="R7" s="157">
        <v>43717</v>
      </c>
      <c r="S7" s="263" t="s">
        <v>343</v>
      </c>
      <c r="T7" s="294">
        <v>419</v>
      </c>
      <c r="U7" s="72">
        <v>0</v>
      </c>
      <c r="V7" s="72">
        <f>V6+U7-T7</f>
        <v>14424.52361962559</v>
      </c>
    </row>
    <row r="8" spans="1:24" ht="15.75" customHeight="1" x14ac:dyDescent="0.25">
      <c r="A8" s="60" t="s">
        <v>3</v>
      </c>
      <c r="B8" s="20">
        <v>43733</v>
      </c>
      <c r="C8" s="62">
        <v>93</v>
      </c>
      <c r="E8" s="20">
        <v>43709</v>
      </c>
      <c r="F8" t="s">
        <v>127</v>
      </c>
      <c r="G8" s="5">
        <v>1196.6600000000001</v>
      </c>
      <c r="L8" s="320"/>
      <c r="M8" s="67" t="s">
        <v>80</v>
      </c>
      <c r="N8" s="68">
        <f>UOB!S65</f>
        <v>13166.084426740592</v>
      </c>
      <c r="R8" s="157">
        <v>43718</v>
      </c>
      <c r="S8" s="263" t="s">
        <v>358</v>
      </c>
      <c r="T8" s="294">
        <v>381.54</v>
      </c>
      <c r="U8" s="72">
        <v>0</v>
      </c>
      <c r="V8" s="72">
        <f>V7+U8-T8</f>
        <v>14042.983619625589</v>
      </c>
    </row>
    <row r="9" spans="1:24" ht="16.5" customHeight="1" x14ac:dyDescent="0.25">
      <c r="A9" t="s">
        <v>5</v>
      </c>
      <c r="B9" s="20">
        <v>43717</v>
      </c>
      <c r="C9" s="1">
        <v>120</v>
      </c>
      <c r="L9" s="320"/>
      <c r="M9" s="67" t="s">
        <v>123</v>
      </c>
      <c r="N9" s="68">
        <f>V19</f>
        <v>16006.183619625588</v>
      </c>
      <c r="R9" s="157">
        <v>43720</v>
      </c>
      <c r="S9" s="263" t="s">
        <v>359</v>
      </c>
      <c r="T9" s="294">
        <v>106.61</v>
      </c>
      <c r="U9" s="72">
        <v>0</v>
      </c>
      <c r="V9" s="72">
        <f>V8+U9-T9</f>
        <v>13936.373619625589</v>
      </c>
    </row>
    <row r="10" spans="1:24" ht="24" x14ac:dyDescent="0.2">
      <c r="A10" t="s">
        <v>7</v>
      </c>
      <c r="B10" s="20">
        <v>43732</v>
      </c>
      <c r="C10" s="1">
        <v>3000</v>
      </c>
      <c r="R10" s="157">
        <v>43721</v>
      </c>
      <c r="S10" s="263" t="s">
        <v>367</v>
      </c>
      <c r="T10" s="296">
        <v>300</v>
      </c>
      <c r="U10" s="72">
        <v>0</v>
      </c>
      <c r="V10" s="72">
        <f t="shared" ref="V10" si="1">V9+U10-T10</f>
        <v>13636.373619625589</v>
      </c>
    </row>
    <row r="11" spans="1:24" ht="10.5" customHeight="1" x14ac:dyDescent="0.2">
      <c r="A11" t="s">
        <v>129</v>
      </c>
      <c r="B11" s="20">
        <v>43737</v>
      </c>
      <c r="C11" s="1">
        <v>369.05</v>
      </c>
      <c r="R11" s="157">
        <v>43729</v>
      </c>
      <c r="S11" s="263" t="s">
        <v>358</v>
      </c>
      <c r="T11" s="296">
        <v>630.19000000000005</v>
      </c>
      <c r="U11" s="72">
        <v>0</v>
      </c>
      <c r="V11" s="72">
        <f t="shared" ref="V11" si="2">V10+U11-T11</f>
        <v>13006.183619625588</v>
      </c>
    </row>
    <row r="12" spans="1:24" x14ac:dyDescent="0.2">
      <c r="A12" t="s">
        <v>13</v>
      </c>
      <c r="B12" s="20">
        <v>43732</v>
      </c>
      <c r="C12" s="1">
        <v>0</v>
      </c>
      <c r="E12" t="s">
        <v>67</v>
      </c>
      <c r="I12" s="6">
        <f>SUM(I13:I22)</f>
        <v>1331.03</v>
      </c>
      <c r="R12" s="157">
        <v>43732</v>
      </c>
      <c r="S12" s="263" t="s">
        <v>360</v>
      </c>
      <c r="T12" s="72">
        <v>0</v>
      </c>
      <c r="U12" s="294">
        <v>3000</v>
      </c>
      <c r="V12" s="72">
        <f t="shared" si="0"/>
        <v>16006.183619625588</v>
      </c>
    </row>
    <row r="13" spans="1:24" ht="13.5" customHeight="1" x14ac:dyDescent="0.2">
      <c r="B13" s="20"/>
      <c r="C13" s="1"/>
      <c r="E13" s="80">
        <v>43718</v>
      </c>
      <c r="F13" s="75" t="s">
        <v>68</v>
      </c>
      <c r="G13" s="77" t="s">
        <v>72</v>
      </c>
      <c r="H13" s="76">
        <v>35000</v>
      </c>
      <c r="I13" s="76">
        <v>118.53</v>
      </c>
      <c r="R13" s="157"/>
      <c r="S13" s="71"/>
      <c r="T13" s="294"/>
      <c r="U13" s="297"/>
      <c r="V13" s="72">
        <f t="shared" si="0"/>
        <v>16006.183619625588</v>
      </c>
    </row>
    <row r="14" spans="1:24" x14ac:dyDescent="0.2">
      <c r="B14" s="20"/>
      <c r="C14" s="1"/>
      <c r="E14" s="80">
        <v>43718</v>
      </c>
      <c r="F14" s="75" t="s">
        <v>69</v>
      </c>
      <c r="G14" s="77" t="s">
        <v>72</v>
      </c>
      <c r="H14" s="76">
        <v>50000</v>
      </c>
      <c r="I14" s="76">
        <v>125.34</v>
      </c>
      <c r="R14" s="157"/>
      <c r="S14" s="71"/>
      <c r="T14" s="294"/>
      <c r="U14" s="297"/>
      <c r="V14" s="72">
        <f t="shared" si="0"/>
        <v>16006.183619625588</v>
      </c>
    </row>
    <row r="15" spans="1:24" x14ac:dyDescent="0.2">
      <c r="E15" s="80">
        <v>43718</v>
      </c>
      <c r="F15" s="75" t="s">
        <v>70</v>
      </c>
      <c r="G15" s="77" t="s">
        <v>72</v>
      </c>
      <c r="H15" s="76">
        <v>50000</v>
      </c>
      <c r="I15" s="76">
        <v>125.34</v>
      </c>
      <c r="J15" s="6">
        <f>SUM(I13:I15)</f>
        <v>369.21000000000004</v>
      </c>
      <c r="R15" s="157"/>
      <c r="S15" s="71"/>
      <c r="T15" s="298"/>
      <c r="U15" s="297"/>
      <c r="V15" s="72">
        <f t="shared" si="0"/>
        <v>16006.183619625588</v>
      </c>
    </row>
    <row r="16" spans="1:24" x14ac:dyDescent="0.2">
      <c r="E16" s="80">
        <v>43720</v>
      </c>
      <c r="F16" s="147" t="s">
        <v>158</v>
      </c>
      <c r="G16" s="148" t="s">
        <v>72</v>
      </c>
      <c r="H16" s="149">
        <v>11156.9</v>
      </c>
      <c r="I16" s="150">
        <v>36.68</v>
      </c>
      <c r="R16" s="157"/>
      <c r="S16" s="71"/>
      <c r="T16" s="294"/>
      <c r="U16" s="297"/>
      <c r="V16" s="72">
        <f t="shared" si="0"/>
        <v>16006.183619625588</v>
      </c>
    </row>
    <row r="17" spans="5:24" x14ac:dyDescent="0.2">
      <c r="E17" s="80">
        <v>43720</v>
      </c>
      <c r="F17" s="147" t="s">
        <v>159</v>
      </c>
      <c r="G17" s="148" t="s">
        <v>72</v>
      </c>
      <c r="H17" s="149">
        <v>30000</v>
      </c>
      <c r="I17" s="150">
        <v>98.63</v>
      </c>
      <c r="R17" s="157"/>
      <c r="S17" s="71"/>
      <c r="T17" s="299"/>
      <c r="U17" s="300"/>
      <c r="V17" s="72">
        <f t="shared" si="0"/>
        <v>16006.183619625588</v>
      </c>
    </row>
    <row r="18" spans="5:24" x14ac:dyDescent="0.2">
      <c r="E18" s="80">
        <v>43729</v>
      </c>
      <c r="F18" s="81" t="s">
        <v>138</v>
      </c>
      <c r="G18" s="77" t="s">
        <v>72</v>
      </c>
      <c r="H18" s="76">
        <v>50000</v>
      </c>
      <c r="I18" s="76">
        <v>169.87</v>
      </c>
      <c r="R18" s="157"/>
      <c r="S18" s="71"/>
      <c r="T18" s="294"/>
      <c r="U18" s="294"/>
      <c r="V18" s="72">
        <f t="shared" si="0"/>
        <v>16006.183619625588</v>
      </c>
      <c r="X18" s="6"/>
    </row>
    <row r="19" spans="5:24" x14ac:dyDescent="0.2">
      <c r="E19" s="80">
        <v>43729</v>
      </c>
      <c r="F19" s="81" t="s">
        <v>137</v>
      </c>
      <c r="G19" s="77" t="s">
        <v>72</v>
      </c>
      <c r="H19" s="76">
        <v>50000</v>
      </c>
      <c r="I19" s="76">
        <v>169.87</v>
      </c>
      <c r="R19" s="157">
        <v>43738</v>
      </c>
      <c r="S19" s="71" t="s">
        <v>64</v>
      </c>
      <c r="T19" s="294">
        <v>0</v>
      </c>
      <c r="U19" s="294">
        <v>0</v>
      </c>
      <c r="V19" s="72">
        <f t="shared" si="0"/>
        <v>16006.183619625588</v>
      </c>
      <c r="X19" s="6"/>
    </row>
    <row r="20" spans="5:24" x14ac:dyDescent="0.2">
      <c r="E20" s="80">
        <v>43729</v>
      </c>
      <c r="F20" s="81" t="s">
        <v>136</v>
      </c>
      <c r="G20" s="77" t="s">
        <v>72</v>
      </c>
      <c r="H20" s="76">
        <v>50000</v>
      </c>
      <c r="I20" s="76">
        <v>169.87</v>
      </c>
    </row>
    <row r="21" spans="5:24" x14ac:dyDescent="0.2">
      <c r="E21" s="80">
        <v>43729</v>
      </c>
      <c r="F21" s="81" t="s">
        <v>135</v>
      </c>
      <c r="G21" s="77" t="s">
        <v>72</v>
      </c>
      <c r="H21" s="76">
        <v>50000</v>
      </c>
      <c r="I21" s="76">
        <v>169.87</v>
      </c>
      <c r="X21" s="6"/>
    </row>
    <row r="22" spans="5:24" x14ac:dyDescent="0.2">
      <c r="E22" s="80">
        <v>43729</v>
      </c>
      <c r="F22" s="81" t="s">
        <v>134</v>
      </c>
      <c r="G22" s="77" t="s">
        <v>72</v>
      </c>
      <c r="H22" s="76">
        <v>43278.7</v>
      </c>
      <c r="I22" s="76">
        <v>147.03</v>
      </c>
    </row>
    <row r="23" spans="5:24" ht="22.5" x14ac:dyDescent="0.2">
      <c r="E23" s="80">
        <v>43738</v>
      </c>
      <c r="F23" s="75" t="s">
        <v>57</v>
      </c>
      <c r="G23" s="77" t="s">
        <v>73</v>
      </c>
      <c r="H23" s="76">
        <v>141110.65</v>
      </c>
      <c r="I23" s="76">
        <v>558.25</v>
      </c>
    </row>
  </sheetData>
  <mergeCells count="2">
    <mergeCell ref="L1:L4"/>
    <mergeCell ref="L6:L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Jan2019</vt:lpstr>
      <vt:lpstr>Feb2019</vt:lpstr>
      <vt:lpstr>Mar2019</vt:lpstr>
      <vt:lpstr>Apr2019</vt:lpstr>
      <vt:lpstr>May2019</vt:lpstr>
      <vt:lpstr>Jun2019</vt:lpstr>
      <vt:lpstr>Jul2019</vt:lpstr>
      <vt:lpstr>Aug2019</vt:lpstr>
      <vt:lpstr>SEP2019</vt:lpstr>
      <vt:lpstr>OCT2019</vt:lpstr>
      <vt:lpstr>Nov2019</vt:lpstr>
      <vt:lpstr>Dec2019</vt:lpstr>
      <vt:lpstr>UOB</vt:lpstr>
      <vt:lpstr>PBB FD1</vt:lpstr>
      <vt:lpstr>PBB FD2</vt:lpstr>
      <vt:lpstr>UOB TXN 2019</vt:lpstr>
      <vt:lpstr>JoinAccount2019</vt:lpstr>
      <vt:lpstr>Father PBB FD 2019</vt:lpstr>
      <vt:lpstr>Mother PBB FD</vt:lpstr>
      <vt:lpstr>UOB Txn2018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1242255</dc:creator>
  <cp:lastModifiedBy>Liau, Swee Yean</cp:lastModifiedBy>
  <dcterms:created xsi:type="dcterms:W3CDTF">2018-10-08T07:41:55Z</dcterms:created>
  <dcterms:modified xsi:type="dcterms:W3CDTF">2019-12-11T05:57:05Z</dcterms:modified>
</cp:coreProperties>
</file>