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8_{DA3B7C08-90DD-45C4-A035-B2BD5336C01B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Band_Move_Direction_Table">Data!$AE$4:$AG$7</definedName>
    <definedName name="Band_Spacing">Sheet1!$BI$6</definedName>
    <definedName name="BWG_Table">Data!$F$6:$G$20</definedName>
    <definedName name="Center_Band_Direction">Sheet1!$BM$6</definedName>
    <definedName name="Center_Band_Move?">Sheet1!$BN$6</definedName>
    <definedName name="Center_Band_Offset">Sheet1!$BK$6</definedName>
    <definedName name="Center_Band_Offset_Direction">Sheet1!$BO$6</definedName>
    <definedName name="COMB_Fin_Size">Sheet1!$E$7</definedName>
    <definedName name="COMB_Tube_Dia">Sheet1!$C$7</definedName>
    <definedName name="Comb_Tube_Types_Table">Data!$Z$4:$AC$8</definedName>
    <definedName name="Family">Sheet1!$A$5</definedName>
    <definedName name="Fin_Coating_List">Data!$Q$3:$Q$5</definedName>
    <definedName name="Fin_Material_List">Data!$O$3:$O$6</definedName>
    <definedName name="Fin_Size">Sheet1!$E$6</definedName>
    <definedName name="FinTube_Size_Table">Data!$AM$4:$AR$10</definedName>
    <definedName name="First_Band_Loc">Sheet1!$BG$6</definedName>
    <definedName name="Material_List">Data!$M$3:$M$9</definedName>
    <definedName name="PMI_Req_List">Data!$S$3:$S$4</definedName>
    <definedName name="QTY_of_Bands">Sheet1!$BE$6</definedName>
    <definedName name="QTY_of_Front_Spaces">Sheet1!$BR$6</definedName>
    <definedName name="QTY_of_Mid_Spaces">Sheet1!$BQ$6</definedName>
    <definedName name="QTY_of_Rear_Spaces">Sheet1!$BS$6</definedName>
    <definedName name="QTY_of_Spaces">Sheet1!$BP$6</definedName>
    <definedName name="Raw_Fin_Table">Data!$AI$4:$AK$6</definedName>
    <definedName name="Tube_Dia">Sheet1!$C$6</definedName>
    <definedName name="Tube_Length">Sheet1!$BC$6</definedName>
    <definedName name="Tube_Types_List">Data!$U$4:$U$8</definedName>
    <definedName name="Tube_Types_Table">Data!$U$4:$X$8</definedName>
    <definedName name="Tube_Wall">Data!$F$6:$F$20</definedName>
    <definedName name="Tube_Wall_Type_Table">Data!$I$4:$K$6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" i="2" l="1"/>
  <c r="AA10" i="2"/>
  <c r="W10" i="2"/>
  <c r="V10" i="2"/>
  <c r="AP9" i="2"/>
  <c r="AQ9" i="2" s="1"/>
  <c r="AQ8" i="2"/>
  <c r="AP8" i="2"/>
  <c r="AB8" i="2"/>
  <c r="AA8" i="2"/>
  <c r="Z8" i="2"/>
  <c r="AQ7" i="2"/>
  <c r="AP7" i="2"/>
  <c r="AC7" i="2"/>
  <c r="AB7" i="2"/>
  <c r="AA7" i="2"/>
  <c r="Z7" i="2"/>
  <c r="AQ6" i="2"/>
  <c r="AO6" i="2"/>
  <c r="AN6" i="2"/>
  <c r="AC6" i="2"/>
  <c r="AB6" i="2"/>
  <c r="AA6" i="2"/>
  <c r="Z6" i="2"/>
  <c r="AP5" i="2"/>
  <c r="AQ5" i="2" s="1"/>
  <c r="AC5" i="2"/>
  <c r="Z5" i="2"/>
  <c r="AQ4" i="2"/>
  <c r="AC4" i="2"/>
  <c r="Z4" i="2"/>
  <c r="CL10" i="1"/>
  <c r="CL9" i="1"/>
  <c r="DB7" i="1"/>
  <c r="DA7" i="1"/>
  <c r="CZ7" i="1"/>
  <c r="CY7" i="1"/>
  <c r="CL7" i="1"/>
  <c r="CJ7" i="1"/>
  <c r="CI7" i="1"/>
  <c r="CG7" i="1"/>
  <c r="CE7" i="1"/>
  <c r="CB7" i="1"/>
  <c r="BL7" i="1"/>
  <c r="BJ7" i="1"/>
  <c r="BH7" i="1"/>
  <c r="BF7" i="1"/>
  <c r="BD7" i="1"/>
  <c r="BB7" i="1"/>
  <c r="AX7" i="1"/>
  <c r="AY7" i="1" s="1"/>
  <c r="AZ7" i="1" s="1"/>
  <c r="BA7" i="1" s="1"/>
  <c r="AV7" i="1"/>
  <c r="AW7" i="1" s="1"/>
  <c r="AT7" i="1"/>
  <c r="AU7" i="1" s="1"/>
  <c r="AR7" i="1"/>
  <c r="AS7" i="1" s="1"/>
  <c r="AP7" i="1"/>
  <c r="AQ7" i="1" s="1"/>
  <c r="AL7" i="1"/>
  <c r="AM7" i="1" s="1"/>
  <c r="AF7" i="1"/>
  <c r="AB7" i="1"/>
  <c r="X7" i="1"/>
  <c r="T7" i="1"/>
  <c r="Q7" i="1"/>
  <c r="P7" i="1"/>
  <c r="CC7" i="1" s="1"/>
  <c r="L7" i="1"/>
  <c r="R7" i="1" s="1"/>
  <c r="J7" i="1"/>
  <c r="AA7" i="1" s="1"/>
  <c r="G7" i="1"/>
  <c r="CH7" i="1" s="1"/>
  <c r="F7" i="1"/>
  <c r="CD7" i="1" s="1"/>
  <c r="E7" i="1"/>
  <c r="C7" i="1"/>
  <c r="DB6" i="1"/>
  <c r="DA6" i="1"/>
  <c r="CZ6" i="1"/>
  <c r="CY6" i="1"/>
  <c r="CL6" i="1"/>
  <c r="CJ6" i="1"/>
  <c r="CI6" i="1"/>
  <c r="CH6" i="1"/>
  <c r="CG6" i="1"/>
  <c r="CE6" i="1"/>
  <c r="CD6" i="1"/>
  <c r="CB6" i="1"/>
  <c r="CA6" i="1"/>
  <c r="BM6" i="1"/>
  <c r="BM7" i="1" s="1"/>
  <c r="BK6" i="1"/>
  <c r="BK7" i="1" s="1"/>
  <c r="BI6" i="1"/>
  <c r="BI7" i="1" s="1"/>
  <c r="BG6" i="1"/>
  <c r="BG7" i="1" s="1"/>
  <c r="BE6" i="1"/>
  <c r="BC6" i="1"/>
  <c r="BC7" i="1" s="1"/>
  <c r="AX6" i="1"/>
  <c r="AY6" i="1" s="1"/>
  <c r="AZ6" i="1" s="1"/>
  <c r="BA6" i="1" s="1"/>
  <c r="AV6" i="1"/>
  <c r="AW6" i="1" s="1"/>
  <c r="AT6" i="1"/>
  <c r="AU6" i="1" s="1"/>
  <c r="AR6" i="1"/>
  <c r="AS6" i="1" s="1"/>
  <c r="AP6" i="1"/>
  <c r="AQ6" i="1" s="1"/>
  <c r="AL6" i="1"/>
  <c r="AN6" i="1" s="1"/>
  <c r="AO6" i="1" s="1"/>
  <c r="AJ6" i="1"/>
  <c r="AJ7" i="1" s="1"/>
  <c r="AK7" i="1" s="1"/>
  <c r="AH6" i="1"/>
  <c r="AH7" i="1" s="1"/>
  <c r="AI7" i="1" s="1"/>
  <c r="AF6" i="1"/>
  <c r="AE6" i="1"/>
  <c r="AB6" i="1"/>
  <c r="AA6" i="1"/>
  <c r="X6" i="1"/>
  <c r="W6" i="1"/>
  <c r="T6" i="1"/>
  <c r="S6" i="1"/>
  <c r="R6" i="1"/>
  <c r="Q6" i="1"/>
  <c r="P6" i="1"/>
  <c r="CC6" i="1" s="1"/>
  <c r="E6" i="1"/>
  <c r="C6" i="1"/>
  <c r="DB5" i="1"/>
  <c r="DA5" i="1"/>
  <c r="CZ5" i="1"/>
  <c r="CY5" i="1"/>
  <c r="K5" i="1"/>
  <c r="A2" i="1"/>
  <c r="CT6" i="1" s="1"/>
  <c r="CT7" i="1" s="1"/>
  <c r="W4" i="2" l="1"/>
  <c r="W5" i="2" s="1"/>
  <c r="W7" i="1"/>
  <c r="AA4" i="2"/>
  <c r="AA5" i="2" s="1"/>
  <c r="AN7" i="1"/>
  <c r="AO7" i="1" s="1"/>
  <c r="F2" i="1"/>
  <c r="CM6" i="1" s="1"/>
  <c r="BT6" i="1"/>
  <c r="BT7" i="1" s="1"/>
  <c r="AB4" i="2"/>
  <c r="AB5" i="2" s="1"/>
  <c r="O6" i="1"/>
  <c r="O9" i="1"/>
  <c r="S7" i="1"/>
  <c r="AE7" i="1"/>
  <c r="CA7" i="1"/>
  <c r="BE7" i="1"/>
  <c r="AI6" i="1"/>
  <c r="BY6" i="1"/>
  <c r="BY7" i="1" s="1"/>
  <c r="AK6" i="1"/>
  <c r="BN6" i="1"/>
  <c r="BP6" i="1"/>
  <c r="BP7" i="1" s="1"/>
  <c r="V4" i="2"/>
  <c r="AM6" i="1"/>
  <c r="N7" i="1"/>
  <c r="O7" i="1" l="1"/>
  <c r="CM7" i="1"/>
  <c r="CP6" i="1"/>
  <c r="N10" i="1"/>
  <c r="O10" i="1"/>
  <c r="P2" i="1"/>
  <c r="CN6" i="1" s="1"/>
  <c r="BO6" i="1"/>
  <c r="BN7" i="1"/>
  <c r="N6" i="1"/>
  <c r="V5" i="2"/>
  <c r="N9" i="1"/>
  <c r="Y7" i="1"/>
  <c r="CF7" i="1"/>
  <c r="AG7" i="1"/>
  <c r="U7" i="1"/>
  <c r="AC7" i="1"/>
  <c r="BQ6" i="1"/>
  <c r="Z7" i="1"/>
  <c r="V7" i="1"/>
  <c r="AD7" i="1"/>
  <c r="CK7" i="1"/>
  <c r="Z6" i="1"/>
  <c r="V6" i="1"/>
  <c r="AD6" i="1"/>
  <c r="CK6" i="1"/>
  <c r="CP7" i="1" l="1"/>
  <c r="CN7" i="1"/>
  <c r="CQ7" i="1" s="1"/>
  <c r="CQ6" i="1"/>
  <c r="CO6" i="1"/>
  <c r="BQ7" i="1"/>
  <c r="BZ11" i="1" s="1"/>
  <c r="BZ12" i="1" s="1"/>
  <c r="BR6" i="1"/>
  <c r="Y6" i="1"/>
  <c r="CF6" i="1"/>
  <c r="AG6" i="1"/>
  <c r="U6" i="1"/>
  <c r="AC6" i="1"/>
  <c r="BO7" i="1"/>
  <c r="BV6" i="1"/>
  <c r="CS6" i="1" l="1"/>
  <c r="CS8" i="1" s="1"/>
  <c r="CW6" i="1"/>
  <c r="CR6" i="1"/>
  <c r="CO7" i="1"/>
  <c r="BV7" i="1"/>
  <c r="BW6" i="1"/>
  <c r="BW7" i="1" s="1"/>
  <c r="BU6" i="1"/>
  <c r="BS6" i="1"/>
  <c r="BR7" i="1"/>
  <c r="CS7" i="1" l="1"/>
  <c r="CW7" i="1"/>
  <c r="CR7" i="1"/>
  <c r="BX6" i="1"/>
  <c r="BX7" i="1" s="1"/>
  <c r="BS7" i="1"/>
  <c r="BU7" i="1"/>
  <c r="BZ6" i="1" l="1"/>
  <c r="BZ7" i="1" s="1"/>
  <c r="BZ8" i="1" s="1"/>
</calcChain>
</file>

<file path=xl/sharedStrings.xml><?xml version="1.0" encoding="utf-8"?>
<sst xmlns="http://schemas.openxmlformats.org/spreadsheetml/2006/main" count="360" uniqueCount="214">
  <si>
    <t/>
  </si>
  <si>
    <t>Default</t>
  </si>
  <si>
    <t>combined</t>
  </si>
  <si>
    <t>$STATE@Fin L-Tension Plain Structural Member</t>
  </si>
  <si>
    <t>$STATE@Fin Embedded Structural Member</t>
  </si>
  <si>
    <t>$STATE@Fin Extruded Structural Member</t>
  </si>
  <si>
    <t>$STATE@Fin L-Tension Wheel Structural Member</t>
  </si>
  <si>
    <t>$STATE@Tube Min</t>
  </si>
  <si>
    <t>End of List</t>
  </si>
  <si>
    <t>$User_Notes</t>
  </si>
  <si>
    <t>Fin Type</t>
  </si>
  <si>
    <t>L-Tension Wheel</t>
  </si>
  <si>
    <t>L-Tension Plain</t>
  </si>
  <si>
    <t>Embedded</t>
  </si>
  <si>
    <t>Extruded</t>
  </si>
  <si>
    <t>Tube Type</t>
  </si>
  <si>
    <t>MIN</t>
  </si>
  <si>
    <t>$LIBRARY:MATERIAL@Fin L-Tension Wheel Structural Member@000000_S01c_Tube</t>
  </si>
  <si>
    <t>$LIBRARY:MATERIAL@Fin L-Tension Plain Structural Member@000000_S01c_Tube</t>
  </si>
  <si>
    <t>$LIBRARY:MATERIAL@Fin Embedded Structural Member@000000_S01c_Tube</t>
  </si>
  <si>
    <t>$LIBRARY:MATERIAL@Fin Extruded Structural Member@000000_S01c_Tube</t>
  </si>
  <si>
    <t>AXC materials:SA214</t>
  </si>
  <si>
    <t>AVG</t>
  </si>
  <si>
    <t>BWG_Table</t>
  </si>
  <si>
    <t>Material_List</t>
  </si>
  <si>
    <t>SA214</t>
  </si>
  <si>
    <t>AXC materials:SA179</t>
  </si>
  <si>
    <t>AXC materials:SA249 304L</t>
  </si>
  <si>
    <t>AXC materials:SA213 316L</t>
  </si>
  <si>
    <t>AXC materials:SA249 316L</t>
  </si>
  <si>
    <t>SA179</t>
  </si>
  <si>
    <t>Tube_wall</t>
  </si>
  <si>
    <t>Wall thk</t>
  </si>
  <si>
    <t>BWG</t>
  </si>
  <si>
    <t>SA249 304L</t>
  </si>
  <si>
    <t>SA249 316L</t>
  </si>
  <si>
    <t>Tube Wall Thickness</t>
  </si>
  <si>
    <t>Tube material</t>
  </si>
  <si>
    <t>$STATE@Tube Avg</t>
  </si>
  <si>
    <t>$Prp@Note</t>
  </si>
  <si>
    <t>Note</t>
  </si>
  <si>
    <t>Tube Min On/Off?</t>
  </si>
  <si>
    <t>Fin L-Tension Wheel  On/Off?</t>
  </si>
  <si>
    <t>Fin L-Tension Plain  On/Off?</t>
  </si>
  <si>
    <t>Fin Embedded  On/Off?</t>
  </si>
  <si>
    <t>Fin Extruded  On/Off?</t>
  </si>
  <si>
    <t>L Tension Wheel</t>
  </si>
  <si>
    <t>L Tension Plain</t>
  </si>
  <si>
    <t>Fin Thickness</t>
  </si>
  <si>
    <t>Fin Thk@Sketch11</t>
  </si>
  <si>
    <t>Fin Height Raw@Sketch11</t>
  </si>
  <si>
    <t>Fin Thk@Sketch12</t>
  </si>
  <si>
    <t>Fin Height Raw@Sketch12</t>
  </si>
  <si>
    <t>$Prp@PartNo</t>
  </si>
  <si>
    <t>PartNo</t>
  </si>
  <si>
    <t>&lt;- section number</t>
  </si>
  <si>
    <t>&lt;- COMB section number</t>
  </si>
  <si>
    <t>SectionNo</t>
  </si>
  <si>
    <t>COMB SectionNo</t>
  </si>
  <si>
    <t>$PRP@SectionNo</t>
  </si>
  <si>
    <t>$PRP@COMBSectionNo</t>
  </si>
  <si>
    <t>$Prp@JobNumber</t>
  </si>
  <si>
    <t>Job Number</t>
  </si>
  <si>
    <t>Design Table for: 000000_S01c-Tube</t>
  </si>
  <si>
    <t>$LIBRARY:MATERIAL@000000_S01c-Tube</t>
  </si>
  <si>
    <t>$STATE@Tube MIN Structural Member</t>
  </si>
  <si>
    <t>$STATE@Tube AVG Structural Member</t>
  </si>
  <si>
    <t>Tube Min Folder On/Off?</t>
  </si>
  <si>
    <t>Tube Avg  Folder On/Off?</t>
  </si>
  <si>
    <t>Tube Avg On/Off?</t>
  </si>
  <si>
    <t>Default tube size</t>
  </si>
  <si>
    <t>Combined tube size</t>
  </si>
  <si>
    <t>Default L-Tension Fin Size</t>
  </si>
  <si>
    <t>Combined L-Tension Fin Size</t>
  </si>
  <si>
    <t>Default L-Tension Plain Fin Size</t>
  </si>
  <si>
    <t>Combined L-Tension Plain Fin Size</t>
  </si>
  <si>
    <t>Default Embedded Fin Size</t>
  </si>
  <si>
    <t>Combined Embedded Fin Size</t>
  </si>
  <si>
    <t>Default Extruded Fin Size</t>
  </si>
  <si>
    <t>Combined Extruded Fin Size</t>
  </si>
  <si>
    <t>$State@Equal Radius31@Sketch11</t>
  </si>
  <si>
    <t>$State@Equal Radius34@Sketch11</t>
  </si>
  <si>
    <t>$State@Equal Radius31@Sketch14</t>
  </si>
  <si>
    <t>$State@Equal Radius33@Sketch14</t>
  </si>
  <si>
    <t>$State@Equal Radius31@Sketch12</t>
  </si>
  <si>
    <t>$State@Equal Radius34@Sketch12</t>
  </si>
  <si>
    <t>$State@Equal Radius31@Sketch13</t>
  </si>
  <si>
    <t>$State@Equal Radius34@Sketch13</t>
  </si>
  <si>
    <t>Sketch Relations</t>
  </si>
  <si>
    <t>Tube_Wall_Type_Table</t>
  </si>
  <si>
    <t>End of Row</t>
  </si>
  <si>
    <t>COMB Wall Type Ref
 (Min or Ave)</t>
  </si>
  <si>
    <t>Wall Type Ref
 (Min or Ave)</t>
  </si>
  <si>
    <t>BWG@Size</t>
  </si>
  <si>
    <t>Wall_Type@Size</t>
  </si>
  <si>
    <t>COMB_Wall_Type@Size</t>
  </si>
  <si>
    <t>$State@Coradial0@Size</t>
  </si>
  <si>
    <t>$State@Coradial1@Size</t>
  </si>
  <si>
    <t>TubeDia@Size</t>
  </si>
  <si>
    <t>FinDia@Size</t>
  </si>
  <si>
    <t>Fin Size Ref</t>
  </si>
  <si>
    <t>none</t>
  </si>
  <si>
    <t>Tube_Types_Table</t>
  </si>
  <si>
    <t>Tube_Types_List</t>
  </si>
  <si>
    <t>Wiiidder</t>
  </si>
  <si>
    <t>Fins Per Inch (FPI)</t>
  </si>
  <si>
    <t>Fin Width Raw</t>
  </si>
  <si>
    <t>↑</t>
  </si>
  <si>
    <t>Standard Values</t>
  </si>
  <si>
    <t>FPI</t>
  </si>
  <si>
    <t>FPI@Sketch11</t>
  </si>
  <si>
    <t>FPI@Sketch12</t>
  </si>
  <si>
    <t>FPI@Sketch13</t>
  </si>
  <si>
    <t>Fin Thk@Sketch13</t>
  </si>
  <si>
    <t>Fin Height Raw@Sketch13</t>
  </si>
  <si>
    <t>FPI@Sketch14</t>
  </si>
  <si>
    <t>Fin Thk@Sketch14</t>
  </si>
  <si>
    <t>$PRP@FinType</t>
  </si>
  <si>
    <t>$PRP@TubeOD</t>
  </si>
  <si>
    <t>$PRP@TubeGuage</t>
  </si>
  <si>
    <t>$PRP@TubeMaterial</t>
  </si>
  <si>
    <t>$PRP@FinHeight</t>
  </si>
  <si>
    <t>$PRP@FinThk</t>
  </si>
  <si>
    <t>$PRP@FinsPerInch</t>
  </si>
  <si>
    <t>$PRP@FinMaterial</t>
  </si>
  <si>
    <t>$PRP@FinStockWidth</t>
  </si>
  <si>
    <t>1060 ALUMINUM</t>
  </si>
  <si>
    <t>Properties</t>
  </si>
  <si>
    <t>Default Fin Sketch</t>
  </si>
  <si>
    <t>Default Tube Sketch</t>
  </si>
  <si>
    <t>Combined Fin Sketch</t>
  </si>
  <si>
    <t>Combined Tube Sketch</t>
  </si>
  <si>
    <t>$State@Equal length22@Fin Length</t>
  </si>
  <si>
    <t>$State@Equal length23@Fin Length</t>
  </si>
  <si>
    <t>$State@Equal length26@Fin Length</t>
  </si>
  <si>
    <t>$State@Equal length27@Fin Length</t>
  </si>
  <si>
    <t>Comb_Tube_Types_Table</t>
  </si>
  <si>
    <t>AXC materials:SB111 ADM</t>
  </si>
  <si>
    <t>Fin_Material_List</t>
  </si>
  <si>
    <t>AL 5005</t>
  </si>
  <si>
    <t>1100 ALUMINUM</t>
  </si>
  <si>
    <t>Front</t>
  </si>
  <si>
    <t>Rear</t>
  </si>
  <si>
    <t>None</t>
  </si>
  <si>
    <t>Tube Banding Ref Dims</t>
  </si>
  <si>
    <t>Tube Length</t>
  </si>
  <si>
    <t>QTY of Tube Bands</t>
  </si>
  <si>
    <t>Location of 1st &amp; Last Tube Band
From end of tube</t>
  </si>
  <si>
    <t>Tube Band Spacing</t>
  </si>
  <si>
    <t>Center Tube Band Offset Amount</t>
  </si>
  <si>
    <t>Tube Length@Tube Length</t>
  </si>
  <si>
    <t>QTY of BTS@Tube Banding</t>
  </si>
  <si>
    <t>First Location@Tube Banding</t>
  </si>
  <si>
    <t>Spacing@Tube Banding</t>
  </si>
  <si>
    <t xml:space="preserve"> </t>
  </si>
  <si>
    <t>Tube banding interpretations</t>
  </si>
  <si>
    <t>Center Band Move?</t>
  </si>
  <si>
    <t>Center Band Move Direction</t>
  </si>
  <si>
    <t>QTY of repeating Rear Spaces</t>
  </si>
  <si>
    <t>Tube Banding Break down</t>
  </si>
  <si>
    <t>First Band Location from end of tube</t>
  </si>
  <si>
    <t>Front Space(s)</t>
  </si>
  <si>
    <t>Middle Front space</t>
  </si>
  <si>
    <t>Middle Rear space</t>
  </si>
  <si>
    <t>Rear Space(s)</t>
  </si>
  <si>
    <t>Last Band Location to end of Tube</t>
  </si>
  <si>
    <t>$PRP@TubeBanding</t>
  </si>
  <si>
    <t>Alternative formula:</t>
  </si>
  <si>
    <r>
      <rPr>
        <b/>
        <sz val="11"/>
        <color theme="1"/>
        <rFont val="Calibri"/>
        <family val="2"/>
        <scheme val="minor"/>
      </rPr>
      <t>QTY of spaces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1 more than the qty of Bands</t>
    </r>
  </si>
  <si>
    <r>
      <rPr>
        <b/>
        <sz val="11"/>
        <color theme="1"/>
        <rFont val="Calibri"/>
        <family val="2"/>
        <scheme val="minor"/>
      </rPr>
      <t>QTY of spaces in the middle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Remove 2 end spaces</t>
    </r>
  </si>
  <si>
    <r>
      <rPr>
        <b/>
        <sz val="11"/>
        <color theme="1"/>
        <rFont val="Calibri"/>
        <family val="2"/>
        <scheme val="minor"/>
      </rPr>
      <t>QTY of repeating Front Spaces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Remove 2 middle spaces &amp; divide by 2</t>
    </r>
  </si>
  <si>
    <t>BTSOffset@Tube Banding</t>
  </si>
  <si>
    <t>BTSOffset Front or Rear@Tube Banding</t>
  </si>
  <si>
    <t>Band_Move_Direction_Table</t>
  </si>
  <si>
    <r>
      <t xml:space="preserve">Center Tube Band Direction
</t>
    </r>
    <r>
      <rPr>
        <sz val="11"/>
        <color theme="1"/>
        <rFont val="Calibri"/>
        <family val="2"/>
        <scheme val="minor"/>
      </rPr>
      <t>Front = 1 Rear = 2 none = 0</t>
    </r>
  </si>
  <si>
    <t>$State@Equal Radius5@Size</t>
  </si>
  <si>
    <t>$State@Equal Radius6@Size</t>
  </si>
  <si>
    <t>Default fin size</t>
  </si>
  <si>
    <t>Combined fin size</t>
  </si>
  <si>
    <t>FinTube_Size_Table</t>
  </si>
  <si>
    <t>Tube Dia</t>
  </si>
  <si>
    <t>Fin Dia</t>
  </si>
  <si>
    <t>Raw Fin Strip Width</t>
  </si>
  <si>
    <t>Raw Fin Thk</t>
  </si>
  <si>
    <t>0.625x1.5</t>
  </si>
  <si>
    <t>0.75x1.625</t>
  </si>
  <si>
    <t>0.75x2</t>
  </si>
  <si>
    <t>1x2.25</t>
  </si>
  <si>
    <t>1.25x2.5</t>
  </si>
  <si>
    <t>1.5x2.75</t>
  </si>
  <si>
    <t>End Of List</t>
  </si>
  <si>
    <t>Raw_Fin_Table</t>
  </si>
  <si>
    <t>Raw Fin Width / height</t>
  </si>
  <si>
    <t>Tube Dia Ref</t>
  </si>
  <si>
    <t>Raw Fin Height</t>
  </si>
  <si>
    <t>Fin Material</t>
  </si>
  <si>
    <t>Fin Coating</t>
  </si>
  <si>
    <t>PMI Required</t>
  </si>
  <si>
    <t>$PRP@PMIRequired</t>
  </si>
  <si>
    <t>$PRP@FinCoating</t>
  </si>
  <si>
    <t>???</t>
  </si>
  <si>
    <t>Fin_Coating_List</t>
  </si>
  <si>
    <t>N/A</t>
  </si>
  <si>
    <t>COPON DIP</t>
  </si>
  <si>
    <t>PMI_Req_List</t>
  </si>
  <si>
    <t>Section Number</t>
  </si>
  <si>
    <t>COMB Section Number</t>
  </si>
  <si>
    <t>$PRP@SectionNumber</t>
  </si>
  <si>
    <t>$PRP@COMBSectionNumber</t>
  </si>
  <si>
    <t>Section Numbers Merged</t>
  </si>
  <si>
    <t>$PRP@TYPE</t>
  </si>
  <si>
    <t>Type</t>
  </si>
  <si>
    <t>Used On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</si>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</sst>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0" xfId="0" applyFill="1" applyAlignment="1" applyProtection="1">
      <alignment horizontal="center"/>
      <protection locked="0"/>
    </xf>
    <xf numFmtId="49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/>
    <xf numFmtId="49" fontId="0" fillId="0" borderId="2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7" borderId="2" xfId="0" applyFill="1" applyBorder="1"/>
    <xf numFmtId="0" fontId="0" fillId="6" borderId="2" xfId="0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3" xfId="0" applyNumberFormat="1" applyBorder="1" applyAlignment="1">
      <alignment horizontal="center" textRotation="90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 textRotation="90"/>
    </xf>
    <xf numFmtId="49" fontId="0" fillId="0" borderId="4" xfId="0" applyNumberFormat="1" applyBorder="1" applyAlignment="1">
      <alignment horizontal="center" textRotation="90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49" fontId="0" fillId="0" borderId="4" xfId="0" applyNumberFormat="1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0" borderId="3" xfId="0" applyNumberFormat="1" applyBorder="1"/>
    <xf numFmtId="49" fontId="0" fillId="4" borderId="4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0" fillId="2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49" fontId="0" fillId="6" borderId="2" xfId="0" applyNumberFormat="1" applyFill="1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6" borderId="4" xfId="0" applyFill="1" applyBorder="1" applyAlignment="1">
      <alignment horizontal="center"/>
    </xf>
    <xf numFmtId="0" fontId="6" fillId="3" borderId="0" xfId="0" applyFont="1" applyFill="1"/>
    <xf numFmtId="49" fontId="2" fillId="0" borderId="0" xfId="0" applyNumberFormat="1" applyFont="1"/>
    <xf numFmtId="49" fontId="6" fillId="0" borderId="0" xfId="0" applyNumberFormat="1" applyFont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6" fillId="0" borderId="0" xfId="0" applyFont="1" applyAlignment="1">
      <alignment horizontal="center" textRotation="90"/>
    </xf>
    <xf numFmtId="49" fontId="0" fillId="0" borderId="6" xfId="0" applyNumberFormat="1" applyBorder="1" applyAlignment="1">
      <alignment horizontal="center" textRotation="90"/>
    </xf>
    <xf numFmtId="49" fontId="0" fillId="0" borderId="0" xfId="0" applyNumberFormat="1" applyAlignment="1">
      <alignment horizontal="center" textRotation="90" wrapText="1"/>
    </xf>
    <xf numFmtId="0" fontId="6" fillId="0" borderId="5" xfId="0" applyFont="1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0" fontId="6" fillId="3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/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2" xfId="0" applyFill="1" applyBorder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/>
    <xf numFmtId="49" fontId="2" fillId="5" borderId="0" xfId="0" applyNumberFormat="1" applyFont="1" applyFill="1"/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3"/>
  <sheetViews>
    <sheetView tabSelected="1" zoomScaleNormal="100" workbookViewId="0">
      <selection activeCell="H4" sqref="H4"/>
    </sheetView>
  </sheetViews>
  <sheetFormatPr defaultRowHeight="15" outlineLevelRow="1" x14ac:dyDescent="0.25"/>
  <cols>
    <col min="1" max="1" width="17.5703125" style="1" bestFit="1" customWidth="1"/>
    <col min="2" max="2" width="7.7109375" hidden="1" customWidth="1"/>
    <col min="3" max="3" width="7.7109375" customWidth="1"/>
    <col min="4" max="4" width="6" hidden="1" customWidth="1"/>
    <col min="5" max="5" width="6" customWidth="1"/>
    <col min="6" max="6" width="24.140625" bestFit="1" customWidth="1"/>
    <col min="7" max="7" width="24.140625" customWidth="1"/>
    <col min="8" max="8" width="11" style="5" bestFit="1" customWidth="1"/>
    <col min="9" max="9" width="8.7109375" style="5" customWidth="1"/>
    <col min="10" max="10" width="22.140625" style="5" bestFit="1" customWidth="1"/>
    <col min="11" max="11" width="7.140625" customWidth="1"/>
    <col min="12" max="12" width="4.7109375" style="5" bestFit="1" customWidth="1"/>
    <col min="13" max="13" width="3.7109375" style="5" bestFit="1" customWidth="1"/>
    <col min="14" max="15" width="8.7109375" style="5" bestFit="1" customWidth="1"/>
    <col min="16" max="16" width="3.7109375" bestFit="1" customWidth="1"/>
    <col min="17" max="18" width="6.5703125" style="1" bestFit="1" customWidth="1"/>
    <col min="19" max="20" width="3.7109375" style="1" bestFit="1" customWidth="1"/>
    <col min="21" max="22" width="6" style="1" bestFit="1" customWidth="1"/>
    <col min="23" max="24" width="3.7109375" style="1" bestFit="1" customWidth="1"/>
    <col min="25" max="26" width="6" style="1" bestFit="1" customWidth="1"/>
    <col min="27" max="28" width="3.7109375" style="1" bestFit="1" customWidth="1"/>
    <col min="29" max="30" width="6" style="1" bestFit="1" customWidth="1"/>
    <col min="31" max="31" width="3.7109375" style="1" bestFit="1" customWidth="1"/>
    <col min="32" max="32" width="3.7109375" style="1" customWidth="1"/>
    <col min="33" max="33" width="6" style="1" bestFit="1" customWidth="1"/>
    <col min="34" max="38" width="3.7109375" style="1" bestFit="1" customWidth="1"/>
    <col min="39" max="39" width="3.7109375" style="1" customWidth="1"/>
    <col min="40" max="40" width="3.7109375" style="1" bestFit="1" customWidth="1"/>
    <col min="41" max="41" width="3.7109375" style="1" customWidth="1"/>
    <col min="42" max="47" width="3.7109375" style="1" bestFit="1" customWidth="1"/>
    <col min="48" max="51" width="3.7109375" style="1" customWidth="1"/>
    <col min="52" max="53" width="3.7109375" style="1" bestFit="1" customWidth="1"/>
    <col min="54" max="55" width="4" style="1" bestFit="1" customWidth="1"/>
    <col min="56" max="58" width="3.7109375" style="1" bestFit="1" customWidth="1"/>
    <col min="59" max="59" width="6.5703125" style="1" bestFit="1" customWidth="1"/>
    <col min="60" max="64" width="3.7109375" style="1" bestFit="1" customWidth="1"/>
    <col min="65" max="65" width="6.5703125" style="1" bestFit="1" customWidth="1"/>
    <col min="66" max="66" width="3.7109375" style="1" bestFit="1" customWidth="1"/>
    <col min="67" max="67" width="5.85546875" style="1" bestFit="1" customWidth="1"/>
    <col min="68" max="70" width="6.140625" style="1" bestFit="1" customWidth="1"/>
    <col min="71" max="71" width="3.7109375" style="1" bestFit="1" customWidth="1"/>
    <col min="72" max="72" width="4" style="1" bestFit="1" customWidth="1"/>
    <col min="73" max="73" width="19.28515625" style="1" bestFit="1" customWidth="1"/>
    <col min="74" max="75" width="4" style="1" bestFit="1" customWidth="1"/>
    <col min="76" max="76" width="19.28515625" style="1" bestFit="1" customWidth="1"/>
    <col min="77" max="77" width="3.7109375" style="1" bestFit="1" customWidth="1"/>
    <col min="78" max="78" width="52.42578125" style="1" bestFit="1" customWidth="1"/>
    <col min="79" max="79" width="17" style="1" bestFit="1" customWidth="1"/>
    <col min="80" max="80" width="17.28515625" style="1" bestFit="1" customWidth="1"/>
    <col min="81" max="81" width="18.140625" style="1" bestFit="1" customWidth="1"/>
    <col min="82" max="82" width="6.28515625" style="1" bestFit="1" customWidth="1"/>
    <col min="83" max="83" width="7" style="1" bestFit="1" customWidth="1"/>
    <col min="84" max="84" width="6" style="1" bestFit="1" customWidth="1"/>
    <col min="85" max="85" width="6.140625" style="1" bestFit="1" customWidth="1"/>
    <col min="86" max="86" width="15.7109375" style="1" bestFit="1" customWidth="1"/>
    <col min="87" max="88" width="7.42578125" style="1" bestFit="1" customWidth="1"/>
    <col min="89" max="89" width="4" style="1" bestFit="1" customWidth="1"/>
    <col min="90" max="90" width="10" bestFit="1" customWidth="1"/>
    <col min="91" max="95" width="3.7109375" bestFit="1" customWidth="1"/>
    <col min="96" max="96" width="7.5703125" bestFit="1" customWidth="1"/>
    <col min="97" max="97" width="9.42578125" bestFit="1" customWidth="1"/>
    <col min="98" max="98" width="7" bestFit="1" customWidth="1"/>
    <col min="99" max="100" width="31.140625" customWidth="1"/>
    <col min="101" max="101" width="7.5703125" bestFit="1" customWidth="1"/>
    <col min="102" max="102" width="31.140625" customWidth="1"/>
    <col min="103" max="106" width="30.140625" bestFit="1" customWidth="1"/>
  </cols>
  <sheetData>
    <row r="1" spans="1:106" s="9" customFormat="1" x14ac:dyDescent="0.25">
      <c r="A1" s="78" t="s">
        <v>63</v>
      </c>
      <c r="B1" s="78"/>
      <c r="C1" s="78"/>
      <c r="D1" s="78"/>
      <c r="E1" s="78"/>
      <c r="F1" s="78"/>
      <c r="G1" s="8"/>
      <c r="H1" s="19"/>
      <c r="I1" s="19"/>
      <c r="J1" s="10"/>
      <c r="L1" s="10"/>
      <c r="M1" s="19"/>
      <c r="N1" s="19" t="s">
        <v>104</v>
      </c>
      <c r="O1" s="19" t="s">
        <v>104</v>
      </c>
      <c r="Q1" s="1"/>
      <c r="R1" s="1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8"/>
      <c r="CA1" s="8"/>
      <c r="CB1" s="8"/>
      <c r="CC1" s="8"/>
      <c r="CD1" s="8"/>
      <c r="CE1" s="8"/>
      <c r="CF1" s="8"/>
      <c r="CG1" s="8"/>
      <c r="CH1" s="8"/>
      <c r="CI1" s="50"/>
      <c r="CJ1" s="50"/>
      <c r="CK1" s="8"/>
    </row>
    <row r="2" spans="1:106" ht="18.75" x14ac:dyDescent="0.3">
      <c r="A2" s="1" t="str">
        <f>UPPER(RIGHT($F$5,LEN($F$5)-FIND("@",$F$5,1)))</f>
        <v>000000_S01C-TUBE</v>
      </c>
      <c r="F2" s="11">
        <f>MID(A2,FIND("_",A2,1)+2,2)+0</f>
        <v>1</v>
      </c>
      <c r="G2" s="12" t="s">
        <v>55</v>
      </c>
      <c r="J2"/>
      <c r="P2" s="11">
        <f>F2+1</f>
        <v>2</v>
      </c>
      <c r="Q2" s="77" t="s">
        <v>56</v>
      </c>
      <c r="R2" s="77"/>
      <c r="S2" s="77"/>
      <c r="T2" s="77"/>
      <c r="U2" s="77"/>
      <c r="V2" s="77"/>
      <c r="BD2"/>
      <c r="BE2"/>
      <c r="BF2"/>
      <c r="BG2"/>
      <c r="BH2"/>
      <c r="BI2"/>
      <c r="BJ2"/>
      <c r="BK2"/>
      <c r="BL2"/>
      <c r="BM2"/>
    </row>
    <row r="3" spans="1:106" x14ac:dyDescent="0.25">
      <c r="A3" s="31"/>
      <c r="R3" s="35"/>
      <c r="S3" s="79" t="s">
        <v>46</v>
      </c>
      <c r="T3" s="80"/>
      <c r="U3" s="80"/>
      <c r="V3" s="81"/>
      <c r="W3" s="79" t="s">
        <v>47</v>
      </c>
      <c r="X3" s="80"/>
      <c r="Y3" s="80"/>
      <c r="Z3" s="81"/>
      <c r="AA3" s="79" t="s">
        <v>13</v>
      </c>
      <c r="AB3" s="80"/>
      <c r="AC3" s="80"/>
      <c r="AD3" s="81"/>
      <c r="AE3" s="79" t="s">
        <v>14</v>
      </c>
      <c r="AF3" s="80"/>
      <c r="AG3" s="81"/>
      <c r="AH3" s="31"/>
      <c r="AK3" s="35"/>
      <c r="AL3" s="79" t="s">
        <v>88</v>
      </c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2" t="s">
        <v>144</v>
      </c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3"/>
      <c r="BN3" s="75" t="s">
        <v>155</v>
      </c>
      <c r="BO3" s="76"/>
      <c r="BP3" s="76"/>
      <c r="BQ3" s="76"/>
      <c r="BR3" s="76"/>
      <c r="BS3" s="84"/>
      <c r="BT3" s="75" t="s">
        <v>159</v>
      </c>
      <c r="BU3" s="76"/>
      <c r="BV3" s="76"/>
      <c r="BW3" s="76"/>
      <c r="BX3" s="76"/>
      <c r="BY3" s="76"/>
      <c r="BZ3" s="31" t="s">
        <v>127</v>
      </c>
      <c r="CI3" s="73"/>
      <c r="CJ3" s="73"/>
      <c r="CL3" s="1"/>
      <c r="CM3" s="1"/>
      <c r="CN3" s="1"/>
      <c r="CO3" s="1"/>
      <c r="CP3" s="1"/>
      <c r="CQ3" s="1"/>
      <c r="CR3" s="1"/>
      <c r="CS3" s="1"/>
      <c r="CT3" s="35"/>
      <c r="CW3" s="1"/>
    </row>
    <row r="4" spans="1:106" s="3" customFormat="1" ht="175.5" customHeight="1" x14ac:dyDescent="0.25">
      <c r="A4" s="24"/>
      <c r="C4" s="53" t="s">
        <v>193</v>
      </c>
      <c r="E4" s="53" t="s">
        <v>100</v>
      </c>
      <c r="F4" s="3" t="s">
        <v>37</v>
      </c>
      <c r="G4" s="3" t="s">
        <v>195</v>
      </c>
      <c r="H4" s="3" t="s">
        <v>196</v>
      </c>
      <c r="I4" s="3" t="s">
        <v>197</v>
      </c>
      <c r="J4" s="3" t="s">
        <v>10</v>
      </c>
      <c r="K4" s="3" t="s">
        <v>36</v>
      </c>
      <c r="L4" s="3" t="s">
        <v>15</v>
      </c>
      <c r="M4" s="3" t="s">
        <v>105</v>
      </c>
      <c r="N4" s="3" t="s">
        <v>48</v>
      </c>
      <c r="O4" s="3" t="s">
        <v>106</v>
      </c>
      <c r="P4" s="3" t="s">
        <v>33</v>
      </c>
      <c r="Q4" s="40" t="s">
        <v>92</v>
      </c>
      <c r="R4" s="41" t="s">
        <v>91</v>
      </c>
      <c r="S4" s="24" t="s">
        <v>42</v>
      </c>
      <c r="T4" s="2" t="s">
        <v>109</v>
      </c>
      <c r="U4" s="2" t="s">
        <v>48</v>
      </c>
      <c r="V4" s="21" t="s">
        <v>106</v>
      </c>
      <c r="W4" s="24" t="s">
        <v>43</v>
      </c>
      <c r="X4" s="2" t="s">
        <v>109</v>
      </c>
      <c r="Y4" s="2" t="s">
        <v>48</v>
      </c>
      <c r="Z4" s="21" t="s">
        <v>106</v>
      </c>
      <c r="AA4" s="24" t="s">
        <v>44</v>
      </c>
      <c r="AB4" s="2" t="s">
        <v>109</v>
      </c>
      <c r="AC4" s="2" t="s">
        <v>48</v>
      </c>
      <c r="AD4" s="21" t="s">
        <v>106</v>
      </c>
      <c r="AE4" s="24" t="s">
        <v>45</v>
      </c>
      <c r="AF4" s="2" t="s">
        <v>109</v>
      </c>
      <c r="AG4" s="21" t="s">
        <v>48</v>
      </c>
      <c r="AH4" s="24" t="s">
        <v>67</v>
      </c>
      <c r="AI4" s="2" t="s">
        <v>41</v>
      </c>
      <c r="AJ4" s="2" t="s">
        <v>68</v>
      </c>
      <c r="AK4" s="21" t="s">
        <v>69</v>
      </c>
      <c r="AL4" s="24" t="s">
        <v>70</v>
      </c>
      <c r="AM4" s="2" t="s">
        <v>177</v>
      </c>
      <c r="AN4" s="2" t="s">
        <v>71</v>
      </c>
      <c r="AO4" s="2" t="s">
        <v>178</v>
      </c>
      <c r="AP4" s="2" t="s">
        <v>72</v>
      </c>
      <c r="AQ4" s="2" t="s">
        <v>73</v>
      </c>
      <c r="AR4" s="2" t="s">
        <v>74</v>
      </c>
      <c r="AS4" s="2" t="s">
        <v>75</v>
      </c>
      <c r="AT4" s="2" t="s">
        <v>76</v>
      </c>
      <c r="AU4" s="2" t="s">
        <v>77</v>
      </c>
      <c r="AV4" s="2" t="s">
        <v>78</v>
      </c>
      <c r="AW4" s="2" t="s">
        <v>79</v>
      </c>
      <c r="AX4" s="2" t="s">
        <v>128</v>
      </c>
      <c r="AY4" s="2" t="s">
        <v>129</v>
      </c>
      <c r="AZ4" s="2" t="s">
        <v>130</v>
      </c>
      <c r="BA4" s="2" t="s">
        <v>131</v>
      </c>
      <c r="BB4" s="24"/>
      <c r="BC4" s="51" t="s">
        <v>145</v>
      </c>
      <c r="BD4" s="51"/>
      <c r="BE4" s="51" t="s">
        <v>146</v>
      </c>
      <c r="BG4" s="52" t="s">
        <v>147</v>
      </c>
      <c r="BI4" s="53" t="s">
        <v>148</v>
      </c>
      <c r="BK4" s="53" t="s">
        <v>149</v>
      </c>
      <c r="BM4" s="52" t="s">
        <v>174</v>
      </c>
      <c r="BN4" s="54" t="s">
        <v>156</v>
      </c>
      <c r="BO4" s="2" t="s">
        <v>157</v>
      </c>
      <c r="BP4" s="55" t="s">
        <v>168</v>
      </c>
      <c r="BQ4" s="40" t="s">
        <v>169</v>
      </c>
      <c r="BR4" s="40" t="s">
        <v>170</v>
      </c>
      <c r="BS4" s="56" t="s">
        <v>158</v>
      </c>
      <c r="BT4" s="3" t="s">
        <v>160</v>
      </c>
      <c r="BU4" s="40" t="s">
        <v>161</v>
      </c>
      <c r="BV4" s="40" t="s">
        <v>162</v>
      </c>
      <c r="BW4" s="40" t="s">
        <v>163</v>
      </c>
      <c r="BX4" s="40" t="s">
        <v>164</v>
      </c>
      <c r="BY4" s="2" t="s">
        <v>165</v>
      </c>
      <c r="BZ4" s="24" t="s">
        <v>166</v>
      </c>
      <c r="CA4" s="2" t="s">
        <v>117</v>
      </c>
      <c r="CB4" s="2" t="s">
        <v>118</v>
      </c>
      <c r="CC4" s="2" t="s">
        <v>119</v>
      </c>
      <c r="CD4" s="2" t="s">
        <v>120</v>
      </c>
      <c r="CE4" s="2" t="s">
        <v>121</v>
      </c>
      <c r="CF4" s="2" t="s">
        <v>122</v>
      </c>
      <c r="CG4" s="2" t="s">
        <v>123</v>
      </c>
      <c r="CH4" s="2" t="s">
        <v>124</v>
      </c>
      <c r="CI4" s="2" t="s">
        <v>198</v>
      </c>
      <c r="CJ4" s="2" t="s">
        <v>199</v>
      </c>
      <c r="CK4" s="2" t="s">
        <v>125</v>
      </c>
      <c r="CL4" s="3" t="s">
        <v>40</v>
      </c>
      <c r="CM4" s="3" t="s">
        <v>205</v>
      </c>
      <c r="CN4" s="3" t="s">
        <v>206</v>
      </c>
      <c r="CO4" s="3" t="s">
        <v>209</v>
      </c>
      <c r="CP4" s="3" t="s">
        <v>57</v>
      </c>
      <c r="CQ4" s="3" t="s">
        <v>58</v>
      </c>
      <c r="CR4" s="3" t="s">
        <v>211</v>
      </c>
      <c r="CS4" s="3" t="s">
        <v>54</v>
      </c>
      <c r="CT4" s="23" t="s">
        <v>62</v>
      </c>
      <c r="CW4" s="3" t="s">
        <v>212</v>
      </c>
      <c r="CY4" s="3" t="s">
        <v>17</v>
      </c>
      <c r="CZ4" s="3" t="s">
        <v>18</v>
      </c>
      <c r="DA4" s="3" t="s">
        <v>19</v>
      </c>
      <c r="DB4" s="3" t="s">
        <v>20</v>
      </c>
    </row>
    <row r="5" spans="1:106" s="3" customFormat="1" ht="165.75" hidden="1" customHeight="1" outlineLevel="1" x14ac:dyDescent="0.25">
      <c r="A5" s="24"/>
      <c r="B5" s="3" t="s">
        <v>98</v>
      </c>
      <c r="C5" s="3" t="s">
        <v>9</v>
      </c>
      <c r="D5" s="3" t="s">
        <v>99</v>
      </c>
      <c r="E5" s="3" t="s">
        <v>9</v>
      </c>
      <c r="F5" s="42" t="s">
        <v>64</v>
      </c>
      <c r="G5" s="3" t="s">
        <v>9</v>
      </c>
      <c r="H5" s="3" t="s">
        <v>9</v>
      </c>
      <c r="I5" s="3" t="s">
        <v>9</v>
      </c>
      <c r="J5" s="3" t="s">
        <v>9</v>
      </c>
      <c r="K5" s="3" t="str">
        <f>IF(L6="MIN","Tube Wall Thk@Sketch15","Tube Wall Thk@Sketch1")</f>
        <v>Tube Wall Thk@Sketch15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93</v>
      </c>
      <c r="Q5" s="3" t="s">
        <v>94</v>
      </c>
      <c r="R5" s="23" t="s">
        <v>95</v>
      </c>
      <c r="S5" s="24" t="s">
        <v>6</v>
      </c>
      <c r="T5" s="2" t="s">
        <v>110</v>
      </c>
      <c r="U5" s="2" t="s">
        <v>49</v>
      </c>
      <c r="V5" s="21" t="s">
        <v>50</v>
      </c>
      <c r="W5" s="24" t="s">
        <v>3</v>
      </c>
      <c r="X5" s="2" t="s">
        <v>111</v>
      </c>
      <c r="Y5" s="2" t="s">
        <v>51</v>
      </c>
      <c r="Z5" s="21" t="s">
        <v>52</v>
      </c>
      <c r="AA5" s="24" t="s">
        <v>4</v>
      </c>
      <c r="AB5" s="2" t="s">
        <v>112</v>
      </c>
      <c r="AC5" s="2" t="s">
        <v>113</v>
      </c>
      <c r="AD5" s="21" t="s">
        <v>114</v>
      </c>
      <c r="AE5" s="24" t="s">
        <v>5</v>
      </c>
      <c r="AF5" s="2" t="s">
        <v>115</v>
      </c>
      <c r="AG5" s="21" t="s">
        <v>116</v>
      </c>
      <c r="AH5" s="24" t="s">
        <v>7</v>
      </c>
      <c r="AI5" s="2" t="s">
        <v>65</v>
      </c>
      <c r="AJ5" s="2" t="s">
        <v>38</v>
      </c>
      <c r="AK5" s="21" t="s">
        <v>66</v>
      </c>
      <c r="AL5" s="24" t="s">
        <v>96</v>
      </c>
      <c r="AM5" s="2" t="s">
        <v>175</v>
      </c>
      <c r="AN5" s="2" t="s">
        <v>97</v>
      </c>
      <c r="AO5" s="2" t="s">
        <v>176</v>
      </c>
      <c r="AP5" s="3" t="s">
        <v>80</v>
      </c>
      <c r="AQ5" s="3" t="s">
        <v>81</v>
      </c>
      <c r="AR5" s="3" t="s">
        <v>84</v>
      </c>
      <c r="AS5" s="3" t="s">
        <v>85</v>
      </c>
      <c r="AT5" s="3" t="s">
        <v>86</v>
      </c>
      <c r="AU5" s="3" t="s">
        <v>87</v>
      </c>
      <c r="AV5" s="3" t="s">
        <v>82</v>
      </c>
      <c r="AW5" s="3" t="s">
        <v>83</v>
      </c>
      <c r="AX5" s="3" t="s">
        <v>132</v>
      </c>
      <c r="AY5" s="3" t="s">
        <v>133</v>
      </c>
      <c r="AZ5" s="3" t="s">
        <v>134</v>
      </c>
      <c r="BA5" s="3" t="s">
        <v>135</v>
      </c>
      <c r="BB5" s="24" t="s">
        <v>150</v>
      </c>
      <c r="BC5" s="3" t="s">
        <v>9</v>
      </c>
      <c r="BD5" s="2" t="s">
        <v>151</v>
      </c>
      <c r="BE5" s="3" t="s">
        <v>9</v>
      </c>
      <c r="BF5" s="3" t="s">
        <v>152</v>
      </c>
      <c r="BG5" s="3" t="s">
        <v>9</v>
      </c>
      <c r="BH5" s="3" t="s">
        <v>153</v>
      </c>
      <c r="BI5" s="3" t="s">
        <v>9</v>
      </c>
      <c r="BJ5" s="3" t="s">
        <v>171</v>
      </c>
      <c r="BK5" s="3" t="s">
        <v>9</v>
      </c>
      <c r="BL5" s="3" t="s">
        <v>172</v>
      </c>
      <c r="BM5" s="3" t="s">
        <v>9</v>
      </c>
      <c r="BN5" s="57" t="s">
        <v>9</v>
      </c>
      <c r="BO5" s="3" t="s">
        <v>9</v>
      </c>
      <c r="BP5" s="3" t="s">
        <v>9</v>
      </c>
      <c r="BQ5" s="3" t="s">
        <v>9</v>
      </c>
      <c r="BR5" s="3" t="s">
        <v>9</v>
      </c>
      <c r="BS5" s="58" t="s">
        <v>9</v>
      </c>
      <c r="BT5" s="3" t="s">
        <v>9</v>
      </c>
      <c r="BU5" s="3" t="s">
        <v>9</v>
      </c>
      <c r="BV5" s="3" t="s">
        <v>9</v>
      </c>
      <c r="BW5" s="3" t="s">
        <v>9</v>
      </c>
      <c r="BX5" s="3" t="s">
        <v>9</v>
      </c>
      <c r="BY5" s="3" t="s">
        <v>9</v>
      </c>
      <c r="BZ5" s="47" t="s">
        <v>166</v>
      </c>
      <c r="CA5" s="2" t="s">
        <v>117</v>
      </c>
      <c r="CB5" s="2" t="s">
        <v>118</v>
      </c>
      <c r="CC5" s="2" t="s">
        <v>119</v>
      </c>
      <c r="CD5" s="2" t="s">
        <v>120</v>
      </c>
      <c r="CE5" s="2" t="s">
        <v>121</v>
      </c>
      <c r="CF5" s="2" t="s">
        <v>122</v>
      </c>
      <c r="CG5" s="2" t="s">
        <v>123</v>
      </c>
      <c r="CH5" s="2" t="s">
        <v>124</v>
      </c>
      <c r="CI5" s="2" t="s">
        <v>198</v>
      </c>
      <c r="CJ5" s="2" t="s">
        <v>199</v>
      </c>
      <c r="CK5" s="2" t="s">
        <v>125</v>
      </c>
      <c r="CL5" s="3" t="s">
        <v>39</v>
      </c>
      <c r="CM5" s="3" t="s">
        <v>207</v>
      </c>
      <c r="CN5" s="3" t="s">
        <v>208</v>
      </c>
      <c r="CO5" s="3" t="s">
        <v>9</v>
      </c>
      <c r="CP5" s="3" t="s">
        <v>59</v>
      </c>
      <c r="CQ5" s="3" t="s">
        <v>60</v>
      </c>
      <c r="CR5" s="3" t="s">
        <v>210</v>
      </c>
      <c r="CS5" s="3" t="s">
        <v>53</v>
      </c>
      <c r="CT5" s="23" t="s">
        <v>61</v>
      </c>
      <c r="CW5" s="3" t="s">
        <v>213</v>
      </c>
      <c r="CY5" s="3" t="str">
        <f>IF($J6="L-Tension Wheel","$LIBRARY:MATERIAL@Fin L-Tension Wheel Structural Member@000000_S01c_Tube","$User_Notes")</f>
        <v>$LIBRARY:MATERIAL@Fin L-Tension Wheel Structural Member@000000_S01c_Tube</v>
      </c>
      <c r="CZ5" s="3" t="str">
        <f>IF($J6="L-Tension Plain","$LIBRARY:MATERIAL@Fin L-Tension Plain Structural Member@000000_S01c_Tube","$User_Notes")</f>
        <v>$User_Notes</v>
      </c>
      <c r="DA5" s="3" t="str">
        <f>IF($J6="Embedded","$LIBRARY:MATERIAL@Fin Embedded Structural Member@000000_S01c_Tube","$User_Notes")</f>
        <v>$User_Notes</v>
      </c>
      <c r="DB5" s="3" t="str">
        <f>IF($J6="Extruded","$LIBRARY:MATERIAL@Fin Extruded Structural Member@000000_S01c_Tube","$User_Notes")</f>
        <v>$User_Notes</v>
      </c>
    </row>
    <row r="6" spans="1:106" collapsed="1" x14ac:dyDescent="0.25">
      <c r="A6" s="31" t="s">
        <v>1</v>
      </c>
      <c r="B6" s="43">
        <v>0.62500000000001221</v>
      </c>
      <c r="C6" s="69">
        <f>ROUND(B6,4)</f>
        <v>0.625</v>
      </c>
      <c r="D6" s="43">
        <v>1.5000000000000011</v>
      </c>
      <c r="E6" s="69">
        <f>ROUND(D6,4)</f>
        <v>1.5</v>
      </c>
      <c r="F6" s="5" t="s">
        <v>21</v>
      </c>
      <c r="G6" s="5" t="s">
        <v>140</v>
      </c>
      <c r="H6" s="44" t="s">
        <v>200</v>
      </c>
      <c r="I6" s="44" t="s">
        <v>200</v>
      </c>
      <c r="J6" s="5" t="s">
        <v>11</v>
      </c>
      <c r="K6" s="67">
        <v>0.06</v>
      </c>
      <c r="L6" s="5" t="s">
        <v>16</v>
      </c>
      <c r="M6" s="5">
        <v>10</v>
      </c>
      <c r="N6" s="44">
        <f>VLOOKUP($J$6,Tube_Types_Table,2,FALSE)</f>
        <v>1.4E-2</v>
      </c>
      <c r="O6" s="44">
        <f>VLOOKUP($J$6,Tube_Types_Table,3,FALSE)</f>
        <v>0.5</v>
      </c>
      <c r="P6" s="26">
        <f>VLOOKUP(K6,BWG_Table,2,FALSE)</f>
        <v>16</v>
      </c>
      <c r="Q6" s="26">
        <f>VLOOKUP(L6,Tube_Wall_Type_Table,2,FALSE)</f>
        <v>1</v>
      </c>
      <c r="R6" s="27">
        <f>VLOOKUP(L6,Tube_Wall_Type_Table,2,FALSE)</f>
        <v>1</v>
      </c>
      <c r="S6" s="36" t="str">
        <f>IF($J6="L-Tension Wheel","U","S")</f>
        <v>U</v>
      </c>
      <c r="T6" s="30">
        <f>$M6</f>
        <v>10</v>
      </c>
      <c r="U6" s="30">
        <f>$N6</f>
        <v>1.4E-2</v>
      </c>
      <c r="V6" s="22">
        <f>$O6</f>
        <v>0.5</v>
      </c>
      <c r="W6" s="36" t="str">
        <f>IF($J6="L-Tension Plain","U","S")</f>
        <v>S</v>
      </c>
      <c r="X6" s="30">
        <f>$M6</f>
        <v>10</v>
      </c>
      <c r="Y6" s="30">
        <f>$N6</f>
        <v>1.4E-2</v>
      </c>
      <c r="Z6" s="22">
        <f>$O6</f>
        <v>0.5</v>
      </c>
      <c r="AA6" s="36" t="str">
        <f>IF($J6="Embedded","U","S")</f>
        <v>S</v>
      </c>
      <c r="AB6" s="30">
        <f>$M6</f>
        <v>10</v>
      </c>
      <c r="AC6" s="30">
        <f>$N6</f>
        <v>1.4E-2</v>
      </c>
      <c r="AD6" s="22">
        <f>$O6</f>
        <v>0.5</v>
      </c>
      <c r="AE6" s="36" t="str">
        <f>IF($J6="Extruded","U","S")</f>
        <v>S</v>
      </c>
      <c r="AF6" s="30">
        <f>$M6</f>
        <v>10</v>
      </c>
      <c r="AG6" s="22">
        <f>$N6</f>
        <v>1.4E-2</v>
      </c>
      <c r="AH6" s="36" t="str">
        <f>IF($L6="MIN","U","S")</f>
        <v>U</v>
      </c>
      <c r="AI6" s="37" t="str">
        <f>AH6</f>
        <v>U</v>
      </c>
      <c r="AJ6" s="26" t="str">
        <f>IF($L6="AVG","U","S")</f>
        <v>S</v>
      </c>
      <c r="AK6" s="38" t="str">
        <f>AJ6</f>
        <v>S</v>
      </c>
      <c r="AL6" s="33" t="str">
        <f>IF($A6="Default","U","S")</f>
        <v>U</v>
      </c>
      <c r="AM6" s="30" t="str">
        <f>AL6</f>
        <v>U</v>
      </c>
      <c r="AN6" s="34" t="str">
        <f>IF(AL6="U","S","U")</f>
        <v>S</v>
      </c>
      <c r="AO6" s="30" t="str">
        <f>AN6</f>
        <v>S</v>
      </c>
      <c r="AP6" s="26" t="str">
        <f>IF($A6="Default","U","S")</f>
        <v>U</v>
      </c>
      <c r="AQ6" s="34" t="str">
        <f>IF(AP6="U","S","U")</f>
        <v>S</v>
      </c>
      <c r="AR6" s="26" t="str">
        <f>IF($A6="Default","U","S")</f>
        <v>U</v>
      </c>
      <c r="AS6" s="34" t="str">
        <f>IF(AR6="U","S","U")</f>
        <v>S</v>
      </c>
      <c r="AT6" s="26" t="str">
        <f>IF($A6="Default","U","S")</f>
        <v>U</v>
      </c>
      <c r="AU6" s="34" t="str">
        <f>IF(AT6="U","S","U")</f>
        <v>S</v>
      </c>
      <c r="AV6" s="26" t="str">
        <f>IF($A6="Default","U","S")</f>
        <v>U</v>
      </c>
      <c r="AW6" s="34" t="str">
        <f>IF(AV6="U","S","U")</f>
        <v>S</v>
      </c>
      <c r="AX6" s="26" t="str">
        <f>IF($A6="Default","U","S")</f>
        <v>U</v>
      </c>
      <c r="AY6" s="30" t="str">
        <f>AX6</f>
        <v>U</v>
      </c>
      <c r="AZ6" s="34" t="str">
        <f>IF(AY6="U","S","U")</f>
        <v>S</v>
      </c>
      <c r="BA6" s="30" t="str">
        <f>AZ6</f>
        <v>S</v>
      </c>
      <c r="BB6" s="46">
        <v>780.00000000000011</v>
      </c>
      <c r="BC6" s="69">
        <f>ROUND(BB6,4)</f>
        <v>780</v>
      </c>
      <c r="BD6" s="43">
        <v>16</v>
      </c>
      <c r="BE6" s="69">
        <f>ROUND(BD6,4)</f>
        <v>16</v>
      </c>
      <c r="BF6" s="43">
        <v>30.000000000000018</v>
      </c>
      <c r="BG6" s="69">
        <f>ROUND(BF6,4)</f>
        <v>30</v>
      </c>
      <c r="BH6" s="43">
        <v>47.999999999999993</v>
      </c>
      <c r="BI6" s="69">
        <f>ROUND(BH6,4)</f>
        <v>48</v>
      </c>
      <c r="BJ6" s="43">
        <v>1.0000000000200138E-5</v>
      </c>
      <c r="BK6" s="69">
        <f>ROUND(BJ6,4)</f>
        <v>0</v>
      </c>
      <c r="BL6" s="43">
        <v>1.0000000000200138E-5</v>
      </c>
      <c r="BM6" s="70">
        <f>ROUND(BL6,4)</f>
        <v>0</v>
      </c>
      <c r="BN6" s="59" t="str">
        <f>IF(AND(ISODD(QTY_of_Bands),Center_Band_Offset&gt;0,BM6&gt;0), "Yes", "No")</f>
        <v>No</v>
      </c>
      <c r="BO6" s="4" t="str">
        <f>IF(Center_Band_Move?="Yes",    VLOOKUP(Center_Band_Direction,Band_Move_Direction_Table,2,TRUE),    "None")</f>
        <v>None</v>
      </c>
      <c r="BP6" s="4">
        <f>QTY_of_Bands+1</f>
        <v>17</v>
      </c>
      <c r="BQ6" s="4">
        <f>IF(QTY_of_Bands&gt;0,   QTY_of_Spaces-2,  0)</f>
        <v>15</v>
      </c>
      <c r="BR6" s="4">
        <f>IF(QTY_of_Bands&gt;2,  ROUNDUP((QTY_of_Mid_Spaces-2)/2,0),  0)</f>
        <v>7</v>
      </c>
      <c r="BS6" s="60">
        <f>IF(ISODD(QTY_of_Bands),   QTY_of_Front_Spaces,     IF(QTY_of_Bands&gt;2,      QTY_of_Front_Spaces-1,    0 ) )</f>
        <v>6</v>
      </c>
      <c r="BT6" s="66" t="str">
        <f>IF(QTY_of_Bands&gt;=1,  First_Band_Loc&amp;", ",  "")</f>
        <v xml:space="preserve">30, </v>
      </c>
      <c r="BU6" s="4" t="str">
        <f>REPT(Band_Spacing&amp;", ",    QTY_of_Front_Spaces)</f>
        <v xml:space="preserve">48, 48, 48, 48, 48, 48, 48, </v>
      </c>
      <c r="BV6" s="65" t="str">
        <f>IF(QTY_of_Bands&gt;1,    IF(Center_Band_Offset_Direction="Front",    Band_Spacing-Center_Band_Offset,      IF(Center_Band_Offset_Direction="Rear",  Band_Spacing+Center_Band_Offset,  Band_Spacing)  )&amp;", ",     "")</f>
        <v xml:space="preserve">48, </v>
      </c>
      <c r="BW6" s="65" t="str">
        <f>IF(QTY_of_Bands&gt;=3,   ABS(Band_Spacing+(Band_Spacing-LEFT(BV6,(LEN(BV6)-2)))) &amp;", ",  "")</f>
        <v xml:space="preserve">48, </v>
      </c>
      <c r="BX6" s="4" t="str">
        <f>REPT(Band_Spacing&amp;", ",   QTY_of_Rear_Spaces)</f>
        <v xml:space="preserve">48, 48, 48, 48, 48, 48, </v>
      </c>
      <c r="BY6" s="65">
        <f>IF(QTY_of_Bands&gt;=2,    First_Band_Loc,    IF(QTY_of_Bands=1,     Tube_Length-First_Band_Loc,  ""))</f>
        <v>30</v>
      </c>
      <c r="BZ6" s="25" t="str">
        <f>_xlfn.CONCAT(BT6:BY6)</f>
        <v>30, 48, 48, 48, 48, 48, 48, 48, 48, 48, 48, 48, 48, 48, 48, 48, 30</v>
      </c>
      <c r="CA6" s="4" t="str">
        <f>UPPER(J6)</f>
        <v>L-TENSION WHEEL</v>
      </c>
      <c r="CB6" s="4" t="str">
        <f>ROUND(B6,6)&amp;" &lt;MOD-DIAM&gt;"</f>
        <v>0.625 &lt;MOD-DIAM&gt;</v>
      </c>
      <c r="CC6" s="4" t="str">
        <f>ROUND(P6,6)&amp;"BWG ("&amp;K6&amp;" MIN)"</f>
        <v>16BWG (0.06 MIN)</v>
      </c>
      <c r="CD6" s="4" t="str">
        <f>RIGHT(F6,LEN(F6)-14)</f>
        <v>SA214</v>
      </c>
      <c r="CE6" s="4">
        <f>(ROUND(D6,6)-ROUND(B6,6)) /2</f>
        <v>0.4375</v>
      </c>
      <c r="CF6" s="30">
        <f>$N6</f>
        <v>1.4E-2</v>
      </c>
      <c r="CG6" s="30" t="str">
        <f>$M6&amp;" FPI"</f>
        <v>10 FPI</v>
      </c>
      <c r="CH6" s="72" t="str">
        <f>G6</f>
        <v>1100 ALUMINUM</v>
      </c>
      <c r="CI6" s="72" t="str">
        <f t="shared" ref="CI6" si="0">H6</f>
        <v>???</v>
      </c>
      <c r="CJ6" s="72" t="str">
        <f t="shared" ref="CJ6" si="1">I6</f>
        <v>???</v>
      </c>
      <c r="CK6" s="30">
        <f>$O6</f>
        <v>0.5</v>
      </c>
      <c r="CL6" s="26" t="str">
        <f>"SIDE A"</f>
        <v>SIDE A</v>
      </c>
      <c r="CM6" s="7" t="str">
        <f>CONCATENATE($B$2,$F$2)</f>
        <v>1</v>
      </c>
      <c r="CN6" s="7" t="str">
        <f>CONCATENATE($B$2,$P$2)</f>
        <v>2</v>
      </c>
      <c r="CO6" s="7" t="str">
        <f>_xlfn.CONCAT($CM6,"-",$CN6)</f>
        <v>1-2</v>
      </c>
      <c r="CP6" s="7" t="str">
        <f>CONCATENATE(".",$CM6)</f>
        <v>.1</v>
      </c>
      <c r="CQ6" s="7" t="str">
        <f>CONCATENATE(".",$CN6)</f>
        <v>.2</v>
      </c>
      <c r="CR6" s="26" t="str">
        <f>CONCATENATE($CO6,"-SEC")</f>
        <v>1-2-SEC</v>
      </c>
      <c r="CS6" s="26" t="str">
        <f>CONCATENATE($CO6,"-FTB"&amp;IF(ROUND($B$6,4)&lt;&gt;ROUND($B$7,4),"-A",""))</f>
        <v>1-2-FTB</v>
      </c>
      <c r="CT6" s="27" t="str">
        <f>LEFT($A$2,FIND("_",$A$2,1)-1)</f>
        <v>000000</v>
      </c>
      <c r="CU6" s="5"/>
      <c r="CV6" s="5"/>
      <c r="CW6" s="26" t="str">
        <f>CONCATENATE($CO6,"-SEC")</f>
        <v>1-2-SEC</v>
      </c>
      <c r="CX6" s="5"/>
      <c r="CY6" s="4" t="str">
        <f t="shared" ref="CY6:DB7" si="2">CONCATENATE("AXC materials:ALUMINUM (",ROUND($B6,6),")")</f>
        <v>AXC materials:ALUMINUM (0.625)</v>
      </c>
      <c r="CZ6" s="4" t="str">
        <f t="shared" si="2"/>
        <v>AXC materials:ALUMINUM (0.625)</v>
      </c>
      <c r="DA6" s="4" t="str">
        <f t="shared" si="2"/>
        <v>AXC materials:ALUMINUM (0.625)</v>
      </c>
      <c r="DB6" s="4" t="str">
        <f t="shared" si="2"/>
        <v>AXC materials:ALUMINUM (0.625)</v>
      </c>
    </row>
    <row r="7" spans="1:106" x14ac:dyDescent="0.25">
      <c r="A7" s="31" t="s">
        <v>2</v>
      </c>
      <c r="B7" s="43">
        <v>0.62499999999999889</v>
      </c>
      <c r="C7" s="69">
        <f>ROUND(B7,4)</f>
        <v>0.625</v>
      </c>
      <c r="D7" s="43">
        <v>1.50000000000001</v>
      </c>
      <c r="E7" s="69">
        <f>ROUND(D7,4)</f>
        <v>1.5</v>
      </c>
      <c r="F7" s="5" t="str">
        <f>F6</f>
        <v>AXC materials:SA214</v>
      </c>
      <c r="G7" s="74" t="str">
        <f>G6</f>
        <v>1100 ALUMINUM</v>
      </c>
      <c r="H7" s="44" t="s">
        <v>200</v>
      </c>
      <c r="I7" s="44" t="s">
        <v>200</v>
      </c>
      <c r="J7" s="5" t="str">
        <f>J6</f>
        <v>L-Tension Wheel</v>
      </c>
      <c r="K7" s="67">
        <v>0.06</v>
      </c>
      <c r="L7" s="5" t="str">
        <f>L6</f>
        <v>MIN</v>
      </c>
      <c r="M7" s="5">
        <v>10</v>
      </c>
      <c r="N7" s="44">
        <f>VLOOKUP($J$7,Comb_Tube_Types_Table,2,FALSE)</f>
        <v>1.4E-2</v>
      </c>
      <c r="O7" s="44">
        <f>VLOOKUP($J$7,Comb_Tube_Types_Table,3,FALSE)</f>
        <v>0.5</v>
      </c>
      <c r="P7" s="26">
        <f>VLOOKUP(K7,BWG_Table,2,FALSE)</f>
        <v>16</v>
      </c>
      <c r="Q7" s="26">
        <f>VLOOKUP(L6,Tube_Wall_Type_Table,2,FALSE)</f>
        <v>1</v>
      </c>
      <c r="R7" s="27">
        <f>VLOOKUP(L7,Tube_Wall_Type_Table,2,FALSE)</f>
        <v>1</v>
      </c>
      <c r="S7" s="36" t="str">
        <f>IF($J7="L-Tension Wheel","U","S")</f>
        <v>U</v>
      </c>
      <c r="T7" s="30">
        <f>$M7</f>
        <v>10</v>
      </c>
      <c r="U7" s="30">
        <f>$N7</f>
        <v>1.4E-2</v>
      </c>
      <c r="V7" s="22">
        <f>$O7</f>
        <v>0.5</v>
      </c>
      <c r="W7" s="36" t="str">
        <f>IF($J7="L-Tension Plain","U","S")</f>
        <v>S</v>
      </c>
      <c r="X7" s="30">
        <f>$M7</f>
        <v>10</v>
      </c>
      <c r="Y7" s="30">
        <f>$N7</f>
        <v>1.4E-2</v>
      </c>
      <c r="Z7" s="22">
        <f>$O7</f>
        <v>0.5</v>
      </c>
      <c r="AA7" s="36" t="str">
        <f>IF($J7="Embedded","U","S")</f>
        <v>S</v>
      </c>
      <c r="AB7" s="30">
        <f>$M7</f>
        <v>10</v>
      </c>
      <c r="AC7" s="30">
        <f>$N7</f>
        <v>1.4E-2</v>
      </c>
      <c r="AD7" s="22">
        <f>$O7</f>
        <v>0.5</v>
      </c>
      <c r="AE7" s="36" t="str">
        <f>IF($J7="Extruded","U","S")</f>
        <v>S</v>
      </c>
      <c r="AF7" s="30">
        <f>$M7</f>
        <v>10</v>
      </c>
      <c r="AG7" s="22">
        <f>$N7</f>
        <v>1.4E-2</v>
      </c>
      <c r="AH7" s="39" t="str">
        <f t="shared" ref="AH7:CT7" si="3">AH6</f>
        <v>U</v>
      </c>
      <c r="AI7" s="37" t="str">
        <f>AH7</f>
        <v>U</v>
      </c>
      <c r="AJ7" s="28" t="str">
        <f t="shared" si="3"/>
        <v>S</v>
      </c>
      <c r="AK7" s="38" t="str">
        <f>AJ7</f>
        <v>S</v>
      </c>
      <c r="AL7" s="33" t="str">
        <f>IF($A7="combined","S","U")</f>
        <v>S</v>
      </c>
      <c r="AM7" s="30" t="str">
        <f>AL7</f>
        <v>S</v>
      </c>
      <c r="AN7" s="34" t="str">
        <f>IF(AL7="U","S","U")</f>
        <v>U</v>
      </c>
      <c r="AO7" s="30" t="str">
        <f>AN7</f>
        <v>U</v>
      </c>
      <c r="AP7" s="26" t="str">
        <f>IF($A7="combined","S","U")</f>
        <v>S</v>
      </c>
      <c r="AQ7" s="34" t="str">
        <f>IF(AP7="U","S","U")</f>
        <v>U</v>
      </c>
      <c r="AR7" s="26" t="str">
        <f>IF($A7="combined","S","U")</f>
        <v>S</v>
      </c>
      <c r="AS7" s="34" t="str">
        <f>IF(AR7="U","S","U")</f>
        <v>U</v>
      </c>
      <c r="AT7" s="26" t="str">
        <f>IF($A7="combined","S","U")</f>
        <v>S</v>
      </c>
      <c r="AU7" s="34" t="str">
        <f>IF(AT7="U","S","U")</f>
        <v>U</v>
      </c>
      <c r="AV7" s="26" t="str">
        <f>IF($A7="combined","S","U")</f>
        <v>S</v>
      </c>
      <c r="AW7" s="34" t="str">
        <f>IF(AV7="U","S","U")</f>
        <v>U</v>
      </c>
      <c r="AX7" s="26" t="str">
        <f>IF($A7="combined","S","U")</f>
        <v>S</v>
      </c>
      <c r="AY7" s="30" t="str">
        <f>AX7</f>
        <v>S</v>
      </c>
      <c r="AZ7" s="34" t="str">
        <f>IF(AY7="U","S","U")</f>
        <v>U</v>
      </c>
      <c r="BA7" s="30" t="str">
        <f>AZ7</f>
        <v>U</v>
      </c>
      <c r="BB7" s="48">
        <f>BB6</f>
        <v>780.00000000000011</v>
      </c>
      <c r="BC7" s="30">
        <f t="shared" ref="BC7:BM7" si="4">BC6</f>
        <v>780</v>
      </c>
      <c r="BD7" s="30">
        <f t="shared" si="4"/>
        <v>16</v>
      </c>
      <c r="BE7" s="30">
        <f t="shared" si="4"/>
        <v>16</v>
      </c>
      <c r="BF7" s="30">
        <f t="shared" si="4"/>
        <v>30.000000000000018</v>
      </c>
      <c r="BG7" s="30">
        <f t="shared" si="4"/>
        <v>30</v>
      </c>
      <c r="BH7" s="30">
        <f t="shared" si="4"/>
        <v>47.999999999999993</v>
      </c>
      <c r="BI7" s="30">
        <f t="shared" si="4"/>
        <v>48</v>
      </c>
      <c r="BJ7" s="30">
        <f t="shared" si="4"/>
        <v>1.0000000000200138E-5</v>
      </c>
      <c r="BK7" s="30">
        <f t="shared" si="4"/>
        <v>0</v>
      </c>
      <c r="BL7" s="30">
        <f t="shared" si="4"/>
        <v>1.0000000000200138E-5</v>
      </c>
      <c r="BM7" s="61">
        <f t="shared" si="4"/>
        <v>0</v>
      </c>
      <c r="BN7" s="62" t="str">
        <f>BN6</f>
        <v>No</v>
      </c>
      <c r="BO7" s="30" t="str">
        <f t="shared" ref="BO7:BS7" si="5">BO6</f>
        <v>None</v>
      </c>
      <c r="BP7" s="30">
        <f t="shared" si="5"/>
        <v>17</v>
      </c>
      <c r="BQ7" s="30">
        <f t="shared" si="5"/>
        <v>15</v>
      </c>
      <c r="BR7" s="30">
        <f t="shared" si="5"/>
        <v>7</v>
      </c>
      <c r="BS7" s="61">
        <f t="shared" si="5"/>
        <v>6</v>
      </c>
      <c r="BT7" s="62" t="str">
        <f t="shared" ref="BT7" si="6">BT6</f>
        <v xml:space="preserve">30, </v>
      </c>
      <c r="BU7" s="30" t="str">
        <f t="shared" ref="BU7" si="7">BU6</f>
        <v xml:space="preserve">48, 48, 48, 48, 48, 48, 48, </v>
      </c>
      <c r="BV7" s="30" t="str">
        <f t="shared" ref="BV7" si="8">BV6</f>
        <v xml:space="preserve">48, </v>
      </c>
      <c r="BW7" s="30" t="str">
        <f t="shared" ref="BW7" si="9">BW6</f>
        <v xml:space="preserve">48, </v>
      </c>
      <c r="BX7" s="30" t="str">
        <f t="shared" ref="BX7" si="10">BX6</f>
        <v xml:space="preserve">48, 48, 48, 48, 48, 48, </v>
      </c>
      <c r="BY7" s="22">
        <f t="shared" ref="BY7:BZ7" si="11">BY6</f>
        <v>30</v>
      </c>
      <c r="BZ7" s="48" t="str">
        <f t="shared" si="11"/>
        <v>30, 48, 48, 48, 48, 48, 48, 48, 48, 48, 48, 48, 48, 48, 48, 48, 30</v>
      </c>
      <c r="CA7" s="4" t="str">
        <f>UPPER(J7)</f>
        <v>L-TENSION WHEEL</v>
      </c>
      <c r="CB7" s="4" t="str">
        <f>ROUND(B7,6)&amp;" &lt;MOD-DIAM&gt;"</f>
        <v>0.625 &lt;MOD-DIAM&gt;</v>
      </c>
      <c r="CC7" s="4" t="str">
        <f>ROUND(P7,6)&amp;"BWG ("&amp;K7&amp;" MIN)"</f>
        <v>16BWG (0.06 MIN)</v>
      </c>
      <c r="CD7" s="4" t="str">
        <f>RIGHT(F7,LEN(F7)-14)</f>
        <v>SA214</v>
      </c>
      <c r="CE7" s="4">
        <f>(ROUND(D7,6)-ROUND(B7,6)) /2</f>
        <v>0.4375</v>
      </c>
      <c r="CF7" s="30">
        <f>$N7</f>
        <v>1.4E-2</v>
      </c>
      <c r="CG7" s="30" t="str">
        <f>$M7&amp;" FPI"</f>
        <v>10 FPI</v>
      </c>
      <c r="CH7" s="72" t="str">
        <f>G7</f>
        <v>1100 ALUMINUM</v>
      </c>
      <c r="CI7" s="72" t="str">
        <f t="shared" ref="CI7:CJ7" si="12">H7</f>
        <v>???</v>
      </c>
      <c r="CJ7" s="72" t="str">
        <f t="shared" si="12"/>
        <v>???</v>
      </c>
      <c r="CK7" s="30">
        <f>$O7</f>
        <v>0.5</v>
      </c>
      <c r="CL7" s="26" t="str">
        <f>"SIDE B"</f>
        <v>SIDE B</v>
      </c>
      <c r="CM7" s="28" t="str">
        <f t="shared" ref="CM7:CN7" si="13">CM6</f>
        <v>1</v>
      </c>
      <c r="CN7" s="28" t="str">
        <f t="shared" si="13"/>
        <v>2</v>
      </c>
      <c r="CO7" s="7" t="str">
        <f>_xlfn.CONCAT($CM7,"-",$CN7)</f>
        <v>1-2</v>
      </c>
      <c r="CP7" s="7" t="str">
        <f>CONCATENATE(".",$CM7)</f>
        <v>.1</v>
      </c>
      <c r="CQ7" s="7" t="str">
        <f>CONCATENATE(".",$CN7)</f>
        <v>.2</v>
      </c>
      <c r="CR7" s="26" t="str">
        <f>CONCATENATE($CO7,"-SEC")</f>
        <v>1-2-SEC</v>
      </c>
      <c r="CS7" s="26" t="str">
        <f>CONCATENATE($CO7,"-FTB"&amp;"-B")</f>
        <v>1-2-FTB-B</v>
      </c>
      <c r="CT7" s="29" t="str">
        <f t="shared" si="3"/>
        <v>000000</v>
      </c>
      <c r="CU7" s="5"/>
      <c r="CV7" s="5"/>
      <c r="CW7" s="26" t="str">
        <f>CONCATENATE($CO7,"-SEC")</f>
        <v>1-2-SEC</v>
      </c>
      <c r="CX7" s="5"/>
      <c r="CY7" s="4" t="str">
        <f t="shared" si="2"/>
        <v>AXC materials:ALUMINUM (0.625)</v>
      </c>
      <c r="CZ7" s="4" t="str">
        <f t="shared" si="2"/>
        <v>AXC materials:ALUMINUM (0.625)</v>
      </c>
      <c r="DA7" s="4" t="str">
        <f t="shared" si="2"/>
        <v>AXC materials:ALUMINUM (0.625)</v>
      </c>
      <c r="DB7" s="4" t="str">
        <f t="shared" si="2"/>
        <v>AXC materials:ALUMINUM (0.625)</v>
      </c>
    </row>
    <row r="8" spans="1:106" x14ac:dyDescent="0.25">
      <c r="A8" s="31" t="s">
        <v>0</v>
      </c>
      <c r="N8" s="44"/>
      <c r="O8" s="44"/>
      <c r="R8" s="35"/>
      <c r="S8" s="31"/>
      <c r="V8" s="35"/>
      <c r="W8" s="31"/>
      <c r="Z8" s="35"/>
      <c r="AA8" s="31"/>
      <c r="AD8" s="35"/>
      <c r="AE8" s="31"/>
      <c r="AG8" s="35"/>
      <c r="AH8" s="31"/>
      <c r="AK8" s="35"/>
      <c r="AL8" s="31"/>
      <c r="BB8" s="31"/>
      <c r="BM8" s="63"/>
      <c r="BN8" s="64"/>
      <c r="BS8" s="63"/>
      <c r="BT8" s="64"/>
      <c r="BY8" s="35"/>
      <c r="BZ8" s="25" t="str">
        <f>LEN(BZ7)-LEN(SUBSTITUTE(BZ7,",","")) &amp; " COMMAS"</f>
        <v>16 COMMAS</v>
      </c>
      <c r="CS8" t="str">
        <f>CONCATENATE($CO6,"-FTB"&amp;IF(RIGHT($CS$6,2)="-A","-B",""))</f>
        <v>1-2-FTB</v>
      </c>
      <c r="CT8" s="32"/>
    </row>
    <row r="9" spans="1:106" x14ac:dyDescent="0.25">
      <c r="H9" s="44"/>
      <c r="I9" s="44"/>
      <c r="N9" s="44">
        <f>VLOOKUP($J$6,Tube_Types_Table,2,FALSE)</f>
        <v>1.4E-2</v>
      </c>
      <c r="O9" s="44">
        <f>VLOOKUP($J$6,Tube_Types_Table,3,FALSE)</f>
        <v>0.5</v>
      </c>
      <c r="CL9" t="str">
        <f>IF(ROUND($B$6,6)=ROUND($B$7,6),"SIDE A &amp; B","SIDE A")</f>
        <v>SIDE A &amp; B</v>
      </c>
    </row>
    <row r="10" spans="1:106" x14ac:dyDescent="0.25">
      <c r="H10" s="20"/>
      <c r="I10" s="20"/>
      <c r="N10" s="44">
        <f>VLOOKUP($J$7,Comb_Tube_Types_Table,2,FALSE)</f>
        <v>1.4E-2</v>
      </c>
      <c r="O10" s="44">
        <f>VLOOKUP($J$7,Comb_Tube_Types_Table,3,FALSE)</f>
        <v>0.5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1" t="s">
        <v>167</v>
      </c>
      <c r="CA10"/>
      <c r="CB10"/>
      <c r="CC10"/>
      <c r="CD10"/>
      <c r="CE10"/>
      <c r="CF10"/>
      <c r="CG10"/>
      <c r="CH10"/>
      <c r="CK10"/>
      <c r="CL10" t="str">
        <f>IF(ROUND($B$6,6)=ROUND($B$7,6),"SIDE A &amp; B","SIDE B")</f>
        <v>SIDE A &amp; B</v>
      </c>
    </row>
    <row r="11" spans="1:106" x14ac:dyDescent="0.25">
      <c r="N11" s="20" t="s">
        <v>107</v>
      </c>
      <c r="O11" s="20" t="s">
        <v>107</v>
      </c>
      <c r="BZ11" s="49" t="str">
        <f>IF(ISODD(BE7), _xlfn.CONCAT(BT7:BY7), _xlfn.CONCAT(BT7,  REPT(BI7&amp;", ",BQ7),  BY7) )</f>
        <v>30, 48, 48, 48, 48, 48, 48, 48, 48, 48, 48, 48, 48, 48, 48, 48, 30</v>
      </c>
    </row>
    <row r="12" spans="1:106" x14ac:dyDescent="0.25">
      <c r="N12" s="82" t="s">
        <v>108</v>
      </c>
      <c r="O12" s="82"/>
      <c r="BG12" s="1" t="s">
        <v>154</v>
      </c>
      <c r="BZ12" s="4" t="str">
        <f>LEN(BZ11)-LEN(SUBSTITUTE(BZ11,",","")) &amp; " COMMAS"</f>
        <v>16 COMMAS</v>
      </c>
    </row>
    <row r="13" spans="1:106" x14ac:dyDescent="0.25">
      <c r="F13" s="14"/>
      <c r="G13" s="14"/>
    </row>
  </sheetData>
  <mergeCells count="11">
    <mergeCell ref="N12:O12"/>
    <mergeCell ref="AA3:AD3"/>
    <mergeCell ref="AE3:AG3"/>
    <mergeCell ref="BB3:BM3"/>
    <mergeCell ref="BN3:BS3"/>
    <mergeCell ref="BT3:BY3"/>
    <mergeCell ref="Q2:V2"/>
    <mergeCell ref="A1:F1"/>
    <mergeCell ref="S3:V3"/>
    <mergeCell ref="W3:Z3"/>
    <mergeCell ref="AL3:BA3"/>
  </mergeCells>
  <phoneticPr fontId="5" type="noConversion"/>
  <dataValidations count="11">
    <dataValidation allowBlank="1" sqref="CY6:XFD7 M6:CG7 CT7 CU1:CX1048576 N8:O10 A6:E7 H9:I9 BZ12 BZ8 CK6:CQ7" xr:uid="{00000000-0002-0000-0000-000000000000}"/>
    <dataValidation type="list" allowBlank="1" sqref="J6:J7" xr:uid="{00000000-0002-0000-0000-000002000000}">
      <formula1>Tube_Types_List</formula1>
    </dataValidation>
    <dataValidation type="list" allowBlank="1" sqref="L6:O7 N9:O10" xr:uid="{00000000-0002-0000-0000-000003000000}">
      <formula1>"MIN, AVG"</formula1>
    </dataValidation>
    <dataValidation type="list" allowBlank="1" sqref="K6:K7 M6:M7" xr:uid="{00000000-0002-0000-0000-000004000000}">
      <formula1>Tube_Wall</formula1>
    </dataValidation>
    <dataValidation type="list" allowBlank="1" promptTitle="$LIBRARY:MATERIAL@000000_S01c_Tu" prompt="Select a material to apply to this configuration. A valid material entry follows the form 'Library:Material'" sqref="F6:F7" xr:uid="{00000000-0002-0000-0000-000005000000}">
      <formula1>Material_List</formula1>
    </dataValidation>
    <dataValidation allowBlank="1" promptTitle="$LIBRARY:MATERIAL@000000_S01c_Tu" prompt="Select a material to apply to this configuration. A valid material entry follows the form 'Library:Material'" sqref="CT6 CW6:CW7 CR6:CS7" xr:uid="{00000000-0002-0000-0000-000006000000}"/>
    <dataValidation type="list" allowBlank="1" sqref="G6:G7" xr:uid="{3723E25D-DFA8-4F83-A2AD-FDA7AE56BCDB}">
      <formula1>Fin_Material_List</formula1>
    </dataValidation>
    <dataValidation type="list" allowBlank="1" sqref="H6:H7" xr:uid="{BFD4E275-9E1A-4508-90C1-C7531FD34E40}">
      <formula1>Fin_Coating_List</formula1>
    </dataValidation>
    <dataValidation type="list" allowBlank="1" promptTitle="$LIBRARY:MATERIAL@000000_S01c_Tu" prompt="Select a material to apply to this configuration. A valid material entry follows the form 'Library:Material'" sqref="H6:H7" xr:uid="{E198FADB-86F3-46A0-A1B5-526DD2F29867}">
      <formula1>Fin_Coating_List</formula1>
    </dataValidation>
    <dataValidation type="list" allowBlank="1" sqref="I6:I7" xr:uid="{B6B29419-6075-42E2-B59C-05C325B6ED9E}">
      <formula1>PMI_Req_List</formula1>
    </dataValidation>
    <dataValidation type="list" allowBlank="1" promptTitle="$LIBRARY:MATERIAL@000000_S01c_Tu" prompt="Select a material to apply to this configuration. A valid material entry follows the form 'Library:Material'" sqref="I6:I7" xr:uid="{92A387DA-0F33-451D-B714-CBBED7B932FF}">
      <formula1>PMI_Req_List</formula1>
    </dataValidation>
  </dataValidations>
  <pageMargins left="0.7" right="0.7" top="0.75" bottom="0.75" header="0.3" footer="0.3"/>
  <pageSetup orientation="portrait" r:id="rId1"/>
  <ignoredErrors>
    <ignoredError sqref="AJ6 AP6:AZ7 AN6:AN7 AL6:AL7 CS6 CS7" formula="1"/>
    <ignoredError sqref="CP6:CQ6" formula="1" unlockedFormula="1"/>
    <ignoredError sqref="CM6:CO6 CO7:CQ7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9"/>
  <sheetViews>
    <sheetView topLeftCell="M1" workbookViewId="0">
      <selection activeCell="Q1" sqref="Q1:T1048576"/>
    </sheetView>
  </sheetViews>
  <sheetFormatPr defaultRowHeight="15" x14ac:dyDescent="0.25"/>
  <cols>
    <col min="1" max="1" width="6" bestFit="1" customWidth="1"/>
    <col min="2" max="2" width="3" bestFit="1" customWidth="1"/>
    <col min="3" max="3" width="4.85546875" bestFit="1" customWidth="1"/>
    <col min="4" max="4" width="10.5703125" bestFit="1" customWidth="1"/>
    <col min="6" max="6" width="11.140625" bestFit="1" customWidth="1"/>
    <col min="7" max="7" width="5.28515625" bestFit="1" customWidth="1"/>
    <col min="9" max="9" width="22" bestFit="1" customWidth="1"/>
    <col min="10" max="10" width="10" bestFit="1" customWidth="1"/>
    <col min="11" max="11" width="10.85546875" bestFit="1" customWidth="1"/>
    <col min="13" max="13" width="23.85546875" bestFit="1" customWidth="1"/>
    <col min="15" max="15" width="23.85546875" customWidth="1"/>
    <col min="17" max="17" width="23.85546875" customWidth="1"/>
    <col min="19" max="19" width="23.85546875" customWidth="1"/>
    <col min="21" max="21" width="16" bestFit="1" customWidth="1"/>
    <col min="22" max="22" width="12.7109375" bestFit="1" customWidth="1"/>
    <col min="23" max="23" width="14.28515625" bestFit="1" customWidth="1"/>
    <col min="24" max="24" width="10.85546875" bestFit="1" customWidth="1"/>
    <col min="26" max="26" width="16" bestFit="1" customWidth="1"/>
    <col min="27" max="27" width="12.7109375" bestFit="1" customWidth="1"/>
    <col min="28" max="28" width="14.28515625" bestFit="1" customWidth="1"/>
    <col min="29" max="29" width="10.85546875" bestFit="1" customWidth="1"/>
    <col min="31" max="31" width="25.7109375" bestFit="1" customWidth="1"/>
    <col min="32" max="32" width="11.140625" bestFit="1" customWidth="1"/>
    <col min="33" max="33" width="10.85546875" bestFit="1" customWidth="1"/>
    <col min="35" max="35" width="21.5703125" bestFit="1" customWidth="1"/>
    <col min="36" max="36" width="11.42578125" bestFit="1" customWidth="1"/>
    <col min="37" max="37" width="10.85546875" bestFit="1" customWidth="1"/>
    <col min="39" max="39" width="18.85546875" bestFit="1" customWidth="1"/>
    <col min="40" max="40" width="8.7109375" bestFit="1" customWidth="1"/>
    <col min="41" max="41" width="7" bestFit="1" customWidth="1"/>
    <col min="42" max="42" width="18.5703125" bestFit="1" customWidth="1"/>
    <col min="43" max="43" width="11.42578125" bestFit="1" customWidth="1"/>
    <col min="44" max="44" width="10.85546875" bestFit="1" customWidth="1"/>
  </cols>
  <sheetData>
    <row r="1" spans="1:44" x14ac:dyDescent="0.25">
      <c r="U1" t="s">
        <v>102</v>
      </c>
      <c r="Z1" t="s">
        <v>136</v>
      </c>
      <c r="AE1" t="s">
        <v>173</v>
      </c>
      <c r="AI1" t="s">
        <v>191</v>
      </c>
      <c r="AM1" t="s">
        <v>179</v>
      </c>
    </row>
    <row r="2" spans="1:44" x14ac:dyDescent="0.25">
      <c r="F2">
        <v>1</v>
      </c>
      <c r="G2">
        <v>2</v>
      </c>
      <c r="I2" t="s">
        <v>89</v>
      </c>
      <c r="M2" t="s">
        <v>24</v>
      </c>
      <c r="O2" t="s">
        <v>138</v>
      </c>
      <c r="Q2" t="s">
        <v>201</v>
      </c>
      <c r="S2" t="s">
        <v>204</v>
      </c>
      <c r="U2" s="15">
        <v>1</v>
      </c>
      <c r="V2" s="15">
        <v>2</v>
      </c>
      <c r="W2" s="15">
        <v>3</v>
      </c>
      <c r="X2" s="15">
        <v>4</v>
      </c>
      <c r="Z2" s="15">
        <v>1</v>
      </c>
      <c r="AA2" s="15">
        <v>2</v>
      </c>
      <c r="AB2" s="15">
        <v>3</v>
      </c>
      <c r="AC2" s="15">
        <v>4</v>
      </c>
      <c r="AE2">
        <v>1</v>
      </c>
      <c r="AF2">
        <v>2</v>
      </c>
      <c r="AG2">
        <v>3</v>
      </c>
      <c r="AI2" s="15">
        <v>1</v>
      </c>
      <c r="AJ2" s="15">
        <v>2</v>
      </c>
      <c r="AK2" s="15">
        <v>3</v>
      </c>
      <c r="AM2" s="5">
        <v>1</v>
      </c>
      <c r="AN2" s="5">
        <v>2</v>
      </c>
      <c r="AO2" s="5">
        <v>3</v>
      </c>
      <c r="AP2" s="5">
        <v>4</v>
      </c>
      <c r="AQ2" s="5">
        <v>5</v>
      </c>
    </row>
    <row r="3" spans="1:44" x14ac:dyDescent="0.25">
      <c r="A3">
        <v>0.06</v>
      </c>
      <c r="B3">
        <v>16</v>
      </c>
      <c r="C3" t="s">
        <v>16</v>
      </c>
      <c r="D3" t="s">
        <v>25</v>
      </c>
      <c r="E3" s="2"/>
      <c r="F3" t="s">
        <v>23</v>
      </c>
      <c r="I3" s="15">
        <v>1</v>
      </c>
      <c r="J3" s="15">
        <v>2</v>
      </c>
      <c r="K3" s="15">
        <v>3</v>
      </c>
      <c r="M3" s="16" t="s">
        <v>21</v>
      </c>
      <c r="O3" s="16" t="s">
        <v>140</v>
      </c>
      <c r="Q3" s="16" t="s">
        <v>202</v>
      </c>
      <c r="S3" s="16" t="s">
        <v>202</v>
      </c>
      <c r="U3" t="s">
        <v>103</v>
      </c>
      <c r="V3" t="s">
        <v>48</v>
      </c>
      <c r="W3" t="s">
        <v>194</v>
      </c>
      <c r="AA3" t="s">
        <v>48</v>
      </c>
      <c r="AB3" t="s">
        <v>194</v>
      </c>
      <c r="AI3" t="s">
        <v>192</v>
      </c>
      <c r="AJ3" t="s">
        <v>183</v>
      </c>
      <c r="AN3" t="s">
        <v>180</v>
      </c>
      <c r="AO3" t="s">
        <v>181</v>
      </c>
      <c r="AP3" t="s">
        <v>182</v>
      </c>
      <c r="AQ3" t="s">
        <v>183</v>
      </c>
    </row>
    <row r="4" spans="1:44" x14ac:dyDescent="0.25">
      <c r="A4">
        <v>7.4999999999999997E-2</v>
      </c>
      <c r="B4">
        <v>15</v>
      </c>
      <c r="C4" t="s">
        <v>16</v>
      </c>
      <c r="D4" t="s">
        <v>25</v>
      </c>
      <c r="F4" t="s">
        <v>31</v>
      </c>
      <c r="I4" s="16" t="s">
        <v>16</v>
      </c>
      <c r="J4" s="16">
        <v>1</v>
      </c>
      <c r="K4" s="16" t="s">
        <v>90</v>
      </c>
      <c r="M4" s="16" t="s">
        <v>26</v>
      </c>
      <c r="O4" s="16" t="s">
        <v>126</v>
      </c>
      <c r="Q4" s="16" t="s">
        <v>203</v>
      </c>
      <c r="S4" s="16" t="s">
        <v>8</v>
      </c>
      <c r="U4" s="13" t="s">
        <v>11</v>
      </c>
      <c r="V4" s="17">
        <f>VLOOKUP(Tube_Dia&amp;"x"&amp;Fin_Size,FinTube_Size_Table,5,FALSE)</f>
        <v>1.4E-2</v>
      </c>
      <c r="W4" s="17">
        <f>VLOOKUP(Tube_Dia&amp;"x"&amp;Fin_Size,FinTube_Size_Table,4,FALSE)</f>
        <v>0.5</v>
      </c>
      <c r="X4" s="16" t="s">
        <v>90</v>
      </c>
      <c r="Z4" s="45" t="str">
        <f>U4</f>
        <v>L-Tension Wheel</v>
      </c>
      <c r="AA4" s="17">
        <f>VLOOKUP(COMB_Tube_Dia&amp;"x"&amp;COMB_Fin_Size,FinTube_Size_Table,5,FALSE)</f>
        <v>1.4E-2</v>
      </c>
      <c r="AB4" s="17">
        <f>VLOOKUP(COMB_Tube_Dia&amp;"x"&amp;COMB_Fin_Size,FinTube_Size_Table,4,FALSE)</f>
        <v>0.5</v>
      </c>
      <c r="AC4" s="45" t="str">
        <f t="shared" ref="AC4:AC7" si="0">X4</f>
        <v>End of Row</v>
      </c>
      <c r="AE4" s="16">
        <v>1</v>
      </c>
      <c r="AF4" s="16" t="s">
        <v>141</v>
      </c>
      <c r="AG4" s="16" t="s">
        <v>90</v>
      </c>
      <c r="AI4" s="16">
        <v>0.5</v>
      </c>
      <c r="AJ4" s="16">
        <v>1.4E-2</v>
      </c>
      <c r="AK4" s="16" t="s">
        <v>90</v>
      </c>
      <c r="AM4" s="16" t="s">
        <v>184</v>
      </c>
      <c r="AN4" s="16">
        <v>0.625</v>
      </c>
      <c r="AO4" s="16">
        <v>1.5</v>
      </c>
      <c r="AP4" s="16">
        <v>0.5</v>
      </c>
      <c r="AQ4" s="17">
        <f t="shared" ref="AQ4:AQ9" si="1">VLOOKUP(AP4,Raw_Fin_Table,2,FALSE)</f>
        <v>1.4E-2</v>
      </c>
      <c r="AR4" s="16" t="s">
        <v>90</v>
      </c>
    </row>
    <row r="5" spans="1:44" x14ac:dyDescent="0.25">
      <c r="A5">
        <v>8.5000000000000006E-2</v>
      </c>
      <c r="B5">
        <v>14</v>
      </c>
      <c r="C5" t="s">
        <v>16</v>
      </c>
      <c r="D5" t="s">
        <v>25</v>
      </c>
      <c r="F5" t="s">
        <v>32</v>
      </c>
      <c r="G5" t="s">
        <v>33</v>
      </c>
      <c r="I5" s="16" t="s">
        <v>22</v>
      </c>
      <c r="J5" s="16">
        <v>2</v>
      </c>
      <c r="K5" s="16" t="s">
        <v>90</v>
      </c>
      <c r="M5" s="16" t="s">
        <v>27</v>
      </c>
      <c r="O5" s="16" t="s">
        <v>139</v>
      </c>
      <c r="Q5" s="16" t="s">
        <v>8</v>
      </c>
      <c r="U5" s="13" t="s">
        <v>12</v>
      </c>
      <c r="V5" s="18">
        <f>V4</f>
        <v>1.4E-2</v>
      </c>
      <c r="W5" s="18">
        <f>W4</f>
        <v>0.5</v>
      </c>
      <c r="X5" s="16" t="s">
        <v>90</v>
      </c>
      <c r="Z5" s="45" t="str">
        <f t="shared" ref="Z5:Z8" si="2">U5</f>
        <v>L-Tension Plain</v>
      </c>
      <c r="AA5" s="18">
        <f>AA4</f>
        <v>1.4E-2</v>
      </c>
      <c r="AB5" s="18">
        <f>AB4</f>
        <v>0.5</v>
      </c>
      <c r="AC5" s="45" t="str">
        <f t="shared" si="0"/>
        <v>End of Row</v>
      </c>
      <c r="AE5" s="16">
        <v>2</v>
      </c>
      <c r="AF5" s="16" t="s">
        <v>142</v>
      </c>
      <c r="AG5" s="16" t="s">
        <v>90</v>
      </c>
      <c r="AI5" s="16">
        <v>0.69899999999999995</v>
      </c>
      <c r="AJ5" s="16">
        <v>1.6E-2</v>
      </c>
      <c r="AK5" s="16" t="s">
        <v>90</v>
      </c>
      <c r="AM5" s="16" t="s">
        <v>185</v>
      </c>
      <c r="AN5" s="16">
        <v>0.75000000000000011</v>
      </c>
      <c r="AO5" s="16">
        <v>1.625</v>
      </c>
      <c r="AP5" s="18">
        <f>AP4</f>
        <v>0.5</v>
      </c>
      <c r="AQ5" s="17">
        <f t="shared" si="1"/>
        <v>1.4E-2</v>
      </c>
      <c r="AR5" s="16" t="s">
        <v>90</v>
      </c>
    </row>
    <row r="6" spans="1:44" x14ac:dyDescent="0.25">
      <c r="A6">
        <v>0.11</v>
      </c>
      <c r="B6">
        <v>12</v>
      </c>
      <c r="C6" t="s">
        <v>16</v>
      </c>
      <c r="D6" t="s">
        <v>25</v>
      </c>
      <c r="F6" s="16">
        <v>3.5000000000000003E-2</v>
      </c>
      <c r="G6" s="16">
        <v>20</v>
      </c>
      <c r="I6" s="16" t="s">
        <v>8</v>
      </c>
      <c r="J6" s="16" t="s">
        <v>8</v>
      </c>
      <c r="K6" s="16" t="s">
        <v>8</v>
      </c>
      <c r="M6" s="16" t="s">
        <v>28</v>
      </c>
      <c r="O6" s="16" t="s">
        <v>8</v>
      </c>
      <c r="U6" s="13" t="s">
        <v>13</v>
      </c>
      <c r="V6" s="16">
        <v>1.6E-2</v>
      </c>
      <c r="W6" s="16">
        <v>0.63700000000000001</v>
      </c>
      <c r="X6" s="16" t="s">
        <v>90</v>
      </c>
      <c r="Z6" s="45" t="str">
        <f t="shared" si="2"/>
        <v>Embedded</v>
      </c>
      <c r="AA6" s="18">
        <f>V6+0</f>
        <v>1.6E-2</v>
      </c>
      <c r="AB6" s="18">
        <f>W6+0</f>
        <v>0.63700000000000001</v>
      </c>
      <c r="AC6" s="45" t="str">
        <f t="shared" si="0"/>
        <v>End of Row</v>
      </c>
      <c r="AE6" s="16">
        <v>0</v>
      </c>
      <c r="AF6" s="16" t="s">
        <v>143</v>
      </c>
      <c r="AG6" s="16" t="s">
        <v>90</v>
      </c>
      <c r="AI6" s="16" t="s">
        <v>8</v>
      </c>
      <c r="AJ6" s="16"/>
      <c r="AK6" s="16"/>
      <c r="AM6" s="16" t="s">
        <v>186</v>
      </c>
      <c r="AN6" s="18">
        <f>AN5</f>
        <v>0.75000000000000011</v>
      </c>
      <c r="AO6" s="71">
        <f>AO5+(2*0.1875)</f>
        <v>2</v>
      </c>
      <c r="AP6" s="16">
        <v>0.69899999999999995</v>
      </c>
      <c r="AQ6" s="17">
        <f t="shared" si="1"/>
        <v>1.6E-2</v>
      </c>
      <c r="AR6" s="16" t="s">
        <v>90</v>
      </c>
    </row>
    <row r="7" spans="1:44" x14ac:dyDescent="0.25">
      <c r="A7">
        <v>0.13400000000000001</v>
      </c>
      <c r="B7">
        <v>10</v>
      </c>
      <c r="C7" t="s">
        <v>16</v>
      </c>
      <c r="D7" t="s">
        <v>25</v>
      </c>
      <c r="F7" s="68">
        <v>0.04</v>
      </c>
      <c r="G7" s="16">
        <v>19</v>
      </c>
      <c r="M7" s="16" t="s">
        <v>29</v>
      </c>
      <c r="U7" s="13" t="s">
        <v>14</v>
      </c>
      <c r="V7" s="16">
        <v>1.4999999999999999E-2</v>
      </c>
      <c r="W7" s="16" t="s">
        <v>101</v>
      </c>
      <c r="X7" s="16" t="s">
        <v>90</v>
      </c>
      <c r="Z7" s="45" t="str">
        <f t="shared" si="2"/>
        <v>Extruded</v>
      </c>
      <c r="AA7" s="18">
        <f>V7+0</f>
        <v>1.4999999999999999E-2</v>
      </c>
      <c r="AB7" s="18" t="str">
        <f>W7</f>
        <v>none</v>
      </c>
      <c r="AC7" s="45" t="str">
        <f t="shared" si="0"/>
        <v>End of Row</v>
      </c>
      <c r="AE7" s="16" t="s">
        <v>8</v>
      </c>
      <c r="AF7" s="16" t="s">
        <v>8</v>
      </c>
      <c r="AG7" s="16"/>
      <c r="AM7" s="16" t="s">
        <v>187</v>
      </c>
      <c r="AN7" s="16">
        <v>1</v>
      </c>
      <c r="AO7" s="16">
        <v>2.25</v>
      </c>
      <c r="AP7" s="18">
        <f>AP$6</f>
        <v>0.69899999999999995</v>
      </c>
      <c r="AQ7" s="17">
        <f t="shared" si="1"/>
        <v>1.6E-2</v>
      </c>
      <c r="AR7" s="16" t="s">
        <v>90</v>
      </c>
    </row>
    <row r="8" spans="1:44" x14ac:dyDescent="0.25">
      <c r="A8" s="6">
        <v>0.14799999999999999</v>
      </c>
      <c r="B8" s="6">
        <v>9</v>
      </c>
      <c r="C8" s="6" t="s">
        <v>16</v>
      </c>
      <c r="D8" s="6" t="s">
        <v>25</v>
      </c>
      <c r="F8" s="16">
        <v>4.2000000000000003E-2</v>
      </c>
      <c r="G8" s="16">
        <v>19</v>
      </c>
      <c r="M8" s="16" t="s">
        <v>137</v>
      </c>
      <c r="U8" s="13" t="s">
        <v>8</v>
      </c>
      <c r="V8" s="13" t="s">
        <v>8</v>
      </c>
      <c r="W8" s="13" t="s">
        <v>8</v>
      </c>
      <c r="X8" s="16"/>
      <c r="Z8" s="45" t="str">
        <f t="shared" si="2"/>
        <v>End of List</v>
      </c>
      <c r="AA8" s="45" t="str">
        <f t="shared" ref="AA8" si="3">V8</f>
        <v>End of List</v>
      </c>
      <c r="AB8" s="45" t="str">
        <f t="shared" ref="AB8" si="4">W8</f>
        <v>End of List</v>
      </c>
      <c r="AC8" s="13"/>
      <c r="AM8" s="16" t="s">
        <v>188</v>
      </c>
      <c r="AN8" s="16">
        <v>1.25</v>
      </c>
      <c r="AO8" s="16">
        <v>2.5</v>
      </c>
      <c r="AP8" s="18">
        <f t="shared" ref="AP8:AP9" si="5">AP$6</f>
        <v>0.69899999999999995</v>
      </c>
      <c r="AQ8" s="17">
        <f t="shared" si="1"/>
        <v>1.6E-2</v>
      </c>
      <c r="AR8" s="16" t="s">
        <v>90</v>
      </c>
    </row>
    <row r="9" spans="1:44" x14ac:dyDescent="0.25">
      <c r="A9">
        <v>6.5000000000000002E-2</v>
      </c>
      <c r="B9">
        <v>16</v>
      </c>
      <c r="C9" t="s">
        <v>16</v>
      </c>
      <c r="D9" t="s">
        <v>30</v>
      </c>
      <c r="F9" s="16">
        <v>4.9000000000000002E-2</v>
      </c>
      <c r="G9" s="16">
        <v>18</v>
      </c>
      <c r="M9" s="16" t="s">
        <v>8</v>
      </c>
      <c r="AM9" s="16" t="s">
        <v>189</v>
      </c>
      <c r="AN9" s="16">
        <v>1.5000000000000002</v>
      </c>
      <c r="AO9" s="16">
        <v>2.75</v>
      </c>
      <c r="AP9" s="18">
        <f t="shared" si="5"/>
        <v>0.69899999999999995</v>
      </c>
      <c r="AQ9" s="17">
        <f t="shared" si="1"/>
        <v>1.6E-2</v>
      </c>
      <c r="AR9" s="16" t="s">
        <v>90</v>
      </c>
    </row>
    <row r="10" spans="1:44" x14ac:dyDescent="0.25">
      <c r="A10">
        <v>7.4999999999999997E-2</v>
      </c>
      <c r="B10">
        <v>15</v>
      </c>
      <c r="C10" t="s">
        <v>16</v>
      </c>
      <c r="D10" t="s">
        <v>30</v>
      </c>
      <c r="F10" s="16">
        <v>4.4999999999999998E-2</v>
      </c>
      <c r="G10" s="16">
        <v>18</v>
      </c>
      <c r="V10">
        <f>IF(ROUND(Sheet1!$B$6,6)&lt;1,0.015,0.016)</f>
        <v>1.4999999999999999E-2</v>
      </c>
      <c r="W10">
        <f>IF(ROUND(Sheet1!$B$6,6)&lt;1,0.5,0.699)</f>
        <v>0.5</v>
      </c>
      <c r="AA10">
        <f>IF(ROUND(Sheet1!$B$7,6)&lt;1,0.015,0.016)</f>
        <v>1.4999999999999999E-2</v>
      </c>
      <c r="AB10">
        <f>IF(ROUND(Sheet1!$B$7,6)&lt;1,0.5,0.699)</f>
        <v>0.5</v>
      </c>
      <c r="AM10" s="16" t="s">
        <v>190</v>
      </c>
      <c r="AN10" s="16"/>
      <c r="AO10" s="16"/>
      <c r="AP10" s="16"/>
      <c r="AQ10" s="16"/>
      <c r="AR10" s="16"/>
    </row>
    <row r="11" spans="1:44" x14ac:dyDescent="0.25">
      <c r="A11">
        <v>8.3000000000000004E-2</v>
      </c>
      <c r="B11">
        <v>14</v>
      </c>
      <c r="C11" t="s">
        <v>16</v>
      </c>
      <c r="D11" t="s">
        <v>30</v>
      </c>
      <c r="F11" s="68">
        <v>0.06</v>
      </c>
      <c r="G11" s="16">
        <v>16</v>
      </c>
    </row>
    <row r="12" spans="1:44" x14ac:dyDescent="0.25">
      <c r="A12">
        <v>0.109</v>
      </c>
      <c r="B12">
        <v>12</v>
      </c>
      <c r="C12" t="s">
        <v>16</v>
      </c>
      <c r="D12" t="s">
        <v>30</v>
      </c>
      <c r="F12" s="16">
        <v>6.5000000000000002E-2</v>
      </c>
      <c r="G12" s="16">
        <v>16</v>
      </c>
    </row>
    <row r="13" spans="1:44" x14ac:dyDescent="0.25">
      <c r="A13">
        <v>0.13400000000000001</v>
      </c>
      <c r="B13">
        <v>10</v>
      </c>
      <c r="C13" t="s">
        <v>16</v>
      </c>
      <c r="D13" t="s">
        <v>30</v>
      </c>
      <c r="F13" s="16">
        <v>7.4999999999999997E-2</v>
      </c>
      <c r="G13" s="16">
        <v>15</v>
      </c>
    </row>
    <row r="14" spans="1:44" x14ac:dyDescent="0.25">
      <c r="A14">
        <v>0.14799999999999999</v>
      </c>
      <c r="B14">
        <v>9</v>
      </c>
      <c r="C14" t="s">
        <v>16</v>
      </c>
      <c r="D14" t="s">
        <v>30</v>
      </c>
      <c r="F14" s="16">
        <v>8.3000000000000004E-2</v>
      </c>
      <c r="G14" s="16">
        <v>14</v>
      </c>
    </row>
    <row r="15" spans="1:44" x14ac:dyDescent="0.25">
      <c r="A15" s="6">
        <v>4.9000000000000002E-2</v>
      </c>
      <c r="B15" s="6">
        <v>18</v>
      </c>
      <c r="C15" s="6" t="s">
        <v>16</v>
      </c>
      <c r="D15" s="6" t="s">
        <v>30</v>
      </c>
      <c r="F15" s="16">
        <v>8.5000000000000006E-2</v>
      </c>
      <c r="G15" s="16">
        <v>14</v>
      </c>
    </row>
    <row r="16" spans="1:44" x14ac:dyDescent="0.25">
      <c r="A16">
        <v>3.5000000000000003E-2</v>
      </c>
      <c r="B16">
        <v>20</v>
      </c>
      <c r="C16" t="s">
        <v>22</v>
      </c>
      <c r="D16" t="s">
        <v>34</v>
      </c>
      <c r="F16" s="16">
        <v>0.109</v>
      </c>
      <c r="G16" s="16">
        <v>12</v>
      </c>
    </row>
    <row r="17" spans="1:7" x14ac:dyDescent="0.25">
      <c r="A17">
        <v>4.9000000000000002E-2</v>
      </c>
      <c r="B17">
        <v>18</v>
      </c>
      <c r="C17" t="s">
        <v>22</v>
      </c>
      <c r="D17" t="s">
        <v>34</v>
      </c>
      <c r="F17" s="68">
        <v>0.11</v>
      </c>
      <c r="G17" s="16">
        <v>12</v>
      </c>
    </row>
    <row r="18" spans="1:7" x14ac:dyDescent="0.25">
      <c r="A18">
        <v>6.5000000000000002E-2</v>
      </c>
      <c r="B18">
        <v>16</v>
      </c>
      <c r="C18" t="s">
        <v>22</v>
      </c>
      <c r="D18" t="s">
        <v>34</v>
      </c>
      <c r="F18" s="16">
        <v>0.13400000000000001</v>
      </c>
      <c r="G18" s="16">
        <v>10</v>
      </c>
    </row>
    <row r="19" spans="1:7" x14ac:dyDescent="0.25">
      <c r="A19">
        <v>8.3000000000000004E-2</v>
      </c>
      <c r="B19">
        <v>14</v>
      </c>
      <c r="C19" t="s">
        <v>22</v>
      </c>
      <c r="D19" t="s">
        <v>34</v>
      </c>
      <c r="F19" s="16">
        <v>0.14799999999999999</v>
      </c>
      <c r="G19" s="16">
        <v>9</v>
      </c>
    </row>
    <row r="20" spans="1:7" x14ac:dyDescent="0.25">
      <c r="A20">
        <v>0.109</v>
      </c>
      <c r="B20">
        <v>12</v>
      </c>
      <c r="C20" t="s">
        <v>22</v>
      </c>
      <c r="D20" t="s">
        <v>34</v>
      </c>
      <c r="F20" s="16" t="s">
        <v>8</v>
      </c>
      <c r="G20" s="16"/>
    </row>
    <row r="21" spans="1:7" x14ac:dyDescent="0.25">
      <c r="A21">
        <v>0.13400000000000001</v>
      </c>
      <c r="B21">
        <v>10</v>
      </c>
      <c r="C21" t="s">
        <v>22</v>
      </c>
      <c r="D21" t="s">
        <v>34</v>
      </c>
    </row>
    <row r="22" spans="1:7" x14ac:dyDescent="0.25">
      <c r="A22" s="6">
        <v>0.14799999999999999</v>
      </c>
      <c r="B22" s="6">
        <v>9</v>
      </c>
      <c r="C22" s="6" t="s">
        <v>22</v>
      </c>
      <c r="D22" s="6" t="s">
        <v>34</v>
      </c>
    </row>
    <row r="23" spans="1:7" x14ac:dyDescent="0.25">
      <c r="A23">
        <v>3.5000000000000003E-2</v>
      </c>
      <c r="B23">
        <v>20</v>
      </c>
      <c r="C23" t="s">
        <v>22</v>
      </c>
      <c r="D23" t="s">
        <v>35</v>
      </c>
    </row>
    <row r="24" spans="1:7" x14ac:dyDescent="0.25">
      <c r="A24">
        <v>4.9000000000000002E-2</v>
      </c>
      <c r="B24">
        <v>18</v>
      </c>
      <c r="C24" t="s">
        <v>22</v>
      </c>
      <c r="D24" t="s">
        <v>35</v>
      </c>
    </row>
    <row r="25" spans="1:7" x14ac:dyDescent="0.25">
      <c r="A25">
        <v>6.5000000000000002E-2</v>
      </c>
      <c r="B25">
        <v>16</v>
      </c>
      <c r="C25" t="s">
        <v>22</v>
      </c>
      <c r="D25" t="s">
        <v>35</v>
      </c>
    </row>
    <row r="26" spans="1:7" x14ac:dyDescent="0.25">
      <c r="A26">
        <v>8.3000000000000004E-2</v>
      </c>
      <c r="B26">
        <v>14</v>
      </c>
      <c r="C26" t="s">
        <v>22</v>
      </c>
      <c r="D26" t="s">
        <v>35</v>
      </c>
    </row>
    <row r="27" spans="1:7" x14ac:dyDescent="0.25">
      <c r="A27">
        <v>0.109</v>
      </c>
      <c r="B27">
        <v>12</v>
      </c>
      <c r="C27" t="s">
        <v>22</v>
      </c>
      <c r="D27" t="s">
        <v>35</v>
      </c>
    </row>
    <row r="28" spans="1:7" x14ac:dyDescent="0.25">
      <c r="A28">
        <v>0.13400000000000001</v>
      </c>
      <c r="B28">
        <v>10</v>
      </c>
      <c r="C28" t="s">
        <v>22</v>
      </c>
      <c r="D28" t="s">
        <v>35</v>
      </c>
    </row>
    <row r="29" spans="1:7" x14ac:dyDescent="0.25">
      <c r="A29" s="6">
        <v>0.14799999999999999</v>
      </c>
      <c r="B29" s="6">
        <v>9</v>
      </c>
      <c r="C29" s="6" t="s">
        <v>22</v>
      </c>
      <c r="D29" s="6" t="s">
        <v>35</v>
      </c>
    </row>
  </sheetData>
  <phoneticPr fontId="5" type="noConversion"/>
  <pageMargins left="0.7" right="0.7" top="0.75" bottom="0.75" header="0.3" footer="0.3"/>
  <pageSetup orientation="portrait" horizontalDpi="1200" verticalDpi="1200" r:id="rId1"/>
  <ignoredErrors>
    <ignoredError sqref="AA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Sheet1</vt:lpstr>
      <vt:lpstr>Data</vt:lpstr>
      <vt:lpstr>Band_Move_Direction_Table</vt:lpstr>
      <vt:lpstr>Band_Spacing</vt:lpstr>
      <vt:lpstr>BWG_Table</vt:lpstr>
      <vt:lpstr>Center_Band_Direction</vt:lpstr>
      <vt:lpstr>Center_Band_Move?</vt:lpstr>
      <vt:lpstr>Center_Band_Offset</vt:lpstr>
      <vt:lpstr>Center_Band_Offset_Direction</vt:lpstr>
      <vt:lpstr>COMB_Fin_Size</vt:lpstr>
      <vt:lpstr>COMB_Tube_Dia</vt:lpstr>
      <vt:lpstr>Comb_Tube_Types_Table</vt:lpstr>
      <vt:lpstr>Family</vt:lpstr>
      <vt:lpstr>Fin_Coating_List</vt:lpstr>
      <vt:lpstr>Fin_Material_List</vt:lpstr>
      <vt:lpstr>Fin_Size</vt:lpstr>
      <vt:lpstr>FinTube_Size_Table</vt:lpstr>
      <vt:lpstr>First_Band_Loc</vt:lpstr>
      <vt:lpstr>Material_List</vt:lpstr>
      <vt:lpstr>PMI_Req_List</vt:lpstr>
      <vt:lpstr>QTY_of_Bands</vt:lpstr>
      <vt:lpstr>QTY_of_Front_Spaces</vt:lpstr>
      <vt:lpstr>QTY_of_Mid_Spaces</vt:lpstr>
      <vt:lpstr>QTY_of_Rear_Spaces</vt:lpstr>
      <vt:lpstr>QTY_of_Spaces</vt:lpstr>
      <vt:lpstr>Raw_Fin_Table</vt:lpstr>
      <vt:lpstr>Tube_Dia</vt:lpstr>
      <vt:lpstr>Tube_Length</vt:lpstr>
      <vt:lpstr>Tube_Types_List</vt:lpstr>
      <vt:lpstr>Tube_Types_Table</vt:lpstr>
      <vt:lpstr>Tube_Wall</vt:lpstr>
      <vt:lpstr>Tube_Wall_Type_Table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2014-07-16T07:21:43Z</dcterms:created>
  <dcterms:modified xsi:type="dcterms:W3CDTF">2023-11-03T20:50:19Z</dcterms:modified>
</cp:coreProperties>
</file>