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xr:revisionPtr revIDLastSave="0" documentId="8_{6D434107-C59B-4650-8823-8ED0EBE98F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state="hidden" r:id="rId2"/>
  </sheets>
  <definedNames>
    <definedName name="Col_CL_to_CL">Sheet1!$D$5</definedName>
    <definedName name="Cooler_Type">Sheet1!$B$5</definedName>
    <definedName name="Cooler_Type_List">Data!$A$4:$A$9</definedName>
    <definedName name="Cooler_Type_Table">Data!$A$4:$C$9</definedName>
    <definedName name="Family">Sheet1!$A$4</definedName>
    <definedName name="Filler_Thickness_List">Data!$H$24:$H$27</definedName>
    <definedName name="Guage_List">Data!$A$33:$A$37</definedName>
    <definedName name="Guage_Table">Data!$A$33:$E$37</definedName>
    <definedName name="Header_Type_Table">Data!$A$14:$D$18</definedName>
    <definedName name="SF_Length">Sheet1!$J$5</definedName>
    <definedName name="Sheet_List">Data!$A$23:$A$27</definedName>
    <definedName name="Sheet_Table">Data!$A$23:$E$27</definedName>
    <definedName name="TP_Thickness">Sheet1!$N$5</definedName>
    <definedName name="Tube_Length">Sheet1!$K$5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  <c r="C36" i="2"/>
  <c r="B36" i="2"/>
  <c r="D35" i="2"/>
  <c r="C35" i="2"/>
  <c r="B35" i="2"/>
  <c r="D34" i="2"/>
  <c r="C34" i="2"/>
  <c r="B34" i="2"/>
  <c r="D33" i="2"/>
  <c r="C33" i="2"/>
  <c r="B33" i="2"/>
  <c r="C26" i="2"/>
  <c r="B26" i="2"/>
  <c r="H25" i="2"/>
  <c r="B25" i="2"/>
  <c r="C25" i="2" s="1"/>
  <c r="H24" i="2"/>
  <c r="B24" i="2"/>
  <c r="C24" i="2" s="1"/>
  <c r="B23" i="2"/>
  <c r="C23" i="2" s="1"/>
  <c r="B7" i="2"/>
  <c r="P7" i="1"/>
  <c r="O7" i="1"/>
  <c r="M7" i="1"/>
  <c r="L7" i="1"/>
  <c r="K7" i="1"/>
  <c r="J7" i="1"/>
  <c r="I7" i="1"/>
  <c r="H7" i="1"/>
  <c r="G7" i="1"/>
  <c r="F7" i="1"/>
  <c r="E7" i="1"/>
  <c r="Y7" i="1" s="1"/>
  <c r="AB7" i="1" s="1"/>
  <c r="D7" i="1"/>
  <c r="C7" i="1"/>
  <c r="B7" i="1"/>
  <c r="P6" i="1"/>
  <c r="O6" i="1"/>
  <c r="M6" i="1"/>
  <c r="L6" i="1"/>
  <c r="K6" i="1"/>
  <c r="J6" i="1"/>
  <c r="I6" i="1"/>
  <c r="H6" i="1"/>
  <c r="G6" i="1"/>
  <c r="F6" i="1"/>
  <c r="E6" i="1"/>
  <c r="D6" i="1"/>
  <c r="C6" i="1"/>
  <c r="B6" i="1"/>
  <c r="AW5" i="1"/>
  <c r="AY5" i="1" s="1"/>
  <c r="AC5" i="1"/>
  <c r="AA5" i="1"/>
  <c r="AA7" i="1" s="1"/>
  <c r="Z5" i="1"/>
  <c r="AC8" i="1" s="1"/>
  <c r="Y5" i="1"/>
  <c r="Y6" i="1" s="1"/>
  <c r="X5" i="1"/>
  <c r="X6" i="1" s="1"/>
  <c r="T5" i="1"/>
  <c r="T6" i="1" s="1"/>
  <c r="Q5" i="1"/>
  <c r="Q7" i="1" s="1"/>
  <c r="N5" i="1"/>
  <c r="D10" i="1" s="1"/>
  <c r="D8" i="1" s="1"/>
  <c r="A2" i="1"/>
  <c r="AM5" i="1" s="1"/>
  <c r="AC6" i="1" l="1"/>
  <c r="B8" i="2"/>
  <c r="X7" i="1"/>
  <c r="AB5" i="1"/>
  <c r="AB6" i="1" s="1"/>
  <c r="AY7" i="1"/>
  <c r="AY6" i="1"/>
  <c r="AM7" i="1"/>
  <c r="AM6" i="1"/>
  <c r="V5" i="1"/>
  <c r="T7" i="1"/>
  <c r="AW6" i="1"/>
  <c r="U5" i="1"/>
  <c r="AZ5" i="1"/>
  <c r="Z6" i="1"/>
  <c r="N6" i="1"/>
  <c r="AA6" i="1"/>
  <c r="Z7" i="1"/>
  <c r="AX5" i="1"/>
  <c r="B2" i="1"/>
  <c r="AG5" i="1" s="1"/>
  <c r="AJ5" i="1" s="1"/>
  <c r="AJ6" i="1" s="1"/>
  <c r="AW7" i="1"/>
  <c r="E2" i="1"/>
  <c r="J2" i="1" s="1"/>
  <c r="AD5" i="1"/>
  <c r="N7" i="1"/>
  <c r="AE5" i="1"/>
  <c r="AC7" i="1"/>
  <c r="R5" i="1"/>
  <c r="Q6" i="1"/>
  <c r="S5" i="1"/>
  <c r="AF5" i="1" l="1"/>
  <c r="AZ7" i="1"/>
  <c r="AZ6" i="1"/>
  <c r="U6" i="1"/>
  <c r="U7" i="1"/>
  <c r="AE7" i="1"/>
  <c r="AE6" i="1"/>
  <c r="R6" i="1"/>
  <c r="R7" i="1"/>
  <c r="S7" i="1"/>
  <c r="S6" i="1"/>
  <c r="AD7" i="1"/>
  <c r="AD6" i="1"/>
  <c r="V7" i="1"/>
  <c r="V6" i="1"/>
  <c r="AX6" i="1"/>
  <c r="AX7" i="1"/>
  <c r="AH5" i="1" l="1"/>
  <c r="AQ5" i="1" s="1"/>
  <c r="AQ6" i="1" s="1"/>
  <c r="AI5" i="1"/>
  <c r="AI6" i="1" s="1"/>
  <c r="AG6" i="1"/>
  <c r="AG7" i="1"/>
  <c r="AJ7" i="1" s="1"/>
  <c r="AF6" i="1"/>
  <c r="AF7" i="1"/>
  <c r="AK5" i="1" l="1"/>
  <c r="AK6" i="1" s="1"/>
  <c r="AL5" i="1"/>
  <c r="AL6" i="1" s="1"/>
  <c r="AH6" i="1"/>
  <c r="AH7" i="1"/>
  <c r="AQ7" i="1" s="1"/>
  <c r="AI7" i="1"/>
  <c r="AK7" i="1" l="1"/>
  <c r="AL7" i="1"/>
</calcChain>
</file>

<file path=xl/sharedStrings.xml><?xml version="1.0" encoding="utf-8"?>
<sst xmlns="http://schemas.openxmlformats.org/spreadsheetml/2006/main" count="165" uniqueCount="124">
  <si>
    <t>On/Off@Bolt On Filler Option</t>
  </si>
  <si>
    <t>$STATE@Bolt on Option</t>
  </si>
  <si>
    <t>D2@Sketch1</t>
  </si>
  <si>
    <t>Leg Dim</t>
  </si>
  <si>
    <t>Offset above bottom of header</t>
  </si>
  <si>
    <t>Bolt On Option On/Off?</t>
  </si>
  <si>
    <t>Bolt On Filler Ref</t>
  </si>
  <si>
    <t>$User_Notes</t>
  </si>
  <si>
    <t>Cooler Type</t>
  </si>
  <si>
    <t>EH</t>
  </si>
  <si>
    <t>H</t>
  </si>
  <si>
    <t>VI or VV</t>
  </si>
  <si>
    <t>F</t>
  </si>
  <si>
    <t>Z</t>
  </si>
  <si>
    <t>(Side Frame Length - Tube Length - 9)/2</t>
  </si>
  <si>
    <t>Plate</t>
  </si>
  <si>
    <t>Tube</t>
  </si>
  <si>
    <t>SQ Pipe</t>
  </si>
  <si>
    <t>End Of List</t>
  </si>
  <si>
    <t>End of Row</t>
  </si>
  <si>
    <t>Header_Type_Table</t>
  </si>
  <si>
    <t>Cooler_Type_Table</t>
  </si>
  <si>
    <t>Ref dim</t>
  </si>
  <si>
    <t>Header type</t>
  </si>
  <si>
    <t>Offset from Bottom of HDR</t>
  </si>
  <si>
    <t>Option@Header Type</t>
  </si>
  <si>
    <t>Header Type</t>
  </si>
  <si>
    <t>Tube Length@Ref Dims</t>
  </si>
  <si>
    <t>SF Length@Ref Dims</t>
  </si>
  <si>
    <t>Side Frame Length Ref</t>
  </si>
  <si>
    <t>Tube Length Ref</t>
  </si>
  <si>
    <t>Air Filler Lip Dim</t>
  </si>
  <si>
    <t>Leg@Sketch1</t>
  </si>
  <si>
    <t>&lt;- section number</t>
  </si>
  <si>
    <t>&lt;- COMB section number</t>
  </si>
  <si>
    <t>Material</t>
  </si>
  <si>
    <t>AXC materials:SA-36</t>
  </si>
  <si>
    <t>Part No</t>
  </si>
  <si>
    <t>$PRP@PartNo</t>
  </si>
  <si>
    <t>Type@HDR Support Ref</t>
  </si>
  <si>
    <t>$STATE@Header Support Channel Cope</t>
  </si>
  <si>
    <t>$STATE@Header Support Angle Cope</t>
  </si>
  <si>
    <t>Header Support Channel Cope</t>
  </si>
  <si>
    <t>Header Support Angle Cope</t>
  </si>
  <si>
    <t>Front</t>
  </si>
  <si>
    <t>FrontSM-FLAT-PATTERN</t>
  </si>
  <si>
    <t>Rear</t>
  </si>
  <si>
    <r>
      <rPr>
        <u/>
        <sz val="11"/>
        <color theme="1"/>
        <rFont val="Calibri"/>
        <family val="2"/>
        <scheme val="minor"/>
      </rPr>
      <t>Reminder:</t>
    </r>
    <r>
      <rPr>
        <sz val="11"/>
        <color theme="1"/>
        <rFont val="Calibri"/>
        <family val="2"/>
        <scheme val="minor"/>
      </rPr>
      <t xml:space="preserve">
May have to open &amp; close the Weldment properties to get flat lengths to update correctly</t>
    </r>
  </si>
  <si>
    <t>Header Support Type</t>
  </si>
  <si>
    <t>$STATE@Header Support Angle Trim</t>
  </si>
  <si>
    <t>$STATE@Cut-Extrude3</t>
  </si>
  <si>
    <t>$STATE@Header Support Channel Trim</t>
  </si>
  <si>
    <t>$STATE@Cut-Extrude2</t>
  </si>
  <si>
    <t>$STATE@Bolt Hole</t>
  </si>
  <si>
    <t>$STATE@Bolt Hole Sketch</t>
  </si>
  <si>
    <t>$STATE@Bolt Hole Sketch-Pattern</t>
  </si>
  <si>
    <t>Job No</t>
  </si>
  <si>
    <t>SectionNo</t>
  </si>
  <si>
    <t>COMB SectionNo</t>
  </si>
  <si>
    <t>$PRP@SectionNo</t>
  </si>
  <si>
    <t>$PRP@COMBSectionNo</t>
  </si>
  <si>
    <t>$PRP@JobNumber</t>
  </si>
  <si>
    <t>Section Shift amount</t>
  </si>
  <si>
    <t>Section Shift@Ref Dims</t>
  </si>
  <si>
    <t>Are Front &amp; Rear
Different Heights?</t>
  </si>
  <si>
    <t>No</t>
  </si>
  <si>
    <t>Design Table for: 000000_S01c-Filler</t>
  </si>
  <si>
    <t>$LIBRARY:MATERIAL@000000_S01c-Filler</t>
  </si>
  <si>
    <t>Plate NACE</t>
  </si>
  <si>
    <t>Guage_Table</t>
  </si>
  <si>
    <t>Guage_List</t>
  </si>
  <si>
    <t>actual thickness</t>
  </si>
  <si>
    <t>decription property</t>
  </si>
  <si>
    <t>RM #</t>
  </si>
  <si>
    <t>7GA</t>
  </si>
  <si>
    <t>10GA</t>
  </si>
  <si>
    <t>12GA</t>
  </si>
  <si>
    <t>14GA</t>
  </si>
  <si>
    <t>End of List</t>
  </si>
  <si>
    <t>Sheet_Table</t>
  </si>
  <si>
    <t>Sheet_List</t>
  </si>
  <si>
    <t>Guage</t>
  </si>
  <si>
    <t>Description propety</t>
  </si>
  <si>
    <t>ST1000</t>
  </si>
  <si>
    <t>Filler_Thickness_List</t>
  </si>
  <si>
    <t>ST1010</t>
  </si>
  <si>
    <t>ST1020</t>
  </si>
  <si>
    <t>ST1014</t>
  </si>
  <si>
    <t>Thickness</t>
  </si>
  <si>
    <t>Guage Thickness</t>
  </si>
  <si>
    <t>Thickness@Sketch1</t>
  </si>
  <si>
    <t>Material Description
(for Flat Pattern drawing)</t>
  </si>
  <si>
    <t>$Prp@FLAT_DESCRIPTION</t>
  </si>
  <si>
    <t>RM number</t>
  </si>
  <si>
    <t>$Prp@RM</t>
  </si>
  <si>
    <t>AXC Bolt on features were here
were requested to not cut these holes in the filler
so shop can just match drill them instead</t>
  </si>
  <si>
    <t>Shop to match drill these holes
so keep suppressed</t>
  </si>
  <si>
    <t>(((Tube_Length-(Tube &amp; Plug Thickness*2)-0.375)-Col_CL_to_CL)/2)+1</t>
  </si>
  <si>
    <t>TP Thickness (front HDR)</t>
  </si>
  <si>
    <t>TP Thickness (Rear HDR)</t>
  </si>
  <si>
    <t>TP Thickness (largest)</t>
  </si>
  <si>
    <t>Front TPSheet thk@Ref Dims</t>
  </si>
  <si>
    <t>Rear TPSheet thk@Ref Dims</t>
  </si>
  <si>
    <t>Column CL to Column CL (Z Cooler)</t>
  </si>
  <si>
    <r>
      <rPr>
        <b/>
        <sz val="11"/>
        <color theme="1"/>
        <rFont val="Calibri"/>
        <family val="2"/>
        <scheme val="minor"/>
      </rPr>
      <t xml:space="preserve"> --- Z Shape ---</t>
    </r>
    <r>
      <rPr>
        <sz val="11"/>
        <color theme="1"/>
        <rFont val="Calibri"/>
        <family val="2"/>
        <scheme val="minor"/>
      </rPr>
      <t xml:space="preserve">
(Zero for no Z shape)
</t>
    </r>
    <r>
      <rPr>
        <i/>
        <sz val="11"/>
        <color theme="1"/>
        <rFont val="Calibri"/>
        <family val="2"/>
        <scheme val="minor"/>
      </rPr>
      <t>Lip Length against header</t>
    </r>
  </si>
  <si>
    <t>Offset@Sketch1</t>
  </si>
  <si>
    <t>Z Lip length</t>
  </si>
  <si>
    <t>LipLength@Z-Flange Sketch</t>
  </si>
  <si>
    <t>Z Lip On/Off?</t>
  </si>
  <si>
    <t>$STATE@Z-Flange</t>
  </si>
  <si>
    <t>&lt;- Max Col 2 Col value</t>
  </si>
  <si>
    <t>&lt;- Min Lip without error in solidworks</t>
  </si>
  <si>
    <t>&lt;- Min Lip for manufacturing</t>
  </si>
  <si>
    <t>$STATE@Z-Flange Cope</t>
  </si>
  <si>
    <t>Z Lip Cope</t>
  </si>
  <si>
    <t>Section Number</t>
  </si>
  <si>
    <t>COMB Section Number</t>
  </si>
  <si>
    <t>$PRP@SectionNumber</t>
  </si>
  <si>
    <t>$PRP@COMBSectionNumber</t>
  </si>
  <si>
    <t>Section Numbers Merged</t>
  </si>
  <si>
    <t>$PRP@TYPE</t>
  </si>
  <si>
    <t>Type</t>
  </si>
  <si>
    <t>$PRP@USED ON</t>
  </si>
  <si>
    <t>Used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</si>
</sst>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3" fillId="9" borderId="0" xfId="0" applyNumberFormat="1" applyFont="1" applyFill="1"/>
    <xf numFmtId="0" fontId="3" fillId="9" borderId="0" xfId="0" applyFont="1" applyFill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9" borderId="1" xfId="0" applyFill="1" applyBorder="1"/>
    <xf numFmtId="49" fontId="0" fillId="0" borderId="0" xfId="0" applyNumberFormat="1" applyAlignment="1">
      <alignment horizontal="center" textRotation="90" wrapText="1"/>
    </xf>
    <xf numFmtId="0" fontId="0" fillId="4" borderId="0" xfId="0" applyFill="1"/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3" fontId="5" fillId="0" borderId="0" xfId="1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2" borderId="0" xfId="0" applyFill="1"/>
    <xf numFmtId="0" fontId="0" fillId="7" borderId="0" xfId="0" applyFill="1"/>
    <xf numFmtId="0" fontId="0" fillId="2" borderId="0" xfId="0" applyFill="1" applyAlignment="1" applyProtection="1">
      <alignment horizontal="center"/>
      <protection locked="0"/>
    </xf>
    <xf numFmtId="0" fontId="0" fillId="6" borderId="0" xfId="0" applyFill="1" applyAlignment="1"/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5"/>
  <sheetViews>
    <sheetView tabSelected="1" zoomScaleNormal="100" workbookViewId="0"/>
  </sheetViews>
  <sheetFormatPr defaultRowHeight="15" outlineLevelRow="1" x14ac:dyDescent="0.25"/>
  <cols>
    <col min="1" max="1" width="18.5703125" style="1" bestFit="1" customWidth="1"/>
    <col min="2" max="2" width="3.42578125" bestFit="1" customWidth="1"/>
    <col min="3" max="3" width="6.5703125" customWidth="1"/>
    <col min="4" max="4" width="7.42578125" customWidth="1"/>
    <col min="5" max="5" width="11.42578125" customWidth="1"/>
    <col min="6" max="6" width="22.140625" bestFit="1" customWidth="1"/>
    <col min="7" max="7" width="6.5703125" bestFit="1" customWidth="1"/>
    <col min="8" max="8" width="6.140625" customWidth="1"/>
    <col min="9" max="9" width="3.140625" bestFit="1" customWidth="1"/>
    <col min="10" max="10" width="22.42578125" bestFit="1" customWidth="1"/>
    <col min="11" max="11" width="3.85546875" style="1" bestFit="1" customWidth="1"/>
    <col min="12" max="14" width="3.85546875" style="1" customWidth="1"/>
    <col min="15" max="15" width="3.7109375" style="1" customWidth="1"/>
    <col min="16" max="16" width="6" style="1" bestFit="1" customWidth="1"/>
    <col min="17" max="19" width="3.140625" style="1" bestFit="1" customWidth="1"/>
    <col min="20" max="22" width="3.140625" bestFit="1" customWidth="1"/>
    <col min="23" max="23" width="15.140625" style="1" bestFit="1" customWidth="1"/>
    <col min="24" max="24" width="3.7109375" customWidth="1"/>
    <col min="25" max="25" width="3.140625" bestFit="1" customWidth="1"/>
    <col min="27" max="27" width="19.28515625" customWidth="1"/>
    <col min="28" max="28" width="7" style="1" bestFit="1" customWidth="1"/>
    <col min="29" max="29" width="5" bestFit="1" customWidth="1"/>
    <col min="30" max="30" width="12.42578125" bestFit="1" customWidth="1"/>
    <col min="31" max="33" width="13.140625" customWidth="1"/>
    <col min="34" max="34" width="7.42578125" customWidth="1"/>
    <col min="35" max="36" width="3.85546875" customWidth="1"/>
    <col min="37" max="37" width="8.5703125" bestFit="1" customWidth="1"/>
    <col min="38" max="38" width="8.5703125" customWidth="1"/>
    <col min="39" max="39" width="7.7109375" customWidth="1"/>
    <col min="43" max="43" width="8.5703125" customWidth="1"/>
    <col min="49" max="52" width="3.140625" bestFit="1" customWidth="1"/>
  </cols>
  <sheetData>
    <row r="1" spans="1:149" s="20" customFormat="1" x14ac:dyDescent="0.25">
      <c r="A1" s="19" t="s">
        <v>66</v>
      </c>
      <c r="K1" s="19"/>
      <c r="L1" s="19"/>
      <c r="M1" s="19"/>
      <c r="N1" s="19"/>
      <c r="O1" s="19"/>
      <c r="P1" s="19"/>
      <c r="Q1" s="19"/>
      <c r="R1" s="19"/>
      <c r="S1" s="19"/>
      <c r="W1" s="19"/>
      <c r="AB1" s="19"/>
      <c r="AH1" s="36"/>
      <c r="AW1" s="33" t="s">
        <v>96</v>
      </c>
      <c r="AX1" s="33"/>
      <c r="AY1" s="33"/>
      <c r="AZ1" s="33"/>
      <c r="BA1" s="33"/>
      <c r="BB1" s="33"/>
    </row>
    <row r="2" spans="1:149" ht="18.75" x14ac:dyDescent="0.3">
      <c r="A2" s="9" t="str">
        <f>UPPER(RIGHT($F$4,LEN($F$4)-FIND("@",$F$4,1)))</f>
        <v>000000_S01C-FILLER</v>
      </c>
      <c r="B2" t="str">
        <f>IF(ISNUMBER(LEFT($A$2,1)+0), "", LEFT($A$2,MIN(FIND({0,1,2,3,4,5,6,7,8,9},A2&amp;"0123456789"))-1))</f>
        <v/>
      </c>
      <c r="E2" s="10">
        <f>MID(A2,FIND("_",A2,1)+2,2)+0</f>
        <v>1</v>
      </c>
      <c r="F2" s="11" t="s">
        <v>33</v>
      </c>
      <c r="J2" s="12">
        <f>E2+1</f>
        <v>2</v>
      </c>
      <c r="K2" s="11" t="s">
        <v>34</v>
      </c>
      <c r="L2" s="11"/>
      <c r="M2" s="11"/>
      <c r="N2" s="11"/>
      <c r="O2"/>
      <c r="P2"/>
      <c r="Q2"/>
      <c r="T2" s="1"/>
      <c r="U2" s="1"/>
      <c r="V2" s="1"/>
      <c r="W2" s="11"/>
      <c r="X2" s="12"/>
      <c r="Y2" s="12"/>
      <c r="AB2" s="12"/>
      <c r="AW2" s="33"/>
      <c r="AX2" s="33"/>
      <c r="AY2" s="33"/>
      <c r="AZ2" s="33"/>
      <c r="BA2" s="33"/>
      <c r="BB2" s="33"/>
      <c r="BE2" s="1"/>
      <c r="BM2" s="1"/>
      <c r="BN2" s="1"/>
      <c r="BO2" s="1"/>
      <c r="BP2" s="1"/>
      <c r="BQ2" s="1"/>
      <c r="BR2" s="1"/>
      <c r="BT2" s="1"/>
      <c r="BU2" s="1"/>
      <c r="BX2" s="1"/>
      <c r="BY2" s="1"/>
      <c r="CO2" s="1"/>
      <c r="DQ2" s="1"/>
      <c r="EQ2" s="1"/>
      <c r="ER2" s="1"/>
      <c r="ES2" s="1"/>
    </row>
    <row r="3" spans="1:149" s="4" customFormat="1" ht="186.75" x14ac:dyDescent="0.25">
      <c r="A3" s="3"/>
      <c r="B3" s="4" t="s">
        <v>8</v>
      </c>
      <c r="C3" s="4" t="s">
        <v>88</v>
      </c>
      <c r="D3" s="4" t="s">
        <v>103</v>
      </c>
      <c r="E3" s="8" t="s">
        <v>104</v>
      </c>
      <c r="F3" s="8" t="s">
        <v>35</v>
      </c>
      <c r="G3" s="8" t="s">
        <v>64</v>
      </c>
      <c r="H3" s="4" t="s">
        <v>26</v>
      </c>
      <c r="I3" s="4" t="s">
        <v>6</v>
      </c>
      <c r="J3" s="4" t="s">
        <v>29</v>
      </c>
      <c r="K3" s="4" t="s">
        <v>30</v>
      </c>
      <c r="L3" s="4" t="s">
        <v>98</v>
      </c>
      <c r="M3" s="4" t="s">
        <v>99</v>
      </c>
      <c r="N3" s="4" t="s">
        <v>100</v>
      </c>
      <c r="O3" s="4" t="s">
        <v>62</v>
      </c>
      <c r="P3" s="4" t="s">
        <v>48</v>
      </c>
      <c r="Q3" s="3" t="s">
        <v>43</v>
      </c>
      <c r="R3" s="3" t="s">
        <v>43</v>
      </c>
      <c r="S3" s="3" t="s">
        <v>43</v>
      </c>
      <c r="T3" s="3" t="s">
        <v>42</v>
      </c>
      <c r="U3" s="3" t="s">
        <v>42</v>
      </c>
      <c r="V3" s="3" t="s">
        <v>42</v>
      </c>
      <c r="W3" s="26" t="s">
        <v>95</v>
      </c>
      <c r="X3" s="3" t="s">
        <v>108</v>
      </c>
      <c r="Y3" s="3" t="s">
        <v>114</v>
      </c>
      <c r="Z3" s="4" t="s">
        <v>89</v>
      </c>
      <c r="AA3" s="4" t="s">
        <v>4</v>
      </c>
      <c r="AB3" s="3" t="s">
        <v>106</v>
      </c>
      <c r="AC3" s="4" t="s">
        <v>31</v>
      </c>
      <c r="AD3" s="26" t="s">
        <v>91</v>
      </c>
      <c r="AE3" s="26" t="s">
        <v>93</v>
      </c>
      <c r="AF3" s="4" t="s">
        <v>115</v>
      </c>
      <c r="AG3" s="4" t="s">
        <v>116</v>
      </c>
      <c r="AH3" s="4" t="s">
        <v>119</v>
      </c>
      <c r="AI3" s="4" t="s">
        <v>57</v>
      </c>
      <c r="AJ3" s="4" t="s">
        <v>58</v>
      </c>
      <c r="AK3" s="3" t="s">
        <v>37</v>
      </c>
      <c r="AL3" s="3" t="s">
        <v>121</v>
      </c>
      <c r="AM3" s="3" t="s">
        <v>56</v>
      </c>
      <c r="AQ3" s="3" t="s">
        <v>123</v>
      </c>
      <c r="AW3" s="3" t="s">
        <v>5</v>
      </c>
      <c r="AX3" s="3" t="s">
        <v>5</v>
      </c>
      <c r="AY3" s="3" t="s">
        <v>5</v>
      </c>
      <c r="AZ3" s="3" t="s">
        <v>5</v>
      </c>
    </row>
    <row r="4" spans="1:149" s="4" customFormat="1" ht="196.5" hidden="1" outlineLevel="1" x14ac:dyDescent="0.25">
      <c r="A4" s="3"/>
      <c r="B4" s="4" t="s">
        <v>7</v>
      </c>
      <c r="C4" s="4" t="s">
        <v>7</v>
      </c>
      <c r="D4" s="4" t="s">
        <v>7</v>
      </c>
      <c r="E4" s="4" t="s">
        <v>105</v>
      </c>
      <c r="F4" s="4" t="s">
        <v>67</v>
      </c>
      <c r="G4" s="4" t="s">
        <v>7</v>
      </c>
      <c r="H4" s="4" t="s">
        <v>25</v>
      </c>
      <c r="I4" s="4" t="s">
        <v>0</v>
      </c>
      <c r="J4" s="4" t="s">
        <v>28</v>
      </c>
      <c r="K4" s="4" t="s">
        <v>27</v>
      </c>
      <c r="L4" s="4" t="s">
        <v>101</v>
      </c>
      <c r="M4" s="4" t="s">
        <v>102</v>
      </c>
      <c r="N4" s="4" t="s">
        <v>7</v>
      </c>
      <c r="O4" s="4" t="s">
        <v>63</v>
      </c>
      <c r="P4" s="4" t="s">
        <v>39</v>
      </c>
      <c r="Q4" s="3" t="s">
        <v>41</v>
      </c>
      <c r="R4" s="3" t="s">
        <v>49</v>
      </c>
      <c r="S4" s="3" t="s">
        <v>50</v>
      </c>
      <c r="T4" s="3" t="s">
        <v>40</v>
      </c>
      <c r="U4" s="3" t="s">
        <v>51</v>
      </c>
      <c r="V4" s="3" t="s">
        <v>52</v>
      </c>
      <c r="W4" s="4" t="s">
        <v>7</v>
      </c>
      <c r="X4" s="3" t="s">
        <v>109</v>
      </c>
      <c r="Y4" s="3" t="s">
        <v>113</v>
      </c>
      <c r="Z4" s="4" t="s">
        <v>90</v>
      </c>
      <c r="AA4" s="4" t="s">
        <v>2</v>
      </c>
      <c r="AB4" s="3" t="s">
        <v>107</v>
      </c>
      <c r="AC4" s="4" t="s">
        <v>32</v>
      </c>
      <c r="AD4" s="4" t="s">
        <v>92</v>
      </c>
      <c r="AE4" s="4" t="s">
        <v>94</v>
      </c>
      <c r="AF4" s="4" t="s">
        <v>117</v>
      </c>
      <c r="AG4" s="4" t="s">
        <v>118</v>
      </c>
      <c r="AH4" s="4" t="s">
        <v>7</v>
      </c>
      <c r="AI4" s="4" t="s">
        <v>59</v>
      </c>
      <c r="AJ4" s="4" t="s">
        <v>60</v>
      </c>
      <c r="AK4" s="4" t="s">
        <v>38</v>
      </c>
      <c r="AL4" s="4" t="s">
        <v>120</v>
      </c>
      <c r="AM4" s="4" t="s">
        <v>61</v>
      </c>
      <c r="AQ4" s="4" t="s">
        <v>122</v>
      </c>
      <c r="AW4" s="3" t="s">
        <v>1</v>
      </c>
      <c r="AX4" s="3" t="s">
        <v>53</v>
      </c>
      <c r="AY4" s="3" t="s">
        <v>54</v>
      </c>
      <c r="AZ4" s="3" t="s">
        <v>55</v>
      </c>
    </row>
    <row r="5" spans="1:149" s="2" customFormat="1" ht="21" customHeight="1" collapsed="1" x14ac:dyDescent="0.25">
      <c r="A5" s="1" t="s">
        <v>44</v>
      </c>
      <c r="B5" s="2" t="s">
        <v>9</v>
      </c>
      <c r="C5" s="28" t="s">
        <v>76</v>
      </c>
      <c r="D5" s="2">
        <v>284.25</v>
      </c>
      <c r="E5" s="2">
        <v>1.0000000000000002E-4</v>
      </c>
      <c r="F5" s="2" t="s">
        <v>36</v>
      </c>
      <c r="G5" s="2" t="s">
        <v>65</v>
      </c>
      <c r="H5" s="7">
        <v>1.0000000000000036</v>
      </c>
      <c r="I5" s="7">
        <v>1.000000000000056</v>
      </c>
      <c r="J5" s="7">
        <v>777.62500000000023</v>
      </c>
      <c r="K5" s="7">
        <v>780.00000000000034</v>
      </c>
      <c r="L5" s="7">
        <v>0.99999999999999922</v>
      </c>
      <c r="M5" s="7">
        <v>1.000000000000467</v>
      </c>
      <c r="N5" s="6">
        <f>MROUND(IF(L5&gt;M5,L5,M5),0.0625)</f>
        <v>1</v>
      </c>
      <c r="O5" s="7">
        <v>0</v>
      </c>
      <c r="P5" s="7">
        <v>9.9999999881800067E-6</v>
      </c>
      <c r="Q5" s="5" t="str">
        <f>IF(AND(ROUND($P$5,6)&lt;&gt;0.00001,ROUND($P$5,6)=1),"U","S")</f>
        <v>S</v>
      </c>
      <c r="R5" s="16" t="str">
        <f>$Q$5</f>
        <v>S</v>
      </c>
      <c r="S5" s="16" t="str">
        <f>$Q$5</f>
        <v>S</v>
      </c>
      <c r="T5" s="5" t="str">
        <f>IF(AND(ROUND($P$5,6)&lt;&gt;0.00001,ROUND($P$5,6)=2),"U","S")</f>
        <v>S</v>
      </c>
      <c r="U5" s="16" t="str">
        <f>$T$5</f>
        <v>S</v>
      </c>
      <c r="V5" s="16" t="str">
        <f>$T$5</f>
        <v>S</v>
      </c>
      <c r="W5" s="6"/>
      <c r="X5" s="6" t="str">
        <f>IF(INT(E5)&lt;&gt;0,"U","S")</f>
        <v>S</v>
      </c>
      <c r="Y5" s="6" t="str">
        <f>IF(INT(E5)&lt;&gt;0,"U","S")</f>
        <v>S</v>
      </c>
      <c r="Z5" s="6">
        <f>IFERROR(VLOOKUP(C5,Guage_Table,2,FALSE),C5)</f>
        <v>0.1046</v>
      </c>
      <c r="AA5" s="6">
        <f>VLOOKUP(ROUND(H5,6),Header_Type_Table,3,FALSE)</f>
        <v>1E-4</v>
      </c>
      <c r="AB5" s="6">
        <f>IF(Y5="U",E5,1)</f>
        <v>1</v>
      </c>
      <c r="AC5" s="6">
        <f>VLOOKUP($B$5,Cooler_Type_Table,2,FALSE)+MROUND(O5,0.0625)</f>
        <v>1.5</v>
      </c>
      <c r="AD5" s="27" t="str">
        <f>IFERROR(VLOOKUP(Z5,Sheet_Table,3,FALSE),"PLATE,"&amp;TEXT(Z5,"#??/??"))</f>
        <v>SHEET, 12GA</v>
      </c>
      <c r="AE5" s="13" t="str">
        <f>IFERROR(VLOOKUP(Z5,Sheet_Table,4,FALSE),"ST1014")</f>
        <v>ST1020</v>
      </c>
      <c r="AF5" s="37" t="str">
        <f>CONCATENATE($B$2,$E$2)</f>
        <v>1</v>
      </c>
      <c r="AG5" s="37" t="str">
        <f>_xlfn.CONCAT($B$2,$J$2)</f>
        <v>2</v>
      </c>
      <c r="AH5" s="37" t="str">
        <f>_xlfn.CONCAT($AF5,"-",$AG5)</f>
        <v>1-2</v>
      </c>
      <c r="AI5" s="39" t="str">
        <f>CONCATENATE(".",AF5)</f>
        <v>.1</v>
      </c>
      <c r="AJ5" s="39" t="str">
        <f>CONCATENATE(".",AG5)</f>
        <v>.2</v>
      </c>
      <c r="AK5" s="13" t="str">
        <f>CONCATENATE($AH5,"-FIL"&amp;IF($G$5="Yes","-F",""))</f>
        <v>1-2-FIL</v>
      </c>
      <c r="AL5" s="13" t="str">
        <f>_xlfn.CONCAT($AH5,"-SEC")</f>
        <v>1-2-SEC</v>
      </c>
      <c r="AM5" s="13" t="str">
        <f>LEFT(A2,FIND("_",A2,1)-1)</f>
        <v>000000</v>
      </c>
      <c r="AQ5" s="13" t="str">
        <f>_xlfn.CONCAT($AH5,"-SEC")</f>
        <v>1-2-SEC</v>
      </c>
      <c r="AW5" s="6" t="str">
        <f>IF(ROUND(I5,6)=1,"U","S")</f>
        <v>U</v>
      </c>
      <c r="AX5" s="17" t="str">
        <f>$AW$5</f>
        <v>U</v>
      </c>
      <c r="AY5" s="17" t="str">
        <f>$AW$5</f>
        <v>U</v>
      </c>
      <c r="AZ5" s="17" t="str">
        <f>$AW$5</f>
        <v>U</v>
      </c>
    </row>
    <row r="6" spans="1:149" x14ac:dyDescent="0.25">
      <c r="A6" s="1" t="s">
        <v>45</v>
      </c>
      <c r="B6" s="14" t="str">
        <f>B$5</f>
        <v>EH</v>
      </c>
      <c r="C6" s="14" t="str">
        <f t="shared" ref="C6:E7" si="0">C$5</f>
        <v>12GA</v>
      </c>
      <c r="D6" s="14">
        <f>D$5</f>
        <v>284.25</v>
      </c>
      <c r="E6" s="14">
        <f t="shared" si="0"/>
        <v>1.0000000000000002E-4</v>
      </c>
      <c r="F6" s="14" t="str">
        <f>F$5</f>
        <v>AXC materials:SA-36</v>
      </c>
      <c r="G6" s="14" t="str">
        <f>G$5</f>
        <v>No</v>
      </c>
      <c r="H6" s="14">
        <f t="shared" ref="H6:AM6" si="1">H$5</f>
        <v>1.0000000000000036</v>
      </c>
      <c r="I6" s="14">
        <f t="shared" si="1"/>
        <v>1.000000000000056</v>
      </c>
      <c r="J6" s="14">
        <f t="shared" si="1"/>
        <v>777.62500000000023</v>
      </c>
      <c r="K6" s="14">
        <f t="shared" si="1"/>
        <v>780.00000000000034</v>
      </c>
      <c r="L6" s="14">
        <f t="shared" si="1"/>
        <v>0.99999999999999922</v>
      </c>
      <c r="M6" s="14">
        <f t="shared" si="1"/>
        <v>1.000000000000467</v>
      </c>
      <c r="N6" s="14">
        <f t="shared" si="1"/>
        <v>1</v>
      </c>
      <c r="O6" s="14">
        <f>O$5</f>
        <v>0</v>
      </c>
      <c r="P6" s="14">
        <f t="shared" si="1"/>
        <v>9.9999999881800067E-6</v>
      </c>
      <c r="Q6" s="14" t="str">
        <f t="shared" si="1"/>
        <v>S</v>
      </c>
      <c r="R6" s="14" t="str">
        <f t="shared" si="1"/>
        <v>S</v>
      </c>
      <c r="S6" s="14" t="str">
        <f t="shared" si="1"/>
        <v>S</v>
      </c>
      <c r="T6" s="14" t="str">
        <f t="shared" si="1"/>
        <v>S</v>
      </c>
      <c r="U6" s="14" t="str">
        <f t="shared" si="1"/>
        <v>S</v>
      </c>
      <c r="V6" s="14" t="str">
        <f t="shared" si="1"/>
        <v>S</v>
      </c>
      <c r="W6" s="14"/>
      <c r="X6" s="17" t="str">
        <f>$X$5</f>
        <v>S</v>
      </c>
      <c r="Y6" s="14" t="str">
        <f>Y$5</f>
        <v>S</v>
      </c>
      <c r="Z6" s="14">
        <f>Z$5</f>
        <v>0.1046</v>
      </c>
      <c r="AA6" s="14">
        <f t="shared" si="1"/>
        <v>1E-4</v>
      </c>
      <c r="AB6" s="17">
        <f>$AB$5</f>
        <v>1</v>
      </c>
      <c r="AC6" s="14">
        <f t="shared" si="1"/>
        <v>1.5</v>
      </c>
      <c r="AD6" s="14" t="str">
        <f>AD$5</f>
        <v>SHEET, 12GA</v>
      </c>
      <c r="AE6" s="14" t="str">
        <f>AE$5</f>
        <v>ST1020</v>
      </c>
      <c r="AF6" s="40" t="str">
        <f>AF$5</f>
        <v>1</v>
      </c>
      <c r="AG6" s="40" t="str">
        <f>AG$5</f>
        <v>2</v>
      </c>
      <c r="AH6" s="40" t="str">
        <f t="shared" si="1"/>
        <v>1-2</v>
      </c>
      <c r="AI6" s="14" t="str">
        <f t="shared" si="1"/>
        <v>.1</v>
      </c>
      <c r="AJ6" s="14" t="str">
        <f t="shared" si="1"/>
        <v>.2</v>
      </c>
      <c r="AK6" s="14" t="str">
        <f t="shared" si="1"/>
        <v>1-2-FIL</v>
      </c>
      <c r="AL6" s="14" t="str">
        <f t="shared" si="1"/>
        <v>1-2-SEC</v>
      </c>
      <c r="AM6" s="14" t="str">
        <f t="shared" si="1"/>
        <v>000000</v>
      </c>
      <c r="AQ6" s="14" t="str">
        <f>AQ$5</f>
        <v>1-2-SEC</v>
      </c>
      <c r="AW6" s="14" t="str">
        <f t="shared" ref="AW6:AZ7" si="2">AW$5</f>
        <v>U</v>
      </c>
      <c r="AX6" s="14" t="str">
        <f t="shared" si="2"/>
        <v>U</v>
      </c>
      <c r="AY6" s="14" t="str">
        <f t="shared" si="2"/>
        <v>U</v>
      </c>
      <c r="AZ6" s="14" t="str">
        <f t="shared" si="2"/>
        <v>U</v>
      </c>
    </row>
    <row r="7" spans="1:149" x14ac:dyDescent="0.25">
      <c r="A7" s="1" t="s">
        <v>46</v>
      </c>
      <c r="B7" s="15" t="str">
        <f t="shared" ref="B7:AM7" si="3">B$5</f>
        <v>EH</v>
      </c>
      <c r="C7" s="14" t="str">
        <f t="shared" si="0"/>
        <v>12GA</v>
      </c>
      <c r="D7" s="18">
        <f t="shared" ref="D7:G7" si="4">D$5</f>
        <v>284.25</v>
      </c>
      <c r="E7" s="30">
        <f t="shared" si="4"/>
        <v>1.0000000000000002E-4</v>
      </c>
      <c r="F7" s="15" t="str">
        <f t="shared" si="4"/>
        <v>AXC materials:SA-36</v>
      </c>
      <c r="G7" s="15" t="str">
        <f t="shared" si="4"/>
        <v>No</v>
      </c>
      <c r="H7" s="15">
        <f t="shared" si="3"/>
        <v>1.0000000000000036</v>
      </c>
      <c r="I7" s="15">
        <f t="shared" si="3"/>
        <v>1.000000000000056</v>
      </c>
      <c r="J7" s="15">
        <f t="shared" si="3"/>
        <v>777.62500000000023</v>
      </c>
      <c r="K7" s="15">
        <f t="shared" si="3"/>
        <v>780.00000000000034</v>
      </c>
      <c r="L7" s="15">
        <f t="shared" si="3"/>
        <v>0.99999999999999922</v>
      </c>
      <c r="M7" s="15">
        <f t="shared" si="3"/>
        <v>1.000000000000467</v>
      </c>
      <c r="N7" s="15">
        <f t="shared" si="3"/>
        <v>1</v>
      </c>
      <c r="O7" s="15">
        <f>O$5</f>
        <v>0</v>
      </c>
      <c r="P7" s="15">
        <f t="shared" si="3"/>
        <v>9.9999999881800067E-6</v>
      </c>
      <c r="Q7" s="15" t="str">
        <f t="shared" si="3"/>
        <v>S</v>
      </c>
      <c r="R7" s="15" t="str">
        <f t="shared" si="3"/>
        <v>S</v>
      </c>
      <c r="S7" s="15" t="str">
        <f t="shared" si="3"/>
        <v>S</v>
      </c>
      <c r="T7" s="15" t="str">
        <f t="shared" si="3"/>
        <v>S</v>
      </c>
      <c r="U7" s="15" t="str">
        <f t="shared" si="3"/>
        <v>S</v>
      </c>
      <c r="V7" s="15" t="str">
        <f t="shared" si="3"/>
        <v>S</v>
      </c>
      <c r="W7" s="14"/>
      <c r="X7" s="6" t="str">
        <f>IF(INT(E7)&lt;&gt;0,"U","S")</f>
        <v>S</v>
      </c>
      <c r="Y7" s="6" t="str">
        <f>IF(INT(E7)&lt;&gt;0,"U","S")</f>
        <v>S</v>
      </c>
      <c r="Z7" s="15">
        <f>Z$5</f>
        <v>0.1046</v>
      </c>
      <c r="AA7" s="15">
        <f t="shared" si="3"/>
        <v>1E-4</v>
      </c>
      <c r="AB7" s="6">
        <f>IF(Y7="U",E7,1)</f>
        <v>1</v>
      </c>
      <c r="AC7" s="15">
        <f t="shared" si="3"/>
        <v>1.5</v>
      </c>
      <c r="AD7" s="15" t="str">
        <f>AD$5</f>
        <v>SHEET, 12GA</v>
      </c>
      <c r="AE7" s="15" t="str">
        <f>AE$5</f>
        <v>ST1020</v>
      </c>
      <c r="AF7" s="38" t="str">
        <f t="shared" ref="AF7:AG7" si="5">AF$5</f>
        <v>1</v>
      </c>
      <c r="AG7" s="38" t="str">
        <f t="shared" si="5"/>
        <v>2</v>
      </c>
      <c r="AH7" s="37" t="str">
        <f>_xlfn.CONCAT($AF7,"-",$AG7)</f>
        <v>1-2</v>
      </c>
      <c r="AI7" s="39" t="str">
        <f>CONCATENATE(".",AF7)</f>
        <v>.1</v>
      </c>
      <c r="AJ7" s="39" t="str">
        <f>CONCATENATE(".",AG7)</f>
        <v>.2</v>
      </c>
      <c r="AK7" s="13" t="str">
        <f>CONCATENATE($AH7,"-FIL"&amp;IF($G$5="Yes","-R",""))</f>
        <v>1-2-FIL</v>
      </c>
      <c r="AL7" s="13" t="str">
        <f>_xlfn.CONCAT($AH7,"-SEC")</f>
        <v>1-2-SEC</v>
      </c>
      <c r="AM7" s="15" t="str">
        <f t="shared" si="3"/>
        <v>000000</v>
      </c>
      <c r="AQ7" s="13" t="str">
        <f>_xlfn.CONCAT($AH7,"-SEC")</f>
        <v>1-2-SEC</v>
      </c>
      <c r="AW7" s="15" t="str">
        <f t="shared" si="2"/>
        <v>U</v>
      </c>
      <c r="AX7" s="15" t="str">
        <f t="shared" si="2"/>
        <v>U</v>
      </c>
      <c r="AY7" s="15" t="str">
        <f t="shared" si="2"/>
        <v>U</v>
      </c>
      <c r="AZ7" s="15" t="str">
        <f t="shared" si="2"/>
        <v>U</v>
      </c>
    </row>
    <row r="8" spans="1:149" x14ac:dyDescent="0.25">
      <c r="D8" s="35" t="str">
        <f>IF(AND(Cooler_Type="Z", Col_CL_to_CL&gt;D10),"↑ Value too large for valid filler dims","")</f>
        <v/>
      </c>
      <c r="E8" s="35"/>
      <c r="O8"/>
      <c r="P8"/>
      <c r="W8"/>
      <c r="AA8" s="2"/>
      <c r="AC8">
        <f>((2*Z5)+(2*0.21)+(2*0.0125))/2         +N("2xthickness + 2xbend radius + 2xminimum flat face after bend")</f>
        <v>0.3271</v>
      </c>
      <c r="AD8" t="s">
        <v>111</v>
      </c>
    </row>
    <row r="9" spans="1:149" x14ac:dyDescent="0.25">
      <c r="D9" s="35"/>
      <c r="E9" s="35"/>
      <c r="W9"/>
      <c r="AA9" s="2"/>
      <c r="AC9">
        <v>1.5</v>
      </c>
      <c r="AD9" t="s">
        <v>112</v>
      </c>
    </row>
    <row r="10" spans="1:149" ht="15" customHeight="1" x14ac:dyDescent="0.25">
      <c r="D10" s="31">
        <f>(ROUND(Tube_Length,6)-(ROUND(TP_Thickness,6)*2)-0.375)+2-(2*AC9)      +N("change last part of fx between min mfg value or min solidworks value")</f>
        <v>776.625</v>
      </c>
      <c r="E10" s="32" t="s">
        <v>110</v>
      </c>
      <c r="W10"/>
      <c r="AA10" s="2"/>
      <c r="AB10"/>
    </row>
    <row r="11" spans="1:149" x14ac:dyDescent="0.25">
      <c r="W11"/>
      <c r="AA11" s="2"/>
      <c r="AB11"/>
    </row>
    <row r="12" spans="1:149" x14ac:dyDescent="0.25">
      <c r="D12" s="34" t="s">
        <v>47</v>
      </c>
      <c r="E12" s="34"/>
      <c r="F12" s="34"/>
      <c r="G12" s="34"/>
      <c r="H12" s="34"/>
      <c r="I12" s="34"/>
      <c r="W12"/>
      <c r="AA12" s="2"/>
      <c r="AB12"/>
      <c r="AF12" s="2"/>
      <c r="AG12" s="2"/>
    </row>
    <row r="13" spans="1:149" x14ac:dyDescent="0.25">
      <c r="D13" s="34"/>
      <c r="E13" s="34"/>
      <c r="F13" s="34"/>
      <c r="G13" s="34"/>
      <c r="H13" s="34"/>
      <c r="I13" s="34"/>
      <c r="W13"/>
      <c r="AB13"/>
      <c r="AF13" s="4"/>
      <c r="AG13" s="4"/>
    </row>
    <row r="14" spans="1:149" x14ac:dyDescent="0.25">
      <c r="D14" s="34"/>
      <c r="E14" s="34"/>
      <c r="F14" s="34"/>
      <c r="G14" s="34"/>
      <c r="H14" s="34"/>
      <c r="I14" s="34"/>
      <c r="W14"/>
      <c r="AB14"/>
    </row>
    <row r="15" spans="1:149" x14ac:dyDescent="0.25">
      <c r="X15" s="1"/>
      <c r="AB15"/>
      <c r="AD15" s="2"/>
      <c r="AE15" s="2"/>
    </row>
    <row r="16" spans="1:149" x14ac:dyDescent="0.25">
      <c r="AB16"/>
      <c r="AD16" s="4"/>
      <c r="AE16" s="4"/>
    </row>
    <row r="22" spans="23:28" x14ac:dyDescent="0.25">
      <c r="W22"/>
      <c r="AB22"/>
    </row>
    <row r="23" spans="23:28" x14ac:dyDescent="0.25">
      <c r="W23"/>
      <c r="X23" s="1"/>
    </row>
    <row r="24" spans="23:28" x14ac:dyDescent="0.25">
      <c r="W24"/>
      <c r="X24" s="1"/>
    </row>
    <row r="25" spans="23:28" x14ac:dyDescent="0.25">
      <c r="W25"/>
      <c r="X25" s="1"/>
    </row>
  </sheetData>
  <mergeCells count="3">
    <mergeCell ref="AW1:BB2"/>
    <mergeCell ref="D12:I14"/>
    <mergeCell ref="D8:E9"/>
  </mergeCells>
  <conditionalFormatting sqref="D5 D8">
    <cfRule type="expression" dxfId="3" priority="2">
      <formula>$D$8&lt;&gt;""</formula>
    </cfRule>
  </conditionalFormatting>
  <conditionalFormatting sqref="D5:D7 D3">
    <cfRule type="expression" dxfId="2" priority="4">
      <formula>$B$5&lt;&gt;"Z"</formula>
    </cfRule>
  </conditionalFormatting>
  <conditionalFormatting sqref="D10:E10">
    <cfRule type="expression" dxfId="1" priority="1">
      <formula>$B$5&lt;&gt;"Z"</formula>
    </cfRule>
  </conditionalFormatting>
  <conditionalFormatting sqref="W7">
    <cfRule type="expression" dxfId="0" priority="5">
      <formula>AND($B$5&lt;&gt;"Z",#REF! &lt;&gt; "Hammco")</formula>
    </cfRule>
  </conditionalFormatting>
  <dataValidations xWindow="1042" yWindow="799" count="13">
    <dataValidation errorTitle="SolidWorks Error:" error="The value you have entered is invalid.  Please enter a valid value before continuing." promptTitle="D2@Sketch1" prompt="Enter a valid value for this parameter." sqref="W7 D5" xr:uid="{00000000-0002-0000-0000-000000000000}"/>
    <dataValidation type="list" allowBlank="1" showInputMessage="1" showErrorMessage="1" sqref="B5" xr:uid="{00000000-0002-0000-0000-000001000000}">
      <formula1>"EH, H, VI or VV, F, Z"</formula1>
    </dataValidation>
    <dataValidation showErrorMessage="1" errorTitle="SolidWorks Error:" error="The value you have entered is invalid.  Please enter a valid value before continuing." promptTitle="D2@Sketch1" prompt="Enter a valid value for this parameter." sqref="AA5:AB5" xr:uid="{00000000-0002-0000-0000-000002000000}"/>
    <dataValidation allowBlank="1" sqref="E6 C6:C7 AW5:AZ5 Y7 H5:V5 Y5 AI5:AJ5 AI7:AJ7" xr:uid="{00000000-0002-0000-0000-000003000000}"/>
    <dataValidation type="list" allowBlank="1" promptTitle="$LIBRARY:MATERIAL@000000_S01c_Fi" prompt="Select a material to apply to this configuration. A valid material entry follows the form 'Library:Material'" sqref="F5" xr:uid="{00000000-0002-0000-0000-000006000000}">
      <formula1>"AXC materials:SA-36"</formula1>
    </dataValidation>
    <dataValidation type="list" errorTitle="SolidWorks Error:" error="The value you have entered is invalid.  Please enter a valid value before continuing." promptTitle="D2@Sketch1" prompt="Enter a valid value for this parameter." sqref="G5" xr:uid="{00000000-0002-0000-0000-000007000000}">
      <formula1>"Yes, No"</formula1>
    </dataValidation>
    <dataValidation type="list" allowBlank="1" sqref="C5" xr:uid="{00000000-0002-0000-0000-000008000000}">
      <formula1>Filler_Thickness_List</formula1>
    </dataValidation>
    <dataValidation showErrorMessage="1" errorTitle="SOLIDWORKS Error:" error="The value you have entered is invalid.  Please enter a valid value before continuing." promptTitle="D2@Sketch16" prompt="Enter a valid value for this parameter." sqref="Z5" xr:uid="{00000000-0002-0000-0000-000009000000}"/>
    <dataValidation allowBlank="1" promptTitle="$PRP@PartNo" prompt="3X-FIL" sqref="AD5:AE5" xr:uid="{00000000-0002-0000-0000-00000A000000}"/>
    <dataValidation allowBlank="1" errorTitle="SolidWorks Error:" error="The value you have entered is invalid.  Please enter a valid value before continuing." promptTitle="$STATE@Bolt on Option" prompt="Select to suppress or unsuppress the feature_x000a_Possible Options:_x000a_Suppressed_x000a_Unsuppressed_x000a_S = Suppressed_x000a_U = Unsuppressed_x000a_1 = Suppressed_x000a_0 = Unsuppressed" sqref="W5 X5:Y7 AB5:AB7" xr:uid="{00000000-0002-0000-0000-00000B000000}"/>
    <dataValidation type="decimal" showErrorMessage="1" error="Enter 0.0001 for zero value._x000a_Max value is 10." prompt="Enter 0.0001 for zero value" sqref="E5" xr:uid="{00000000-0002-0000-0000-00000C000000}">
      <formula1>0.0001</formula1>
      <formula2>10</formula2>
    </dataValidation>
    <dataValidation allowBlank="1" promptTitle="$PRP@PartNo" prompt="1-2X-FIL" sqref="AK7:AL7 AQ5 AK5:AL5 AM5 AQ7" xr:uid="{00000000-0002-0000-0000-000004000000}"/>
    <dataValidation allowBlank="1" showErrorMessage="1" sqref="AB5:AC5" xr:uid="{00000000-0002-0000-0000-000005000000}"/>
  </dataValidations>
  <pageMargins left="0.7" right="0.7" top="0.75" bottom="0.75" header="0.3" footer="0.3"/>
  <pageSetup orientation="portrait" r:id="rId1"/>
  <ignoredErrors>
    <ignoredError sqref="AK6:AL6 AH7 AH6:AJ6 AQ6 AB6:AB7" formula="1"/>
    <ignoredError sqref="AI5:AJ5 AI7:AJ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4.140625" style="2" bestFit="1" customWidth="1"/>
    <col min="3" max="3" width="23.42578125" bestFit="1" customWidth="1"/>
    <col min="4" max="4" width="14.42578125" customWidth="1"/>
    <col min="5" max="5" width="10.42578125" bestFit="1" customWidth="1"/>
    <col min="8" max="8" width="18.28515625" bestFit="1" customWidth="1"/>
  </cols>
  <sheetData>
    <row r="1" spans="1:4" x14ac:dyDescent="0.25">
      <c r="A1" t="s">
        <v>21</v>
      </c>
    </row>
    <row r="2" spans="1:4" x14ac:dyDescent="0.25">
      <c r="A2" s="2">
        <v>1</v>
      </c>
      <c r="B2" s="2">
        <v>2</v>
      </c>
      <c r="C2" s="2"/>
    </row>
    <row r="3" spans="1:4" x14ac:dyDescent="0.25">
      <c r="B3" s="2" t="s">
        <v>3</v>
      </c>
    </row>
    <row r="4" spans="1:4" x14ac:dyDescent="0.25">
      <c r="A4" s="23" t="s">
        <v>9</v>
      </c>
      <c r="B4" s="21">
        <v>1.5</v>
      </c>
      <c r="C4" s="23" t="s">
        <v>19</v>
      </c>
    </row>
    <row r="5" spans="1:4" x14ac:dyDescent="0.25">
      <c r="A5" s="23" t="s">
        <v>10</v>
      </c>
      <c r="B5" s="21">
        <v>2.25</v>
      </c>
      <c r="C5" s="23" t="s">
        <v>19</v>
      </c>
    </row>
    <row r="6" spans="1:4" x14ac:dyDescent="0.25">
      <c r="A6" s="23" t="s">
        <v>11</v>
      </c>
      <c r="B6" s="21">
        <v>2</v>
      </c>
      <c r="C6" s="23" t="s">
        <v>19</v>
      </c>
    </row>
    <row r="7" spans="1:4" x14ac:dyDescent="0.25">
      <c r="A7" s="23" t="s">
        <v>12</v>
      </c>
      <c r="B7" s="21">
        <f>ABS(Tube_Length-SF_Length-9)/2</f>
        <v>3.3124999999999432</v>
      </c>
      <c r="C7" s="23" t="s">
        <v>19</v>
      </c>
      <c r="D7" t="s">
        <v>14</v>
      </c>
    </row>
    <row r="8" spans="1:4" x14ac:dyDescent="0.25">
      <c r="A8" s="23" t="s">
        <v>13</v>
      </c>
      <c r="B8" s="29">
        <f>(((ROUND(Tube_Length,6)-(ROUND(TP_Thickness,6)*2)-0.375)-Col_CL_to_CL)/2)+1</f>
        <v>247.6875</v>
      </c>
      <c r="C8" s="23" t="s">
        <v>19</v>
      </c>
      <c r="D8" t="s">
        <v>97</v>
      </c>
    </row>
    <row r="9" spans="1:4" x14ac:dyDescent="0.25">
      <c r="A9" s="23" t="s">
        <v>18</v>
      </c>
      <c r="B9" s="21"/>
      <c r="C9" s="23"/>
    </row>
    <row r="11" spans="1:4" x14ac:dyDescent="0.25">
      <c r="A11" t="s">
        <v>20</v>
      </c>
    </row>
    <row r="12" spans="1:4" s="2" customFormat="1" x14ac:dyDescent="0.25">
      <c r="A12" s="2">
        <v>1</v>
      </c>
      <c r="B12" s="2">
        <v>2</v>
      </c>
      <c r="C12" s="2">
        <v>3</v>
      </c>
      <c r="D12" s="2">
        <v>4</v>
      </c>
    </row>
    <row r="13" spans="1:4" s="2" customFormat="1" x14ac:dyDescent="0.25">
      <c r="A13" s="2" t="s">
        <v>22</v>
      </c>
      <c r="B13" s="2" t="s">
        <v>23</v>
      </c>
      <c r="C13" s="2" t="s">
        <v>24</v>
      </c>
    </row>
    <row r="14" spans="1:4" x14ac:dyDescent="0.25">
      <c r="A14" s="23">
        <v>1</v>
      </c>
      <c r="B14" s="23" t="s">
        <v>15</v>
      </c>
      <c r="C14" s="21">
        <v>1E-4</v>
      </c>
      <c r="D14" s="23" t="s">
        <v>19</v>
      </c>
    </row>
    <row r="15" spans="1:4" x14ac:dyDescent="0.25">
      <c r="A15" s="23">
        <v>1.5</v>
      </c>
      <c r="B15" s="23" t="s">
        <v>68</v>
      </c>
      <c r="C15" s="21">
        <v>1E-4</v>
      </c>
      <c r="D15" s="23" t="s">
        <v>19</v>
      </c>
    </row>
    <row r="16" spans="1:4" x14ac:dyDescent="0.25">
      <c r="A16" s="23">
        <v>2</v>
      </c>
      <c r="B16" s="23" t="s">
        <v>16</v>
      </c>
      <c r="C16" s="21">
        <v>0.75</v>
      </c>
      <c r="D16" s="23" t="s">
        <v>19</v>
      </c>
    </row>
    <row r="17" spans="1:8" x14ac:dyDescent="0.25">
      <c r="A17" s="23">
        <v>3</v>
      </c>
      <c r="B17" s="23" t="s">
        <v>17</v>
      </c>
      <c r="C17" s="21">
        <v>0.9375</v>
      </c>
      <c r="D17" s="23" t="s">
        <v>19</v>
      </c>
    </row>
    <row r="18" spans="1:8" x14ac:dyDescent="0.25">
      <c r="A18" s="23" t="s">
        <v>18</v>
      </c>
      <c r="B18" s="21"/>
      <c r="C18" s="21"/>
      <c r="D18" s="23"/>
    </row>
    <row r="20" spans="1:8" x14ac:dyDescent="0.25">
      <c r="A20" t="s">
        <v>79</v>
      </c>
    </row>
    <row r="21" spans="1:8" x14ac:dyDescent="0.25">
      <c r="A21" t="s">
        <v>80</v>
      </c>
      <c r="B21" s="2" t="s">
        <v>81</v>
      </c>
      <c r="C21" t="s">
        <v>82</v>
      </c>
      <c r="D21" t="s">
        <v>73</v>
      </c>
    </row>
    <row r="22" spans="1:8" x14ac:dyDescent="0.25">
      <c r="A22" s="2">
        <v>1</v>
      </c>
      <c r="B22" s="2">
        <v>2</v>
      </c>
      <c r="C22" s="2">
        <v>3</v>
      </c>
      <c r="D22" s="2">
        <v>4</v>
      </c>
      <c r="E22" s="2">
        <v>5</v>
      </c>
    </row>
    <row r="23" spans="1:8" x14ac:dyDescent="0.25">
      <c r="A23" s="23">
        <v>0.17929999999999999</v>
      </c>
      <c r="B23" s="24" t="str">
        <f>A33</f>
        <v>7GA</v>
      </c>
      <c r="C23" s="22" t="str">
        <f>"SHEET, "&amp;B23</f>
        <v>SHEET, 7GA</v>
      </c>
      <c r="D23" s="25" t="s">
        <v>83</v>
      </c>
      <c r="E23" s="23" t="s">
        <v>19</v>
      </c>
      <c r="H23" t="s">
        <v>84</v>
      </c>
    </row>
    <row r="24" spans="1:8" x14ac:dyDescent="0.25">
      <c r="A24" s="23">
        <v>0.13450000000000001</v>
      </c>
      <c r="B24" s="24" t="str">
        <f t="shared" ref="B24:B26" si="0">A34</f>
        <v>10GA</v>
      </c>
      <c r="C24" s="22" t="str">
        <f t="shared" ref="C24:C26" si="1">"SHEET, "&amp;B24</f>
        <v>SHEET, 10GA</v>
      </c>
      <c r="D24" s="25" t="s">
        <v>85</v>
      </c>
      <c r="E24" s="23" t="s">
        <v>19</v>
      </c>
      <c r="H24" s="23" t="str">
        <f>A33</f>
        <v>7GA</v>
      </c>
    </row>
    <row r="25" spans="1:8" x14ac:dyDescent="0.25">
      <c r="A25" s="23">
        <v>0.1046</v>
      </c>
      <c r="B25" s="24" t="str">
        <f t="shared" si="0"/>
        <v>12GA</v>
      </c>
      <c r="C25" s="22" t="str">
        <f t="shared" si="1"/>
        <v>SHEET, 12GA</v>
      </c>
      <c r="D25" s="25" t="s">
        <v>86</v>
      </c>
      <c r="E25" s="23" t="s">
        <v>19</v>
      </c>
      <c r="H25" s="23" t="str">
        <f>A35</f>
        <v>12GA</v>
      </c>
    </row>
    <row r="26" spans="1:8" x14ac:dyDescent="0.25">
      <c r="A26" s="23">
        <v>7.4700000000000003E-2</v>
      </c>
      <c r="B26" s="24" t="str">
        <f t="shared" si="0"/>
        <v>14GA</v>
      </c>
      <c r="C26" s="22" t="str">
        <f t="shared" si="1"/>
        <v>SHEET, 14GA</v>
      </c>
      <c r="D26" s="25" t="s">
        <v>87</v>
      </c>
      <c r="E26" s="23" t="s">
        <v>19</v>
      </c>
      <c r="H26" s="23">
        <v>0.25</v>
      </c>
    </row>
    <row r="27" spans="1:8" x14ac:dyDescent="0.25">
      <c r="A27" s="23" t="s">
        <v>78</v>
      </c>
      <c r="B27" s="23" t="s">
        <v>78</v>
      </c>
      <c r="C27" s="23" t="s">
        <v>78</v>
      </c>
      <c r="D27" s="23"/>
      <c r="E27" s="23" t="s">
        <v>78</v>
      </c>
      <c r="H27" s="23" t="s">
        <v>78</v>
      </c>
    </row>
    <row r="28" spans="1:8" x14ac:dyDescent="0.25">
      <c r="B28"/>
    </row>
    <row r="29" spans="1:8" x14ac:dyDescent="0.25">
      <c r="B29"/>
    </row>
    <row r="30" spans="1:8" x14ac:dyDescent="0.25">
      <c r="A30" t="s">
        <v>69</v>
      </c>
    </row>
    <row r="31" spans="1:8" x14ac:dyDescent="0.25">
      <c r="A31" t="s">
        <v>70</v>
      </c>
      <c r="B31" s="2" t="s">
        <v>71</v>
      </c>
      <c r="C31" t="s">
        <v>72</v>
      </c>
      <c r="D31" t="s">
        <v>73</v>
      </c>
    </row>
    <row r="32" spans="1:8" x14ac:dyDescent="0.25">
      <c r="A32" s="2">
        <v>1</v>
      </c>
      <c r="B32" s="2">
        <v>2</v>
      </c>
      <c r="C32" s="2">
        <v>3</v>
      </c>
      <c r="D32" s="2">
        <v>4</v>
      </c>
      <c r="E32" s="2">
        <v>5</v>
      </c>
    </row>
    <row r="33" spans="1:5" x14ac:dyDescent="0.25">
      <c r="A33" s="21" t="s">
        <v>74</v>
      </c>
      <c r="B33" s="22">
        <f>A23</f>
        <v>0.17929999999999999</v>
      </c>
      <c r="C33" s="22" t="str">
        <f>"SHEET, "&amp;A33</f>
        <v>SHEET, 7GA</v>
      </c>
      <c r="D33" s="22" t="str">
        <f>D23</f>
        <v>ST1000</v>
      </c>
      <c r="E33" s="23" t="s">
        <v>19</v>
      </c>
    </row>
    <row r="34" spans="1:5" x14ac:dyDescent="0.25">
      <c r="A34" s="21" t="s">
        <v>75</v>
      </c>
      <c r="B34" s="22">
        <f>A24</f>
        <v>0.13450000000000001</v>
      </c>
      <c r="C34" s="22" t="str">
        <f t="shared" ref="C34:C36" si="2">"SHEET, "&amp;A34</f>
        <v>SHEET, 10GA</v>
      </c>
      <c r="D34" s="22" t="str">
        <f t="shared" ref="D34:D36" si="3">D24</f>
        <v>ST1010</v>
      </c>
      <c r="E34" s="23" t="s">
        <v>19</v>
      </c>
    </row>
    <row r="35" spans="1:5" x14ac:dyDescent="0.25">
      <c r="A35" s="21" t="s">
        <v>76</v>
      </c>
      <c r="B35" s="22">
        <f>A25</f>
        <v>0.1046</v>
      </c>
      <c r="C35" s="22" t="str">
        <f t="shared" si="2"/>
        <v>SHEET, 12GA</v>
      </c>
      <c r="D35" s="22" t="str">
        <f t="shared" si="3"/>
        <v>ST1020</v>
      </c>
      <c r="E35" s="23" t="s">
        <v>19</v>
      </c>
    </row>
    <row r="36" spans="1:5" x14ac:dyDescent="0.25">
      <c r="A36" s="21" t="s">
        <v>77</v>
      </c>
      <c r="B36" s="22">
        <f>A26</f>
        <v>7.4700000000000003E-2</v>
      </c>
      <c r="C36" s="22" t="str">
        <f t="shared" si="2"/>
        <v>SHEET, 14GA</v>
      </c>
      <c r="D36" s="22" t="str">
        <f t="shared" si="3"/>
        <v>ST1014</v>
      </c>
      <c r="E36" s="23" t="s">
        <v>19</v>
      </c>
    </row>
    <row r="37" spans="1:5" x14ac:dyDescent="0.25">
      <c r="A37" s="23" t="s">
        <v>78</v>
      </c>
      <c r="B37" s="23" t="s">
        <v>78</v>
      </c>
      <c r="C37" s="23" t="s">
        <v>78</v>
      </c>
      <c r="D37" s="23"/>
      <c r="E37" s="23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Data</vt:lpstr>
      <vt:lpstr>Col_CL_to_CL</vt:lpstr>
      <vt:lpstr>Cooler_Type</vt:lpstr>
      <vt:lpstr>Cooler_Type_List</vt:lpstr>
      <vt:lpstr>Cooler_Type_Table</vt:lpstr>
      <vt:lpstr>Family</vt:lpstr>
      <vt:lpstr>Filler_Thickness_List</vt:lpstr>
      <vt:lpstr>Guage_List</vt:lpstr>
      <vt:lpstr>Guage_Table</vt:lpstr>
      <vt:lpstr>Header_Type_Table</vt:lpstr>
      <vt:lpstr>SF_Length</vt:lpstr>
      <vt:lpstr>Sheet_List</vt:lpstr>
      <vt:lpstr>Sheet_Table</vt:lpstr>
      <vt:lpstr>TP_Thickness</vt:lpstr>
      <vt:lpstr>Tube_Length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2014-07-13T05:52:58Z</dcterms:created>
  <dcterms:modified xsi:type="dcterms:W3CDTF">2023-11-02T20:57:12Z</dcterms:modified>
</cp:coreProperties>
</file>