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xr:revisionPtr revIDLastSave="0" documentId="8_{A88711ED-2219-44DC-A76A-33DFD490D2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Data" sheetId="2" state="hidden" r:id="rId2"/>
  </sheets>
  <definedNames>
    <definedName name="Col_CL_to_CL">Sheet1!$D$5</definedName>
    <definedName name="Cooler_Type">Sheet1!$B$5</definedName>
    <definedName name="Cooler_Type_List">Data!$A$4:$A$10</definedName>
    <definedName name="Cooler_Type_Table">Data!$A$4:$C$10</definedName>
    <definedName name="Family">Sheet1!$A$4</definedName>
    <definedName name="Filler_Thickness_List">Data!$H$25:$H$28</definedName>
    <definedName name="Guage_List">Data!$A$34:$A$38</definedName>
    <definedName name="Guage_Table">Data!$A$34:$E$38</definedName>
    <definedName name="Header_Type_Table">Data!$A$15:$D$19</definedName>
    <definedName name="SF_Length">Sheet1!$L$5</definedName>
    <definedName name="Sheet_List">Data!$A$24:$A$28</definedName>
    <definedName name="Sheet_Table">Data!$A$24:$E$28</definedName>
    <definedName name="TP_Thickness">Sheet1!$P$5</definedName>
    <definedName name="Tube_Length">Sheet1!$M$5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2" l="1"/>
  <c r="C37" i="2"/>
  <c r="B37" i="2"/>
  <c r="D36" i="2"/>
  <c r="C36" i="2"/>
  <c r="B36" i="2"/>
  <c r="D35" i="2"/>
  <c r="C35" i="2"/>
  <c r="B35" i="2"/>
  <c r="D34" i="2"/>
  <c r="C34" i="2"/>
  <c r="B34" i="2"/>
  <c r="B27" i="2"/>
  <c r="C27" i="2" s="1"/>
  <c r="H26" i="2"/>
  <c r="C26" i="2"/>
  <c r="B26" i="2"/>
  <c r="H25" i="2"/>
  <c r="C25" i="2"/>
  <c r="B25" i="2"/>
  <c r="C24" i="2"/>
  <c r="B24" i="2"/>
  <c r="B9" i="2"/>
  <c r="B7" i="2"/>
  <c r="C27" i="1"/>
  <c r="F25" i="1"/>
  <c r="E25" i="1"/>
  <c r="F24" i="1"/>
  <c r="E24" i="1"/>
  <c r="C23" i="1"/>
  <c r="BL14" i="1"/>
  <c r="AV14" i="1"/>
  <c r="AR14" i="1"/>
  <c r="AF14" i="1"/>
  <c r="AC14" i="1"/>
  <c r="G14" i="1"/>
  <c r="F14" i="1"/>
  <c r="E14" i="1"/>
  <c r="D14" i="1"/>
  <c r="A14" i="1"/>
  <c r="AV13" i="1"/>
  <c r="AG13" i="1"/>
  <c r="AC13" i="1"/>
  <c r="A13" i="1"/>
  <c r="AV12" i="1"/>
  <c r="AG12" i="1"/>
  <c r="AE12" i="1"/>
  <c r="AD12" i="1"/>
  <c r="G12" i="1"/>
  <c r="A12" i="1"/>
  <c r="AV11" i="1"/>
  <c r="AF11" i="1"/>
  <c r="AD11" i="1"/>
  <c r="AC11" i="1"/>
  <c r="A11" i="1"/>
  <c r="AV10" i="1"/>
  <c r="AK10" i="1"/>
  <c r="AF10" i="1"/>
  <c r="R10" i="1"/>
  <c r="Q10" i="1"/>
  <c r="O10" i="1"/>
  <c r="N10" i="1"/>
  <c r="M10" i="1"/>
  <c r="L10" i="1"/>
  <c r="K10" i="1"/>
  <c r="J10" i="1"/>
  <c r="I10" i="1"/>
  <c r="H10" i="1"/>
  <c r="G10" i="1"/>
  <c r="F10" i="1"/>
  <c r="E10" i="1"/>
  <c r="D10" i="1"/>
  <c r="B10" i="1"/>
  <c r="A10" i="1"/>
  <c r="AG9" i="1"/>
  <c r="AG14" i="1" s="1"/>
  <c r="AF9" i="1"/>
  <c r="AE9" i="1"/>
  <c r="AE14" i="1" s="1"/>
  <c r="AD9" i="1"/>
  <c r="AD14" i="1" s="1"/>
  <c r="AC9" i="1"/>
  <c r="AB9" i="1"/>
  <c r="AB14" i="1" s="1"/>
  <c r="AA9" i="1"/>
  <c r="AO9" i="1" s="1"/>
  <c r="AO14" i="1" s="1"/>
  <c r="H9" i="1"/>
  <c r="H14" i="1" s="1"/>
  <c r="D9" i="1"/>
  <c r="C9" i="1"/>
  <c r="AL9" i="1" s="1"/>
  <c r="B9" i="1"/>
  <c r="AG8" i="1"/>
  <c r="AF8" i="1"/>
  <c r="AF13" i="1" s="1"/>
  <c r="AE8" i="1"/>
  <c r="AE13" i="1" s="1"/>
  <c r="AD8" i="1"/>
  <c r="AD13" i="1" s="1"/>
  <c r="AC8" i="1"/>
  <c r="I8" i="1"/>
  <c r="I13" i="1" s="1"/>
  <c r="H8" i="1"/>
  <c r="AK8" i="1" s="1"/>
  <c r="AK13" i="1" s="1"/>
  <c r="G8" i="1"/>
  <c r="G13" i="1" s="1"/>
  <c r="D8" i="1"/>
  <c r="D13" i="1" s="1"/>
  <c r="B8" i="1"/>
  <c r="B13" i="1" s="1"/>
  <c r="BL7" i="1"/>
  <c r="BL8" i="1" s="1"/>
  <c r="BL13" i="1" s="1"/>
  <c r="AG7" i="1"/>
  <c r="AF7" i="1"/>
  <c r="AF12" i="1" s="1"/>
  <c r="AE7" i="1"/>
  <c r="AD7" i="1"/>
  <c r="AC7" i="1"/>
  <c r="AC12" i="1" s="1"/>
  <c r="R7" i="1"/>
  <c r="R12" i="1" s="1"/>
  <c r="Q7" i="1"/>
  <c r="Q12" i="1" s="1"/>
  <c r="O7" i="1"/>
  <c r="O12" i="1" s="1"/>
  <c r="N7" i="1"/>
  <c r="N12" i="1" s="1"/>
  <c r="M7" i="1"/>
  <c r="M12" i="1" s="1"/>
  <c r="L7" i="1"/>
  <c r="L12" i="1" s="1"/>
  <c r="K7" i="1"/>
  <c r="K12" i="1" s="1"/>
  <c r="J7" i="1"/>
  <c r="J12" i="1" s="1"/>
  <c r="I7" i="1"/>
  <c r="I12" i="1" s="1"/>
  <c r="H7" i="1"/>
  <c r="H12" i="1" s="1"/>
  <c r="F7" i="1"/>
  <c r="AB7" i="1" s="1"/>
  <c r="AB12" i="1" s="1"/>
  <c r="E7" i="1"/>
  <c r="E12" i="1" s="1"/>
  <c r="D7" i="1"/>
  <c r="D12" i="1" s="1"/>
  <c r="B7" i="1"/>
  <c r="B12" i="1" s="1"/>
  <c r="BM6" i="1"/>
  <c r="BM11" i="1" s="1"/>
  <c r="BL6" i="1"/>
  <c r="BL11" i="1" s="1"/>
  <c r="AK6" i="1"/>
  <c r="AK11" i="1" s="1"/>
  <c r="AG6" i="1"/>
  <c r="AG11" i="1" s="1"/>
  <c r="AF6" i="1"/>
  <c r="AE6" i="1"/>
  <c r="AE11" i="1" s="1"/>
  <c r="AD6" i="1"/>
  <c r="AC6" i="1"/>
  <c r="R6" i="1"/>
  <c r="R8" i="1" s="1"/>
  <c r="R13" i="1" s="1"/>
  <c r="Q6" i="1"/>
  <c r="Q8" i="1" s="1"/>
  <c r="Q13" i="1" s="1"/>
  <c r="O6" i="1"/>
  <c r="O9" i="1" s="1"/>
  <c r="O14" i="1" s="1"/>
  <c r="N6" i="1"/>
  <c r="N9" i="1" s="1"/>
  <c r="N14" i="1" s="1"/>
  <c r="M6" i="1"/>
  <c r="M11" i="1" s="1"/>
  <c r="L6" i="1"/>
  <c r="L11" i="1" s="1"/>
  <c r="K6" i="1"/>
  <c r="K11" i="1" s="1"/>
  <c r="J6" i="1"/>
  <c r="I6" i="1"/>
  <c r="I11" i="1" s="1"/>
  <c r="H6" i="1"/>
  <c r="H11" i="1" s="1"/>
  <c r="G6" i="1"/>
  <c r="G11" i="1" s="1"/>
  <c r="F6" i="1"/>
  <c r="F26" i="1" s="1"/>
  <c r="E6" i="1"/>
  <c r="E26" i="1" s="1"/>
  <c r="D6" i="1"/>
  <c r="D11" i="1" s="1"/>
  <c r="B6" i="1"/>
  <c r="B11" i="1" s="1"/>
  <c r="BM5" i="1"/>
  <c r="BM10" i="1" s="1"/>
  <c r="BL5" i="1"/>
  <c r="BL10" i="1" s="1"/>
  <c r="BB5" i="1"/>
  <c r="BB7" i="1" s="1"/>
  <c r="BB12" i="1" s="1"/>
  <c r="BA5" i="1"/>
  <c r="BA10" i="1" s="1"/>
  <c r="AJ5" i="1"/>
  <c r="AJ7" i="1" s="1"/>
  <c r="AJ12" i="1" s="1"/>
  <c r="AI5" i="1"/>
  <c r="AI10" i="1" s="1"/>
  <c r="AH5" i="1"/>
  <c r="AH6" i="1" s="1"/>
  <c r="AH8" i="1" s="1"/>
  <c r="AH13" i="1" s="1"/>
  <c r="AG5" i="1"/>
  <c r="AG10" i="1" s="1"/>
  <c r="AF5" i="1"/>
  <c r="AE5" i="1"/>
  <c r="AE10" i="1" s="1"/>
  <c r="AD5" i="1"/>
  <c r="AD10" i="1" s="1"/>
  <c r="AC5" i="1"/>
  <c r="AC10" i="1" s="1"/>
  <c r="AB5" i="1"/>
  <c r="AB10" i="1" s="1"/>
  <c r="AA5" i="1"/>
  <c r="BI5" i="1" s="1"/>
  <c r="Y5" i="1"/>
  <c r="Y7" i="1" s="1"/>
  <c r="Y12" i="1" s="1"/>
  <c r="V5" i="1"/>
  <c r="V10" i="1" s="1"/>
  <c r="S5" i="1"/>
  <c r="S6" i="1" s="1"/>
  <c r="P5" i="1"/>
  <c r="P10" i="1" s="1"/>
  <c r="C5" i="1"/>
  <c r="AL5" i="1" s="1"/>
  <c r="C2" i="1"/>
  <c r="A2" i="1"/>
  <c r="B2" i="1" s="1" a="1"/>
  <c r="B2" i="1" s="1"/>
  <c r="AN5" i="1" l="1"/>
  <c r="AP5" i="1" s="1"/>
  <c r="Y6" i="1"/>
  <c r="C7" i="1"/>
  <c r="AJ10" i="1"/>
  <c r="H13" i="1"/>
  <c r="R9" i="1"/>
  <c r="R14" i="1" s="1"/>
  <c r="AJ6" i="1"/>
  <c r="AJ11" i="1" s="1"/>
  <c r="AK7" i="1"/>
  <c r="AK12" i="1" s="1"/>
  <c r="AI6" i="1"/>
  <c r="AI11" i="1" s="1"/>
  <c r="Q11" i="1"/>
  <c r="Q9" i="1"/>
  <c r="Q14" i="1" s="1"/>
  <c r="E8" i="1"/>
  <c r="E13" i="1" s="1"/>
  <c r="E11" i="1"/>
  <c r="U5" i="1"/>
  <c r="U6" i="1" s="1"/>
  <c r="U8" i="1" s="1"/>
  <c r="U13" i="1" s="1"/>
  <c r="X5" i="1"/>
  <c r="X6" i="1" s="1"/>
  <c r="V6" i="1"/>
  <c r="AI8" i="1"/>
  <c r="AI13" i="1" s="1"/>
  <c r="N11" i="1"/>
  <c r="P7" i="1"/>
  <c r="P12" i="1" s="1"/>
  <c r="N8" i="1"/>
  <c r="N13" i="1" s="1"/>
  <c r="M9" i="1"/>
  <c r="M14" i="1" s="1"/>
  <c r="BD5" i="1"/>
  <c r="BC5" i="1"/>
  <c r="BC7" i="1" s="1"/>
  <c r="BC12" i="1" s="1"/>
  <c r="BA6" i="1"/>
  <c r="BA11" i="1" s="1"/>
  <c r="BA7" i="1"/>
  <c r="BA12" i="1" s="1"/>
  <c r="F12" i="1"/>
  <c r="AB6" i="1"/>
  <c r="AB11" i="1" s="1"/>
  <c r="AP10" i="1"/>
  <c r="AR5" i="1"/>
  <c r="AR10" i="1" s="1"/>
  <c r="AT9" i="1"/>
  <c r="AT14" i="1" s="1"/>
  <c r="AL14" i="1"/>
  <c r="AS9" i="1"/>
  <c r="AS14" i="1" s="1"/>
  <c r="BK5" i="1"/>
  <c r="BI10" i="1"/>
  <c r="BI6" i="1"/>
  <c r="C12" i="1"/>
  <c r="AL7" i="1"/>
  <c r="BJ5" i="1"/>
  <c r="J8" i="1"/>
  <c r="J13" i="1" s="1"/>
  <c r="J11" i="1"/>
  <c r="J9" i="1"/>
  <c r="J14" i="1" s="1"/>
  <c r="BI7" i="1"/>
  <c r="BI12" i="1" s="1"/>
  <c r="AI15" i="1"/>
  <c r="AT5" i="1"/>
  <c r="AT10" i="1" s="1"/>
  <c r="AS5" i="1"/>
  <c r="AS10" i="1" s="1"/>
  <c r="AL10" i="1"/>
  <c r="AN7" i="1"/>
  <c r="AM5" i="1"/>
  <c r="AN6" i="1"/>
  <c r="AQ5" i="1"/>
  <c r="AQ10" i="1" s="1"/>
  <c r="AY5" i="1"/>
  <c r="AY10" i="1" s="1"/>
  <c r="AN10" i="1"/>
  <c r="S8" i="1"/>
  <c r="S13" i="1" s="1"/>
  <c r="S11" i="1"/>
  <c r="S9" i="1"/>
  <c r="S14" i="1" s="1"/>
  <c r="AH11" i="1"/>
  <c r="AH9" i="1"/>
  <c r="AH14" i="1" s="1"/>
  <c r="U11" i="1"/>
  <c r="V11" i="1"/>
  <c r="V9" i="1"/>
  <c r="V14" i="1" s="1"/>
  <c r="V8" i="1"/>
  <c r="V13" i="1" s="1"/>
  <c r="B14" i="1"/>
  <c r="K8" i="1"/>
  <c r="K13" i="1" s="1"/>
  <c r="AJ8" i="1"/>
  <c r="AJ13" i="1" s="1"/>
  <c r="Y10" i="1"/>
  <c r="B8" i="2"/>
  <c r="O11" i="1"/>
  <c r="D17" i="1"/>
  <c r="D15" i="1" s="1"/>
  <c r="BB6" i="1"/>
  <c r="S7" i="1"/>
  <c r="S12" i="1" s="1"/>
  <c r="L8" i="1"/>
  <c r="L13" i="1" s="1"/>
  <c r="AA10" i="1"/>
  <c r="BB10" i="1"/>
  <c r="BL12" i="1"/>
  <c r="AA14" i="1"/>
  <c r="C24" i="1"/>
  <c r="T5" i="1"/>
  <c r="AA6" i="1"/>
  <c r="BM7" i="1"/>
  <c r="M8" i="1"/>
  <c r="M13" i="1" s="1"/>
  <c r="Y8" i="1"/>
  <c r="Y13" i="1" s="1"/>
  <c r="I9" i="1"/>
  <c r="I14" i="1" s="1"/>
  <c r="C10" i="1"/>
  <c r="F11" i="1"/>
  <c r="R11" i="1"/>
  <c r="C14" i="1"/>
  <c r="P6" i="1"/>
  <c r="V7" i="1"/>
  <c r="V12" i="1" s="1"/>
  <c r="AI7" i="1"/>
  <c r="AI12" i="1" s="1"/>
  <c r="O8" i="1"/>
  <c r="O13" i="1" s="1"/>
  <c r="K9" i="1"/>
  <c r="K14" i="1" s="1"/>
  <c r="AJ9" i="1"/>
  <c r="AJ14" i="1" s="1"/>
  <c r="C25" i="1"/>
  <c r="C6" i="1"/>
  <c r="W5" i="1"/>
  <c r="L9" i="1"/>
  <c r="L14" i="1" s="1"/>
  <c r="AK9" i="1"/>
  <c r="AK14" i="1" s="1"/>
  <c r="AH7" i="1"/>
  <c r="AH12" i="1" s="1"/>
  <c r="S10" i="1"/>
  <c r="F8" i="1"/>
  <c r="AA7" i="1"/>
  <c r="U10" i="1"/>
  <c r="AH10" i="1"/>
  <c r="AU5" i="1"/>
  <c r="AO5" i="1"/>
  <c r="AO10" i="1" s="1"/>
  <c r="Y11" i="1" l="1"/>
  <c r="Y9" i="1"/>
  <c r="Y14" i="1" s="1"/>
  <c r="AI9" i="1"/>
  <c r="AI14" i="1" s="1"/>
  <c r="BC10" i="1"/>
  <c r="U9" i="1"/>
  <c r="U14" i="1" s="1"/>
  <c r="U7" i="1"/>
  <c r="U12" i="1" s="1"/>
  <c r="X7" i="1"/>
  <c r="X12" i="1" s="1"/>
  <c r="X10" i="1"/>
  <c r="BA9" i="1"/>
  <c r="BA14" i="1" s="1"/>
  <c r="BA8" i="1"/>
  <c r="BA13" i="1" s="1"/>
  <c r="BC6" i="1"/>
  <c r="BC9" i="1" s="1"/>
  <c r="BC14" i="1" s="1"/>
  <c r="BD7" i="1"/>
  <c r="BD12" i="1" s="1"/>
  <c r="BD6" i="1"/>
  <c r="BD10" i="1"/>
  <c r="AL12" i="1"/>
  <c r="AT7" i="1"/>
  <c r="AT12" i="1" s="1"/>
  <c r="AS7" i="1"/>
  <c r="AS12" i="1" s="1"/>
  <c r="BJ10" i="1"/>
  <c r="BJ6" i="1"/>
  <c r="BJ7" i="1"/>
  <c r="BJ12" i="1" s="1"/>
  <c r="AA11" i="1"/>
  <c r="AO6" i="1"/>
  <c r="AO11" i="1" s="1"/>
  <c r="AN12" i="1"/>
  <c r="AY7" i="1"/>
  <c r="AY12" i="1" s="1"/>
  <c r="AP7" i="1"/>
  <c r="AQ7" i="1"/>
  <c r="AQ12" i="1" s="1"/>
  <c r="BI9" i="1"/>
  <c r="BI14" i="1" s="1"/>
  <c r="BI8" i="1"/>
  <c r="BI13" i="1" s="1"/>
  <c r="BI11" i="1"/>
  <c r="F13" i="1"/>
  <c r="AA8" i="1"/>
  <c r="AB8" i="1"/>
  <c r="AB13" i="1" s="1"/>
  <c r="BK10" i="1"/>
  <c r="BK6" i="1"/>
  <c r="BK7" i="1"/>
  <c r="BK12" i="1" s="1"/>
  <c r="AM7" i="1"/>
  <c r="AM12" i="1" s="1"/>
  <c r="AM6" i="1"/>
  <c r="AM10" i="1"/>
  <c r="P9" i="1"/>
  <c r="P14" i="1" s="1"/>
  <c r="P8" i="1"/>
  <c r="P13" i="1" s="1"/>
  <c r="P11" i="1"/>
  <c r="W7" i="1"/>
  <c r="W12" i="1" s="1"/>
  <c r="W6" i="1"/>
  <c r="W10" i="1"/>
  <c r="BB9" i="1"/>
  <c r="BB14" i="1" s="1"/>
  <c r="BB8" i="1"/>
  <c r="BB13" i="1" s="1"/>
  <c r="BB11" i="1"/>
  <c r="AY6" i="1"/>
  <c r="AY11" i="1" s="1"/>
  <c r="AN9" i="1"/>
  <c r="AQ6" i="1"/>
  <c r="AQ11" i="1" s="1"/>
  <c r="AP6" i="1"/>
  <c r="AN8" i="1"/>
  <c r="AN11" i="1"/>
  <c r="T6" i="1"/>
  <c r="T10" i="1"/>
  <c r="T7" i="1"/>
  <c r="T12" i="1" s="1"/>
  <c r="C26" i="1"/>
  <c r="C8" i="1"/>
  <c r="C11" i="1"/>
  <c r="AL6" i="1"/>
  <c r="AA12" i="1"/>
  <c r="AO7" i="1"/>
  <c r="AO12" i="1" s="1"/>
  <c r="AU10" i="1"/>
  <c r="AU7" i="1"/>
  <c r="AU12" i="1" s="1"/>
  <c r="AU6" i="1"/>
  <c r="X11" i="1"/>
  <c r="X9" i="1"/>
  <c r="X14" i="1" s="1"/>
  <c r="X8" i="1"/>
  <c r="X13" i="1" s="1"/>
  <c r="BM8" i="1"/>
  <c r="BM12" i="1"/>
  <c r="BC11" i="1" l="1"/>
  <c r="BC8" i="1"/>
  <c r="BC13" i="1" s="1"/>
  <c r="BD9" i="1"/>
  <c r="BD14" i="1" s="1"/>
  <c r="BD8" i="1"/>
  <c r="BD13" i="1" s="1"/>
  <c r="BD11" i="1"/>
  <c r="BM9" i="1"/>
  <c r="BM14" i="1" s="1"/>
  <c r="BM13" i="1"/>
  <c r="AQ9" i="1"/>
  <c r="AQ14" i="1" s="1"/>
  <c r="AY9" i="1"/>
  <c r="AY14" i="1" s="1"/>
  <c r="AN14" i="1"/>
  <c r="AP9" i="1"/>
  <c r="AP14" i="1" s="1"/>
  <c r="AM8" i="1"/>
  <c r="AM13" i="1" s="1"/>
  <c r="AM9" i="1"/>
  <c r="AM14" i="1" s="1"/>
  <c r="AM11" i="1"/>
  <c r="BK8" i="1"/>
  <c r="BK13" i="1" s="1"/>
  <c r="BK11" i="1"/>
  <c r="BK9" i="1"/>
  <c r="BK14" i="1" s="1"/>
  <c r="AO8" i="1"/>
  <c r="AO13" i="1" s="1"/>
  <c r="AA13" i="1"/>
  <c r="BJ9" i="1"/>
  <c r="BJ14" i="1" s="1"/>
  <c r="BJ8" i="1"/>
  <c r="BJ13" i="1" s="1"/>
  <c r="BJ11" i="1"/>
  <c r="AL11" i="1"/>
  <c r="AT6" i="1"/>
  <c r="AT11" i="1" s="1"/>
  <c r="AS6" i="1"/>
  <c r="AS11" i="1" s="1"/>
  <c r="AR7" i="1"/>
  <c r="AR12" i="1" s="1"/>
  <c r="AP12" i="1"/>
  <c r="C13" i="1"/>
  <c r="AL8" i="1"/>
  <c r="AU11" i="1"/>
  <c r="AU8" i="1"/>
  <c r="AU9" i="1"/>
  <c r="W11" i="1"/>
  <c r="W9" i="1"/>
  <c r="W14" i="1" s="1"/>
  <c r="W8" i="1"/>
  <c r="W13" i="1" s="1"/>
  <c r="T8" i="1"/>
  <c r="T13" i="1" s="1"/>
  <c r="T11" i="1"/>
  <c r="T9" i="1"/>
  <c r="T14" i="1" s="1"/>
  <c r="AQ8" i="1"/>
  <c r="AQ13" i="1" s="1"/>
  <c r="AP8" i="1"/>
  <c r="AN13" i="1"/>
  <c r="AY8" i="1"/>
  <c r="AY13" i="1" s="1"/>
  <c r="AR6" i="1"/>
  <c r="AR11" i="1" s="1"/>
  <c r="AP11" i="1"/>
  <c r="AR8" i="1" l="1"/>
  <c r="AR13" i="1" s="1"/>
  <c r="AP13" i="1"/>
  <c r="AS8" i="1"/>
  <c r="AS13" i="1" s="1"/>
  <c r="AL13" i="1"/>
  <c r="AT8" i="1"/>
  <c r="AT13" i="1" s="1"/>
  <c r="AU14" i="1"/>
  <c r="AU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<sst xmlns="http://schemas.openxmlformats.org/spreadsheetml/2006/main" count="208" uniqueCount="156">
  <si>
    <t>On/Off@Bolt On Filler Option</t>
  </si>
  <si>
    <t>$STATE@Bolt on Option</t>
  </si>
  <si>
    <t>Leg Dim</t>
  </si>
  <si>
    <t>Bolt On Option On/Off?</t>
  </si>
  <si>
    <t>Bolt On Filler Ref</t>
  </si>
  <si>
    <t>$User_Notes</t>
  </si>
  <si>
    <t>Cooler Type</t>
  </si>
  <si>
    <t>EH</t>
  </si>
  <si>
    <t>H</t>
  </si>
  <si>
    <t>VI or VV</t>
  </si>
  <si>
    <t>F</t>
  </si>
  <si>
    <t>Z</t>
  </si>
  <si>
    <t>(Side Frame Length - Tube Length - 9)/2</t>
  </si>
  <si>
    <t>Plate</t>
  </si>
  <si>
    <t>Tube</t>
  </si>
  <si>
    <t>SQ Pipe</t>
  </si>
  <si>
    <t>End Of List</t>
  </si>
  <si>
    <t>End of Row</t>
  </si>
  <si>
    <t>Header_Type_Table</t>
  </si>
  <si>
    <t>Cooler_Type_Table</t>
  </si>
  <si>
    <t>Ref dim</t>
  </si>
  <si>
    <t>Header type</t>
  </si>
  <si>
    <t>Offset from Bottom of HDR</t>
  </si>
  <si>
    <t>Option@Header Type</t>
  </si>
  <si>
    <t>Header Type</t>
  </si>
  <si>
    <t>Tube Length@Ref Dims</t>
  </si>
  <si>
    <t>SF Length@Ref Dims</t>
  </si>
  <si>
    <t>Side Frame Length Ref</t>
  </si>
  <si>
    <t>Tube Length Ref</t>
  </si>
  <si>
    <t>Leg@Sketch1</t>
  </si>
  <si>
    <t>&lt;- section number</t>
  </si>
  <si>
    <t>Material</t>
  </si>
  <si>
    <t>AXC materials:SA-36</t>
  </si>
  <si>
    <t>Part No</t>
  </si>
  <si>
    <t>$PRP@PartNo</t>
  </si>
  <si>
    <t>Type@HDR Support Ref</t>
  </si>
  <si>
    <t>$STATE@Header Support Channel Cope</t>
  </si>
  <si>
    <t>$STATE@Header Support Angle Cope</t>
  </si>
  <si>
    <t>Header Support Channel Cope</t>
  </si>
  <si>
    <t>Header Support Angle Cope</t>
  </si>
  <si>
    <t>Front</t>
  </si>
  <si>
    <t>Rear</t>
  </si>
  <si>
    <r>
      <rPr>
        <u/>
        <sz val="11"/>
        <color theme="1"/>
        <rFont val="Calibri"/>
        <family val="2"/>
        <scheme val="minor"/>
      </rPr>
      <t>Reminder:</t>
    </r>
    <r>
      <rPr>
        <sz val="11"/>
        <color theme="1"/>
        <rFont val="Calibri"/>
        <family val="2"/>
        <scheme val="minor"/>
      </rPr>
      <t xml:space="preserve">
May have to open &amp; close the Weldment properties to get flat lengths to update correctly</t>
    </r>
  </si>
  <si>
    <t>Header Support Type</t>
  </si>
  <si>
    <t>$STATE@Header Support Angle Trim</t>
  </si>
  <si>
    <t>$STATE@Cut-Extrude3</t>
  </si>
  <si>
    <t>$STATE@Header Support Channel Trim</t>
  </si>
  <si>
    <t>$STATE@Cut-Extrude2</t>
  </si>
  <si>
    <t>$STATE@Bolt Hole</t>
  </si>
  <si>
    <t>$STATE@Bolt Hole Sketch</t>
  </si>
  <si>
    <t>$STATE@Bolt Hole Sketch-Pattern</t>
  </si>
  <si>
    <t>SectionNo</t>
  </si>
  <si>
    <t>$PRP@SectionNo</t>
  </si>
  <si>
    <t>$PRP@JobNumber</t>
  </si>
  <si>
    <t>Job Number</t>
  </si>
  <si>
    <t>Section Shift amount</t>
  </si>
  <si>
    <t>Section Shift@Ref Dims</t>
  </si>
  <si>
    <t>OverLap@Sketch1</t>
  </si>
  <si>
    <t>Hammco</t>
  </si>
  <si>
    <t>Side Frame Notch</t>
  </si>
  <si>
    <t>Offset@Sketch1</t>
  </si>
  <si>
    <t>Bottom Lip Length</t>
  </si>
  <si>
    <t>Hammco Trim to Length</t>
  </si>
  <si>
    <t>$STATE@Side Frame Notch</t>
  </si>
  <si>
    <t>$STATE@Z-Flange</t>
  </si>
  <si>
    <r>
      <rPr>
        <b/>
        <sz val="11"/>
        <color theme="1"/>
        <rFont val="Calibri"/>
        <family val="2"/>
        <scheme val="minor"/>
      </rPr>
      <t xml:space="preserve"> --- Z Shape ---</t>
    </r>
    <r>
      <rPr>
        <sz val="11"/>
        <color theme="1"/>
        <rFont val="Calibri"/>
        <family val="2"/>
        <scheme val="minor"/>
      </rPr>
      <t xml:space="preserve">
(Zero for no Z shape)
</t>
    </r>
    <r>
      <rPr>
        <i/>
        <sz val="11"/>
        <color theme="1"/>
        <rFont val="Calibri"/>
        <family val="2"/>
        <scheme val="minor"/>
      </rPr>
      <t>Lip Length against header</t>
    </r>
  </si>
  <si>
    <t>Top Rear</t>
  </si>
  <si>
    <t>Top Front</t>
  </si>
  <si>
    <t>LipLength@Z-Flange Sketch</t>
  </si>
  <si>
    <r>
      <t xml:space="preserve">OverLap
</t>
    </r>
    <r>
      <rPr>
        <i/>
        <sz val="11"/>
        <color theme="1"/>
        <rFont val="Calibri"/>
        <family val="2"/>
        <scheme val="minor"/>
      </rPr>
      <t>(above bottom of header)</t>
    </r>
  </si>
  <si>
    <t>Z Lip On/Off?</t>
  </si>
  <si>
    <t>Z Lip length</t>
  </si>
  <si>
    <t>$STATE@Z-Flange Tab (Hammco)</t>
  </si>
  <si>
    <t>$STATE@Header Support Bottom (hammco)</t>
  </si>
  <si>
    <t>$STATE@Header Support Top (hammco)</t>
  </si>
  <si>
    <t>Z Lip Tab (Hammco) On/Off?</t>
  </si>
  <si>
    <t>Z Lip Tab Layout (Hammco) On/Off?</t>
  </si>
  <si>
    <r>
      <rPr>
        <b/>
        <sz val="11"/>
        <color theme="1"/>
        <rFont val="Calibri"/>
        <family val="2"/>
        <scheme val="minor"/>
      </rPr>
      <t xml:space="preserve">Lip Length
</t>
    </r>
    <r>
      <rPr>
        <i/>
        <sz val="11"/>
        <color theme="1"/>
        <rFont val="Calibri"/>
        <family val="2"/>
        <scheme val="minor"/>
      </rPr>
      <t>(From Header Calc Sheet)</t>
    </r>
    <r>
      <rPr>
        <sz val="11"/>
        <color theme="1"/>
        <rFont val="Calibri"/>
        <family val="2"/>
        <scheme val="minor"/>
      </rPr>
      <t xml:space="preserve">
(w/o section shift)
</t>
    </r>
    <r>
      <rPr>
        <i/>
        <sz val="11"/>
        <color theme="1"/>
        <rFont val="Calibri"/>
        <family val="2"/>
        <scheme val="minor"/>
      </rPr>
      <t>Lip Length opposite Header</t>
    </r>
  </si>
  <si>
    <t>$State@Coincident3@Sketch17</t>
  </si>
  <si>
    <t>$State@Coincident29@Sketch17</t>
  </si>
  <si>
    <t>Top header support?
(Hammco)</t>
  </si>
  <si>
    <t>$STATE@Hammco Bolt Holes and Notch</t>
  </si>
  <si>
    <t>D2@Sketch16</t>
  </si>
  <si>
    <t>Mid</t>
  </si>
  <si>
    <t>S</t>
  </si>
  <si>
    <t>Thickness@Sketch1</t>
  </si>
  <si>
    <t>Guage Thickness</t>
  </si>
  <si>
    <t>Are Front &amp; Rear Different Heights?</t>
  </si>
  <si>
    <t>---</t>
  </si>
  <si>
    <t>Guage_Table</t>
  </si>
  <si>
    <t>End of List</t>
  </si>
  <si>
    <t>Sheet_Table</t>
  </si>
  <si>
    <t>Sheet_List</t>
  </si>
  <si>
    <t>Guage_List</t>
  </si>
  <si>
    <t>7GA</t>
  </si>
  <si>
    <t>10GA</t>
  </si>
  <si>
    <t>12GA</t>
  </si>
  <si>
    <t>14GA</t>
  </si>
  <si>
    <t>Thickness</t>
  </si>
  <si>
    <t>Filler_Thickness_List</t>
  </si>
  <si>
    <t>FILLER PANEL, MID</t>
  </si>
  <si>
    <t>$PRP@Description</t>
  </si>
  <si>
    <t>Description</t>
  </si>
  <si>
    <t>Material Description
(for Flat Pattern drawing)</t>
  </si>
  <si>
    <t>decription property</t>
  </si>
  <si>
    <t>actual thickness</t>
  </si>
  <si>
    <t>$Prp@FLAT_DESCRIPTION</t>
  </si>
  <si>
    <t>$Prp@RM</t>
  </si>
  <si>
    <t>RM number</t>
  </si>
  <si>
    <t>ST1014</t>
  </si>
  <si>
    <t>ST1010</t>
  </si>
  <si>
    <t>ST1020</t>
  </si>
  <si>
    <t>ST1000</t>
  </si>
  <si>
    <t>RM #</t>
  </si>
  <si>
    <t>Guage</t>
  </si>
  <si>
    <t>Description propety</t>
  </si>
  <si>
    <t>$Parent</t>
  </si>
  <si>
    <t>Parent</t>
  </si>
  <si>
    <t>No</t>
  </si>
  <si>
    <t>$State@Coincident21@Sketch1</t>
  </si>
  <si>
    <t>$State@Coincident20@Sketch1</t>
  </si>
  <si>
    <t>Sketch Relations</t>
  </si>
  <si>
    <t>$LIBRARY:MATERIAL@000000_S03-Filler</t>
  </si>
  <si>
    <t>Design Table for: 000000_S03-Filler</t>
  </si>
  <si>
    <t>Front TPSheet thk@Ref Dims</t>
  </si>
  <si>
    <t>Rear TPSheet thk@Ref Dims</t>
  </si>
  <si>
    <t>TP Thickness (front HDR)</t>
  </si>
  <si>
    <t>TP Thickness (Rear HDR)</t>
  </si>
  <si>
    <t>TP Thickness (largest)</t>
  </si>
  <si>
    <t>Column CL to Column CL (Z Cooler)</t>
  </si>
  <si>
    <t>(((Tube_Length-(Tube &amp; Plug Thickness*2)-0.375)-Col_CL_to_CL)/2)+1</t>
  </si>
  <si>
    <t>AXC Bolt on features were here
were requested to not cut these holes in the filler
so shop can just match drill them instead</t>
  </si>
  <si>
    <t>Shop to match drill these holes
so keep suppressed</t>
  </si>
  <si>
    <t>$State@Coincident7@Sketch1</t>
  </si>
  <si>
    <t>$State@Coincident8@Sketch1</t>
  </si>
  <si>
    <t>$State@Coincident23@Sketch1</t>
  </si>
  <si>
    <t>Sketch Relations (Mid Filler)</t>
  </si>
  <si>
    <t>Sketch Relations (Top Front Filler)</t>
  </si>
  <si>
    <t>Sketch Relations (Top Rear Filler)</t>
  </si>
  <si>
    <t>Sketch Relations (Front Filler)</t>
  </si>
  <si>
    <t>Sketch Relations (Rear Filler)</t>
  </si>
  <si>
    <t>Air filler height incontext</t>
  </si>
  <si>
    <t>attempt at having a lip instead of using the notch method</t>
  </si>
  <si>
    <t>&lt;- Max Col 2 Col value</t>
  </si>
  <si>
    <t>&lt;- Min Lip without error in solidworks</t>
  </si>
  <si>
    <t>Notch</t>
  </si>
  <si>
    <t>&lt;- Min Lip for manufacturing</t>
  </si>
  <si>
    <t>Section Number</t>
  </si>
  <si>
    <t>$PRP@SectionNumber</t>
  </si>
  <si>
    <t>Values for Hammco</t>
  </si>
  <si>
    <t>$STATE@Z-Flange Cope</t>
  </si>
  <si>
    <t>Z Lip Cope to inside of Side Frame</t>
  </si>
  <si>
    <t>Used On</t>
  </si>
  <si>
    <t>$PRP@USED ON</t>
  </si>
  <si>
    <t>Type</t>
  </si>
  <si>
    <t>$PRP@TYPE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</si>
</sst>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textRotation="90" wrapText="1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49" fontId="0" fillId="7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5" fillId="9" borderId="0" xfId="0" applyNumberFormat="1" applyFont="1" applyFill="1"/>
    <xf numFmtId="0" fontId="5" fillId="9" borderId="0" xfId="0" applyFont="1" applyFill="1"/>
    <xf numFmtId="0" fontId="0" fillId="6" borderId="0" xfId="0" quotePrefix="1" applyFill="1" applyAlignment="1">
      <alignment horizontal="center"/>
    </xf>
    <xf numFmtId="0" fontId="6" fillId="7" borderId="0" xfId="0" applyFont="1" applyFill="1" applyAlignment="1">
      <alignment horizontal="center"/>
    </xf>
    <xf numFmtId="0" fontId="0" fillId="4" borderId="0" xfId="0" applyFill="1"/>
    <xf numFmtId="0" fontId="0" fillId="6" borderId="0" xfId="0" applyFill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9" fontId="0" fillId="0" borderId="0" xfId="0" applyNumberFormat="1" applyAlignment="1">
      <alignment horizontal="center" textRotation="90" wrapText="1"/>
    </xf>
    <xf numFmtId="0" fontId="0" fillId="9" borderId="1" xfId="0" applyFill="1" applyBorder="1"/>
    <xf numFmtId="0" fontId="0" fillId="2" borderId="0" xfId="0" applyFill="1"/>
    <xf numFmtId="43" fontId="6" fillId="0" borderId="0" xfId="1" applyFont="1" applyFill="1" applyAlignment="1">
      <alignment wrapText="1"/>
    </xf>
    <xf numFmtId="0" fontId="5" fillId="0" borderId="0" xfId="0" applyFont="1"/>
    <xf numFmtId="49" fontId="0" fillId="0" borderId="2" xfId="0" applyNumberFormat="1" applyBorder="1" applyAlignment="1">
      <alignment horizontal="center" textRotation="90"/>
    </xf>
    <xf numFmtId="49" fontId="0" fillId="0" borderId="3" xfId="0" applyNumberFormat="1" applyBorder="1" applyAlignment="1">
      <alignment horizontal="center" textRotation="90"/>
    </xf>
    <xf numFmtId="0" fontId="0" fillId="2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9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43" fontId="6" fillId="0" borderId="0" xfId="1" applyFont="1" applyFill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horizontal="center" vertical="top" wrapText="1"/>
    </xf>
  </cellXfs>
  <cellStyles count="2">
    <cellStyle name="Comma" xfId="1" builtinId="3"/>
    <cellStyle name="Normal" xfId="0" builtinId="0"/>
  </cellStyles>
  <dxfs count="26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3499862666707357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34998626667073579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 patternType="none">
          <fgColor auto="1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34"/>
  <sheetViews>
    <sheetView tabSelected="1" zoomScaleNormal="100" workbookViewId="0"/>
  </sheetViews>
  <sheetFormatPr defaultRowHeight="15" outlineLevelRow="1" x14ac:dyDescent="0.25"/>
  <cols>
    <col min="1" max="1" width="17.42578125" style="1" bestFit="1" customWidth="1"/>
    <col min="2" max="2" width="8.140625" bestFit="1" customWidth="1"/>
    <col min="3" max="3" width="10.42578125" bestFit="1" customWidth="1"/>
    <col min="4" max="4" width="10" customWidth="1"/>
    <col min="5" max="5" width="12.28515625" bestFit="1" customWidth="1"/>
    <col min="6" max="8" width="9.42578125" customWidth="1"/>
    <col min="9" max="9" width="19.140625" bestFit="1" customWidth="1"/>
    <col min="10" max="10" width="7.42578125" customWidth="1"/>
    <col min="11" max="11" width="10" customWidth="1"/>
    <col min="12" max="12" width="7" bestFit="1" customWidth="1"/>
    <col min="13" max="13" width="4" style="1" bestFit="1" customWidth="1"/>
    <col min="14" max="14" width="3.7109375" style="1" customWidth="1"/>
    <col min="15" max="15" width="7" style="1" bestFit="1" customWidth="1"/>
    <col min="16" max="16" width="3.7109375" style="1" customWidth="1"/>
    <col min="17" max="17" width="3.140625" customWidth="1"/>
    <col min="18" max="24" width="3.140625" style="1" customWidth="1"/>
    <col min="25" max="25" width="3.7109375" style="1" customWidth="1"/>
    <col min="26" max="26" width="15.140625" style="1" bestFit="1" customWidth="1"/>
    <col min="27" max="27" width="3.7109375" customWidth="1"/>
    <col min="28" max="28" width="3.140625" bestFit="1" customWidth="1"/>
    <col min="29" max="33" width="3.7109375" style="1" customWidth="1"/>
    <col min="34" max="34" width="7" customWidth="1"/>
    <col min="35" max="35" width="12" bestFit="1" customWidth="1"/>
    <col min="36" max="37" width="3.7109375" customWidth="1"/>
    <col min="38" max="38" width="7.85546875" customWidth="1"/>
    <col min="39" max="39" width="6.140625" bestFit="1" customWidth="1"/>
    <col min="40" max="40" width="6.140625" customWidth="1"/>
    <col min="41" max="41" width="3.7109375" style="1" customWidth="1"/>
    <col min="43" max="43" width="9.140625" style="2"/>
    <col min="44" max="44" width="24" bestFit="1" customWidth="1"/>
    <col min="45" max="45" width="13.140625" bestFit="1" customWidth="1"/>
    <col min="46" max="46" width="13.140625" customWidth="1"/>
    <col min="48" max="48" width="8.7109375" bestFit="1" customWidth="1"/>
    <col min="53" max="56" width="3.7109375" style="1" bestFit="1" customWidth="1"/>
    <col min="61" max="65" width="3.7109375" style="1" customWidth="1"/>
  </cols>
  <sheetData>
    <row r="1" spans="1:161" s="21" customFormat="1" ht="15" customHeight="1" x14ac:dyDescent="0.25">
      <c r="A1" s="20" t="s">
        <v>123</v>
      </c>
      <c r="M1" s="20"/>
      <c r="N1" s="20"/>
      <c r="O1" s="20"/>
      <c r="P1" s="20"/>
      <c r="R1" s="20"/>
      <c r="S1" s="20"/>
      <c r="T1" s="20"/>
      <c r="U1" s="20"/>
      <c r="V1" s="20"/>
      <c r="W1" s="20"/>
      <c r="X1" s="20"/>
      <c r="Y1" s="20"/>
      <c r="Z1" s="20"/>
      <c r="AC1" s="20"/>
      <c r="AD1" s="20"/>
      <c r="AE1" s="20"/>
      <c r="AF1" s="20"/>
      <c r="AG1" s="20"/>
      <c r="AO1" s="20"/>
      <c r="AQ1" s="45"/>
      <c r="AZ1" s="33"/>
      <c r="BA1" s="47" t="s">
        <v>132</v>
      </c>
      <c r="BB1" s="47"/>
      <c r="BC1" s="47"/>
      <c r="BD1" s="47"/>
      <c r="BE1" s="47"/>
      <c r="BF1" s="47"/>
      <c r="BG1" s="34"/>
      <c r="BI1" s="47" t="s">
        <v>142</v>
      </c>
      <c r="BJ1" s="47"/>
      <c r="BK1" s="47"/>
      <c r="BL1" s="47"/>
      <c r="BM1" s="47"/>
      <c r="BN1" s="47"/>
    </row>
    <row r="2" spans="1:161" ht="18.75" x14ac:dyDescent="0.3">
      <c r="A2" s="11" t="str">
        <f>UPPER(RIGHT($I$4,LEN($I$4)-FIND("@",$I$4,1)))</f>
        <v>000000_S03-FILLER</v>
      </c>
      <c r="B2" t="str" cm="1">
        <f t="array" ref="B2">IF(ISNUMBER(LEFT($A$2,1)+0), "", LEFT($A$2,MIN(FIND({0,1,2,3,4,5,6,7,8,9},A2&amp;"0123456789"))-1))</f>
        <v/>
      </c>
      <c r="C2" s="8">
        <f>MID($A$2,FIND("_",$A$2,1)+2,2)+0</f>
        <v>3</v>
      </c>
      <c r="D2" s="9" t="s">
        <v>30</v>
      </c>
      <c r="F2" s="9"/>
      <c r="G2" s="9"/>
      <c r="H2" s="9"/>
      <c r="M2"/>
      <c r="N2"/>
      <c r="O2"/>
      <c r="P2"/>
      <c r="Q2" s="1"/>
      <c r="W2" s="10"/>
      <c r="X2" s="10"/>
      <c r="Y2" s="9"/>
      <c r="Z2" s="9"/>
      <c r="AA2" s="10"/>
      <c r="AB2" s="10"/>
      <c r="AC2" s="48" t="s">
        <v>141</v>
      </c>
      <c r="AD2" s="49"/>
      <c r="AE2" s="49"/>
      <c r="AF2" s="49"/>
      <c r="AG2" s="50"/>
      <c r="AO2" s="10"/>
      <c r="AZ2" s="33"/>
      <c r="BA2" s="47"/>
      <c r="BB2" s="47"/>
      <c r="BC2" s="47"/>
      <c r="BD2" s="47"/>
      <c r="BE2" s="47"/>
      <c r="BF2" s="47"/>
      <c r="BI2" s="47"/>
      <c r="BJ2" s="47"/>
      <c r="BK2" s="47"/>
      <c r="BL2" s="47"/>
      <c r="BM2" s="47"/>
      <c r="BN2" s="47"/>
      <c r="BY2" s="1"/>
      <c r="BZ2" s="1"/>
      <c r="CA2" s="1"/>
      <c r="CB2" s="1"/>
      <c r="CC2" s="1"/>
      <c r="CD2" s="1"/>
      <c r="CF2" s="1"/>
      <c r="CG2" s="1"/>
      <c r="CJ2" s="1"/>
      <c r="CK2" s="1"/>
      <c r="DA2" s="1"/>
      <c r="EC2" s="1"/>
      <c r="FC2" s="1"/>
      <c r="FD2" s="1"/>
      <c r="FE2" s="1"/>
    </row>
    <row r="3" spans="1:161" s="4" customFormat="1" ht="172.5" x14ac:dyDescent="0.25">
      <c r="A3" s="3"/>
      <c r="B3" s="4" t="s">
        <v>6</v>
      </c>
      <c r="C3" s="4" t="s">
        <v>98</v>
      </c>
      <c r="D3" s="4" t="s">
        <v>129</v>
      </c>
      <c r="E3" s="7" t="s">
        <v>77</v>
      </c>
      <c r="F3" s="7" t="s">
        <v>65</v>
      </c>
      <c r="G3" s="7" t="s">
        <v>87</v>
      </c>
      <c r="H3" s="7" t="s">
        <v>80</v>
      </c>
      <c r="I3" s="7" t="s">
        <v>31</v>
      </c>
      <c r="J3" s="4" t="s">
        <v>24</v>
      </c>
      <c r="K3" s="4" t="s">
        <v>4</v>
      </c>
      <c r="L3" s="4" t="s">
        <v>27</v>
      </c>
      <c r="M3" s="4" t="s">
        <v>28</v>
      </c>
      <c r="N3" s="4" t="s">
        <v>126</v>
      </c>
      <c r="O3" s="4" t="s">
        <v>127</v>
      </c>
      <c r="P3" s="4" t="s">
        <v>128</v>
      </c>
      <c r="Q3" s="4" t="s">
        <v>55</v>
      </c>
      <c r="R3" s="4" t="s">
        <v>43</v>
      </c>
      <c r="S3" s="3" t="s">
        <v>39</v>
      </c>
      <c r="T3" s="3" t="s">
        <v>39</v>
      </c>
      <c r="U3" s="3" t="s">
        <v>39</v>
      </c>
      <c r="V3" s="3" t="s">
        <v>38</v>
      </c>
      <c r="W3" s="3" t="s">
        <v>38</v>
      </c>
      <c r="X3" s="3" t="s">
        <v>38</v>
      </c>
      <c r="Y3" s="3" t="s">
        <v>59</v>
      </c>
      <c r="Z3" s="30" t="s">
        <v>131</v>
      </c>
      <c r="AA3" s="3" t="s">
        <v>70</v>
      </c>
      <c r="AB3" s="3" t="s">
        <v>151</v>
      </c>
      <c r="AC3" s="35" t="s">
        <v>139</v>
      </c>
      <c r="AD3" s="3" t="s">
        <v>140</v>
      </c>
      <c r="AE3" s="3" t="s">
        <v>137</v>
      </c>
      <c r="AF3" s="3" t="s">
        <v>138</v>
      </c>
      <c r="AG3" s="36" t="s">
        <v>136</v>
      </c>
      <c r="AH3" s="7" t="s">
        <v>69</v>
      </c>
      <c r="AI3" s="4" t="s">
        <v>61</v>
      </c>
      <c r="AJ3" s="4" t="s">
        <v>62</v>
      </c>
      <c r="AK3" s="4" t="s">
        <v>145</v>
      </c>
      <c r="AL3" s="4" t="s">
        <v>86</v>
      </c>
      <c r="AM3" s="7" t="s">
        <v>51</v>
      </c>
      <c r="AN3" s="7" t="s">
        <v>147</v>
      </c>
      <c r="AO3" s="3" t="s">
        <v>71</v>
      </c>
      <c r="AP3" s="3" t="s">
        <v>33</v>
      </c>
      <c r="AQ3" s="3" t="s">
        <v>154</v>
      </c>
      <c r="AR3" s="3" t="s">
        <v>102</v>
      </c>
      <c r="AS3" s="30" t="s">
        <v>103</v>
      </c>
      <c r="AT3" s="30" t="s">
        <v>108</v>
      </c>
      <c r="AU3" s="4" t="s">
        <v>54</v>
      </c>
      <c r="AV3" s="4" t="s">
        <v>117</v>
      </c>
      <c r="AY3" s="3" t="s">
        <v>152</v>
      </c>
      <c r="BA3" s="3" t="s">
        <v>3</v>
      </c>
      <c r="BB3" s="3" t="s">
        <v>3</v>
      </c>
      <c r="BC3" s="3" t="s">
        <v>3</v>
      </c>
      <c r="BD3" s="3" t="s">
        <v>3</v>
      </c>
      <c r="BI3" s="3" t="s">
        <v>75</v>
      </c>
      <c r="BJ3" s="3" t="s">
        <v>76</v>
      </c>
      <c r="BK3" s="3" t="s">
        <v>76</v>
      </c>
      <c r="BL3" s="3" t="s">
        <v>121</v>
      </c>
      <c r="BM3" s="3" t="s">
        <v>121</v>
      </c>
    </row>
    <row r="4" spans="1:161" s="4" customFormat="1" ht="212.25" hidden="1" outlineLevel="1" x14ac:dyDescent="0.25">
      <c r="A4" s="3"/>
      <c r="B4" s="4" t="s">
        <v>5</v>
      </c>
      <c r="C4" s="4" t="s">
        <v>5</v>
      </c>
      <c r="D4" s="4" t="s">
        <v>5</v>
      </c>
      <c r="E4" s="4" t="s">
        <v>5</v>
      </c>
      <c r="F4" s="4" t="s">
        <v>60</v>
      </c>
      <c r="G4" s="4" t="s">
        <v>5</v>
      </c>
      <c r="H4" s="4" t="s">
        <v>5</v>
      </c>
      <c r="I4" s="4" t="s">
        <v>122</v>
      </c>
      <c r="J4" s="4" t="s">
        <v>23</v>
      </c>
      <c r="K4" s="4" t="s">
        <v>0</v>
      </c>
      <c r="L4" s="4" t="s">
        <v>26</v>
      </c>
      <c r="M4" s="4" t="s">
        <v>25</v>
      </c>
      <c r="N4" s="4" t="s">
        <v>124</v>
      </c>
      <c r="O4" s="4" t="s">
        <v>125</v>
      </c>
      <c r="P4" s="4" t="s">
        <v>5</v>
      </c>
      <c r="Q4" s="4" t="s">
        <v>56</v>
      </c>
      <c r="R4" s="4" t="s">
        <v>35</v>
      </c>
      <c r="S4" s="3" t="s">
        <v>37</v>
      </c>
      <c r="T4" s="3" t="s">
        <v>44</v>
      </c>
      <c r="U4" s="3" t="s">
        <v>45</v>
      </c>
      <c r="V4" s="3" t="s">
        <v>36</v>
      </c>
      <c r="W4" s="3" t="s">
        <v>46</v>
      </c>
      <c r="X4" s="3" t="s">
        <v>47</v>
      </c>
      <c r="Y4" s="3" t="s">
        <v>63</v>
      </c>
      <c r="Z4" s="4" t="s">
        <v>5</v>
      </c>
      <c r="AA4" s="3" t="s">
        <v>64</v>
      </c>
      <c r="AB4" s="3" t="s">
        <v>150</v>
      </c>
      <c r="AC4" s="35" t="s">
        <v>133</v>
      </c>
      <c r="AD4" s="3" t="s">
        <v>134</v>
      </c>
      <c r="AE4" s="3" t="s">
        <v>120</v>
      </c>
      <c r="AF4" s="3" t="s">
        <v>119</v>
      </c>
      <c r="AG4" s="36" t="s">
        <v>135</v>
      </c>
      <c r="AH4" s="4" t="s">
        <v>57</v>
      </c>
      <c r="AI4" s="4" t="s">
        <v>29</v>
      </c>
      <c r="AJ4" s="4" t="s">
        <v>81</v>
      </c>
      <c r="AK4" s="4" t="s">
        <v>82</v>
      </c>
      <c r="AL4" s="4" t="s">
        <v>85</v>
      </c>
      <c r="AM4" s="4" t="s">
        <v>52</v>
      </c>
      <c r="AN4" s="4" t="s">
        <v>148</v>
      </c>
      <c r="AO4" s="3" t="s">
        <v>68</v>
      </c>
      <c r="AP4" s="4" t="s">
        <v>34</v>
      </c>
      <c r="AQ4" s="4" t="s">
        <v>155</v>
      </c>
      <c r="AR4" s="4" t="s">
        <v>101</v>
      </c>
      <c r="AS4" s="4" t="s">
        <v>106</v>
      </c>
      <c r="AT4" s="4" t="s">
        <v>107</v>
      </c>
      <c r="AU4" s="4" t="s">
        <v>53</v>
      </c>
      <c r="AV4" s="4" t="s">
        <v>116</v>
      </c>
      <c r="AY4" s="4" t="s">
        <v>153</v>
      </c>
      <c r="BA4" s="3" t="s">
        <v>1</v>
      </c>
      <c r="BB4" s="3" t="s">
        <v>48</v>
      </c>
      <c r="BC4" s="3" t="s">
        <v>49</v>
      </c>
      <c r="BD4" s="3" t="s">
        <v>50</v>
      </c>
      <c r="BI4" s="4" t="s">
        <v>72</v>
      </c>
      <c r="BJ4" s="3" t="s">
        <v>74</v>
      </c>
      <c r="BK4" s="3" t="s">
        <v>73</v>
      </c>
      <c r="BL4" s="3" t="s">
        <v>78</v>
      </c>
      <c r="BM4" s="3" t="s">
        <v>79</v>
      </c>
    </row>
    <row r="5" spans="1:161" s="2" customFormat="1" collapsed="1" x14ac:dyDescent="0.25">
      <c r="A5" s="1" t="s">
        <v>40</v>
      </c>
      <c r="B5" s="16" t="s">
        <v>7</v>
      </c>
      <c r="C5" s="18" t="str">
        <f>IF(Cooler_Type="Hammco","7GA","12GA")</f>
        <v>12GA</v>
      </c>
      <c r="D5" s="16">
        <v>284.25</v>
      </c>
      <c r="E5" s="16">
        <v>3</v>
      </c>
      <c r="F5" s="17">
        <v>0</v>
      </c>
      <c r="G5" s="17" t="s">
        <v>118</v>
      </c>
      <c r="H5" s="17" t="s">
        <v>118</v>
      </c>
      <c r="I5" s="16" t="s">
        <v>32</v>
      </c>
      <c r="J5" s="6">
        <v>1</v>
      </c>
      <c r="K5" s="6">
        <v>0.99999999999999922</v>
      </c>
      <c r="L5" s="6">
        <v>777.625</v>
      </c>
      <c r="M5" s="6">
        <v>780.00000000000034</v>
      </c>
      <c r="N5" s="6">
        <v>1</v>
      </c>
      <c r="O5" s="6">
        <v>1</v>
      </c>
      <c r="P5" s="5">
        <f>MROUND(IF(N5&gt;O5,N5,O5),0.0625)</f>
        <v>1</v>
      </c>
      <c r="Q5" s="6">
        <v>0</v>
      </c>
      <c r="R5" s="6">
        <v>9.9999999881800067E-6</v>
      </c>
      <c r="S5" s="5" t="str">
        <f>IF(AND(ROUND($R$5,6)&lt;&gt;0.00001,ROUND($R$5,6)=1,Cooler_Type&lt;&gt;"Hammco"),"U","S")</f>
        <v>S</v>
      </c>
      <c r="T5" s="12" t="str">
        <f>$S$5</f>
        <v>S</v>
      </c>
      <c r="U5" s="12" t="str">
        <f>$S$5</f>
        <v>S</v>
      </c>
      <c r="V5" s="5" t="str">
        <f>IF(AND(ROUND($R$5,6)&lt;&gt;0.00001,ROUND($R$5,6)=2,Cooler_Type&lt;&gt;"Hammco"),"U","S")</f>
        <v>S</v>
      </c>
      <c r="W5" s="12" t="str">
        <f>$V$5</f>
        <v>S</v>
      </c>
      <c r="X5" s="12" t="str">
        <f>$V$5</f>
        <v>S</v>
      </c>
      <c r="Y5" s="5" t="str">
        <f>IF(Cooler_Type="Hammco","S","U")</f>
        <v>U</v>
      </c>
      <c r="Z5" s="5"/>
      <c r="AA5" s="5" t="str">
        <f>IF(INT(F5)&lt;&gt;0,"U","S")</f>
        <v>S</v>
      </c>
      <c r="AB5" s="5" t="str">
        <f>IF(AND(Cooler_Type&lt;&gt;"Hammco",INT(F5)&gt;0),"U","S")</f>
        <v>S</v>
      </c>
      <c r="AC5" s="37" t="str">
        <f>"U"</f>
        <v>U</v>
      </c>
      <c r="AD5" s="14" t="str">
        <f>"S"</f>
        <v>S</v>
      </c>
      <c r="AE5" s="14" t="str">
        <f>"S"</f>
        <v>S</v>
      </c>
      <c r="AF5" s="14" t="str">
        <f>"S"</f>
        <v>S</v>
      </c>
      <c r="AG5" s="38" t="str">
        <f>"S"</f>
        <v>S</v>
      </c>
      <c r="AH5" s="5">
        <f>IF(Cooler_Type="Hammco",0.0001,VLOOKUP(ROUND(J5,6),Header_Type_Table,3,FALSE))</f>
        <v>1E-4</v>
      </c>
      <c r="AI5" s="5">
        <f>IF(Cooler_Type&lt;&gt;"Hammco",VLOOKUP(B5,Cooler_Type_Table,2,FALSE)+MROUND(Q5,0.0625),E5)</f>
        <v>1.5</v>
      </c>
      <c r="AJ5" s="5" t="str">
        <f>IF(Cooler_Type="Hammco","U","S")</f>
        <v>S</v>
      </c>
      <c r="AK5" s="2">
        <v>2</v>
      </c>
      <c r="AL5" s="5">
        <f>IFERROR(VLOOKUP(C5,Guage_Table,2,FALSE),C5)</f>
        <v>0.1046</v>
      </c>
      <c r="AM5" s="5" t="str">
        <f>CONCATENATE(".",AN5)</f>
        <v>.3</v>
      </c>
      <c r="AN5" s="5" t="str">
        <f>CONCATENATE($B$2,$C$2)</f>
        <v>3</v>
      </c>
      <c r="AO5" s="5">
        <f>IF(AA5="U",F5,1)</f>
        <v>1</v>
      </c>
      <c r="AP5" s="24" t="str">
        <f>CONCATENATE(AN5,"-FIL"&amp;IF(OR(E5&lt;&gt;E6,F5&lt;&gt;F6,G5="Yes"),"-F",""))</f>
        <v>3-FIL</v>
      </c>
      <c r="AQ5" s="46" t="str">
        <f>CONCATENATE($AN5,"-SEC")</f>
        <v>3-SEC</v>
      </c>
      <c r="AR5" s="24" t="str">
        <f>IF(ISNUMBER(FIND("-",AP5,FIND("-",AP5,1)+1)),"FILLER PANEL, FRONT","FILLER PANEL")</f>
        <v>FILLER PANEL</v>
      </c>
      <c r="AS5" s="24" t="str">
        <f>IFERROR(VLOOKUP(AL5,Sheet_Table,3,FALSE),"PLATE,"&amp;TEXT(AL5,"#??/??"))</f>
        <v>SHEET, 12GA</v>
      </c>
      <c r="AT5" s="24" t="str">
        <f>IFERROR(VLOOKUP(AL5,Sheet_Table,4,FALSE),"ST1014")</f>
        <v>ST1020</v>
      </c>
      <c r="AU5" s="5" t="str">
        <f>LEFT($A$2,FIND("_",$A$2,1)-1)</f>
        <v>000000</v>
      </c>
      <c r="AV5"/>
      <c r="AY5" s="24" t="str">
        <f>CONCATENATE($AN5,"-SEC")</f>
        <v>3-SEC</v>
      </c>
      <c r="BA5" s="5" t="str">
        <f>IF(AND(ROUND(K5,6)=1,Cooler_Type&lt;&gt;"Hammco"),"U","S")</f>
        <v>U</v>
      </c>
      <c r="BB5" s="14" t="str">
        <f>$BA$5</f>
        <v>U</v>
      </c>
      <c r="BC5" s="14" t="str">
        <f>$BA$5</f>
        <v>U</v>
      </c>
      <c r="BD5" s="14" t="str">
        <f>$BA$5</f>
        <v>U</v>
      </c>
      <c r="BI5" s="5" t="str">
        <f>IF(AND(Cooler_Type="Hammco",AA5="U"),"U","S")</f>
        <v>S</v>
      </c>
      <c r="BJ5" s="14" t="str">
        <f>BI5</f>
        <v>S</v>
      </c>
      <c r="BK5" s="14" t="str">
        <f>BI5</f>
        <v>S</v>
      </c>
      <c r="BL5" s="14" t="str">
        <f>"S"</f>
        <v>S</v>
      </c>
      <c r="BM5" s="14" t="str">
        <f>"S"</f>
        <v>S</v>
      </c>
    </row>
    <row r="6" spans="1:161" x14ac:dyDescent="0.25">
      <c r="A6" s="1" t="s">
        <v>41</v>
      </c>
      <c r="B6" s="13" t="str">
        <f t="shared" ref="B6:AH9" si="0">B$5</f>
        <v>EH</v>
      </c>
      <c r="C6" s="13" t="str">
        <f t="shared" ref="C6:F7" si="1">C$5</f>
        <v>12GA</v>
      </c>
      <c r="D6" s="13">
        <f t="shared" si="0"/>
        <v>284.25</v>
      </c>
      <c r="E6" s="18">
        <f t="shared" si="1"/>
        <v>3</v>
      </c>
      <c r="F6" s="18">
        <f t="shared" si="1"/>
        <v>0</v>
      </c>
      <c r="G6" s="23" t="str">
        <f t="shared" si="0"/>
        <v>No</v>
      </c>
      <c r="H6" s="13" t="str">
        <f t="shared" si="0"/>
        <v>No</v>
      </c>
      <c r="I6" s="13" t="str">
        <f>I$5</f>
        <v>AXC materials:SA-36</v>
      </c>
      <c r="J6" s="13">
        <f t="shared" si="0"/>
        <v>1</v>
      </c>
      <c r="K6" s="13">
        <f t="shared" si="0"/>
        <v>0.99999999999999922</v>
      </c>
      <c r="L6" s="13">
        <f t="shared" si="0"/>
        <v>777.625</v>
      </c>
      <c r="M6" s="13">
        <f t="shared" si="0"/>
        <v>780.00000000000034</v>
      </c>
      <c r="N6" s="13">
        <f t="shared" si="0"/>
        <v>1</v>
      </c>
      <c r="O6" s="13">
        <f t="shared" si="0"/>
        <v>1</v>
      </c>
      <c r="P6" s="13">
        <f t="shared" si="0"/>
        <v>1</v>
      </c>
      <c r="Q6" s="15">
        <f>Q$5</f>
        <v>0</v>
      </c>
      <c r="R6" s="13">
        <f t="shared" si="0"/>
        <v>9.9999999881800067E-6</v>
      </c>
      <c r="S6" s="13" t="str">
        <f t="shared" si="0"/>
        <v>S</v>
      </c>
      <c r="T6" s="13" t="str">
        <f t="shared" si="0"/>
        <v>S</v>
      </c>
      <c r="U6" s="13" t="str">
        <f t="shared" si="0"/>
        <v>S</v>
      </c>
      <c r="V6" s="13" t="str">
        <f t="shared" si="0"/>
        <v>S</v>
      </c>
      <c r="W6" s="13" t="str">
        <f t="shared" si="0"/>
        <v>S</v>
      </c>
      <c r="X6" s="13" t="str">
        <f t="shared" si="0"/>
        <v>S</v>
      </c>
      <c r="Y6" s="13" t="str">
        <f t="shared" si="0"/>
        <v>U</v>
      </c>
      <c r="Z6" s="13"/>
      <c r="AA6" s="5" t="str">
        <f t="shared" ref="AA6:AA9" si="2">IF(INT(F6)&lt;&gt;0,"U","S")</f>
        <v>S</v>
      </c>
      <c r="AB6" s="5" t="str">
        <f>IF(AND(Cooler_Type&lt;&gt;"Hammco",INT(F6)&gt;0),"U","S")</f>
        <v>S</v>
      </c>
      <c r="AC6" s="39" t="str">
        <f>"S"</f>
        <v>S</v>
      </c>
      <c r="AD6" s="5" t="str">
        <f>"U"</f>
        <v>U</v>
      </c>
      <c r="AE6" s="14" t="str">
        <f>"S"</f>
        <v>S</v>
      </c>
      <c r="AF6" s="14" t="str">
        <f>"S"</f>
        <v>S</v>
      </c>
      <c r="AG6" s="38" t="str">
        <f>"S"</f>
        <v>S</v>
      </c>
      <c r="AH6" s="13">
        <f t="shared" si="0"/>
        <v>1E-4</v>
      </c>
      <c r="AI6" s="5">
        <f>IF(Cooler_Type&lt;&gt;"Hammco",VLOOKUP(B6,Cooler_Type_Table,2,FALSE)+MROUND(Q6,0.0625),E6)</f>
        <v>1.5</v>
      </c>
      <c r="AJ6" s="13" t="str">
        <f t="shared" ref="AJ6" si="3">AJ$5</f>
        <v>S</v>
      </c>
      <c r="AK6" s="13">
        <f>AK5</f>
        <v>2</v>
      </c>
      <c r="AL6" s="5">
        <f>IFERROR(VLOOKUP(C6,Guage_Table,2,FALSE),C6)</f>
        <v>0.1046</v>
      </c>
      <c r="AM6" s="13" t="str">
        <f t="shared" ref="AM6:AU6" si="4">AM$5</f>
        <v>.3</v>
      </c>
      <c r="AN6" s="13" t="str">
        <f t="shared" si="4"/>
        <v>3</v>
      </c>
      <c r="AO6" s="5">
        <f>IF(AA6="U",F6,1)</f>
        <v>1</v>
      </c>
      <c r="AP6" s="24" t="str">
        <f>CONCATENATE(AN6,"-FIL"&amp;IF(OR(E5&lt;&gt;E6,F5&lt;&gt;F6,G5="Yes"),"-R",""))</f>
        <v>3-FIL</v>
      </c>
      <c r="AQ6" s="46" t="str">
        <f t="shared" ref="AQ6:AQ9" si="5">CONCATENATE($AN6,"-SEC")</f>
        <v>3-SEC</v>
      </c>
      <c r="AR6" s="24" t="str">
        <f>IF(ISNUMBER(FIND("-",AP6,FIND("-",AP6,1)+1)),"FILLER PANEL, REAR","FILLER PANEL")</f>
        <v>FILLER PANEL</v>
      </c>
      <c r="AS6" s="24" t="str">
        <f>IFERROR(VLOOKUP(AL6,Sheet_Table,3,FALSE),"PLATE,"&amp;TEXT(AL6,"#??/??"))</f>
        <v>SHEET, 12GA</v>
      </c>
      <c r="AT6" s="24" t="str">
        <f>IFERROR(VLOOKUP(AL6,Sheet_Table,4,FALSE),"ST1014")</f>
        <v>ST1020</v>
      </c>
      <c r="AU6" s="13" t="str">
        <f t="shared" si="4"/>
        <v>000000</v>
      </c>
      <c r="AY6" s="24" t="str">
        <f t="shared" ref="AY6:AY9" si="6">CONCATENATE($AN6,"-SEC")</f>
        <v>3-SEC</v>
      </c>
      <c r="BA6" s="13" t="str">
        <f t="shared" ref="BA6:BD7" si="7">BA$5</f>
        <v>U</v>
      </c>
      <c r="BB6" s="13" t="str">
        <f t="shared" si="7"/>
        <v>U</v>
      </c>
      <c r="BC6" s="13" t="str">
        <f t="shared" si="7"/>
        <v>U</v>
      </c>
      <c r="BD6" s="13" t="str">
        <f t="shared" si="7"/>
        <v>U</v>
      </c>
      <c r="BI6" s="13" t="str">
        <f t="shared" ref="BI6:BK7" si="8">BI$5</f>
        <v>S</v>
      </c>
      <c r="BJ6" s="13" t="str">
        <f t="shared" si="8"/>
        <v>S</v>
      </c>
      <c r="BK6" s="13" t="str">
        <f t="shared" si="8"/>
        <v>S</v>
      </c>
      <c r="BL6" s="14" t="str">
        <f>"S"</f>
        <v>S</v>
      </c>
      <c r="BM6" s="14" t="str">
        <f>"S"</f>
        <v>S</v>
      </c>
    </row>
    <row r="7" spans="1:161" s="2" customFormat="1" ht="15.75" customHeight="1" x14ac:dyDescent="0.25">
      <c r="A7" s="1" t="s">
        <v>67</v>
      </c>
      <c r="B7" s="13" t="str">
        <f>B$5</f>
        <v>EH</v>
      </c>
      <c r="C7" s="13" t="str">
        <f t="shared" si="1"/>
        <v>12GA</v>
      </c>
      <c r="D7" s="13">
        <f>D$5</f>
        <v>284.25</v>
      </c>
      <c r="E7" s="5">
        <f t="shared" si="1"/>
        <v>3</v>
      </c>
      <c r="F7" s="19">
        <f t="shared" si="1"/>
        <v>0</v>
      </c>
      <c r="G7" s="17" t="s">
        <v>118</v>
      </c>
      <c r="H7" s="13" t="str">
        <f>H$5</f>
        <v>No</v>
      </c>
      <c r="I7" s="13" t="str">
        <f>I$5</f>
        <v>AXC materials:SA-36</v>
      </c>
      <c r="J7" s="13">
        <f t="shared" ref="J7:AU7" si="9">J$5</f>
        <v>1</v>
      </c>
      <c r="K7" s="13">
        <f t="shared" si="9"/>
        <v>0.99999999999999922</v>
      </c>
      <c r="L7" s="13">
        <f t="shared" si="9"/>
        <v>777.625</v>
      </c>
      <c r="M7" s="13">
        <f t="shared" si="9"/>
        <v>780.00000000000034</v>
      </c>
      <c r="N7" s="13">
        <f t="shared" si="9"/>
        <v>1</v>
      </c>
      <c r="O7" s="13">
        <f t="shared" si="9"/>
        <v>1</v>
      </c>
      <c r="P7" s="13">
        <f t="shared" si="9"/>
        <v>1</v>
      </c>
      <c r="Q7" s="13">
        <f t="shared" si="9"/>
        <v>0</v>
      </c>
      <c r="R7" s="13">
        <f t="shared" si="9"/>
        <v>9.9999999881800067E-6</v>
      </c>
      <c r="S7" s="13" t="str">
        <f t="shared" si="9"/>
        <v>S</v>
      </c>
      <c r="T7" s="13" t="str">
        <f t="shared" si="9"/>
        <v>S</v>
      </c>
      <c r="U7" s="13" t="str">
        <f t="shared" si="9"/>
        <v>S</v>
      </c>
      <c r="V7" s="13" t="str">
        <f t="shared" si="9"/>
        <v>S</v>
      </c>
      <c r="W7" s="13" t="str">
        <f t="shared" si="9"/>
        <v>S</v>
      </c>
      <c r="X7" s="13" t="str">
        <f t="shared" si="9"/>
        <v>S</v>
      </c>
      <c r="Y7" s="13" t="str">
        <f t="shared" si="9"/>
        <v>U</v>
      </c>
      <c r="Z7" s="13"/>
      <c r="AA7" s="5" t="str">
        <f t="shared" si="2"/>
        <v>S</v>
      </c>
      <c r="AB7" s="5" t="str">
        <f>IF(AND(Cooler_Type&lt;&gt;"Hammco",INT(F7)&gt;0),"U","S")</f>
        <v>S</v>
      </c>
      <c r="AC7" s="39" t="str">
        <f>"S"</f>
        <v>S</v>
      </c>
      <c r="AD7" s="14" t="str">
        <f>"S"</f>
        <v>S</v>
      </c>
      <c r="AE7" s="5" t="str">
        <f>"U"</f>
        <v>U</v>
      </c>
      <c r="AF7" s="14" t="str">
        <f>"S"</f>
        <v>S</v>
      </c>
      <c r="AG7" s="38" t="str">
        <f>"S"</f>
        <v>S</v>
      </c>
      <c r="AH7" s="13">
        <f t="shared" si="9"/>
        <v>1E-4</v>
      </c>
      <c r="AI7" s="5">
        <f>IF(Cooler_Type&lt;&gt;"Hammco",VLOOKUP(B7,Cooler_Type_Table,2,FALSE)+MROUND(Q7,0.0625),E7)</f>
        <v>1.5</v>
      </c>
      <c r="AJ7" s="13" t="str">
        <f t="shared" si="9"/>
        <v>S</v>
      </c>
      <c r="AK7" s="5">
        <f>IF(H7="Yes",0,2)</f>
        <v>2</v>
      </c>
      <c r="AL7" s="5">
        <f>IFERROR(VLOOKUP(C7,Guage_Table,2,FALSE),C7)</f>
        <v>0.1046</v>
      </c>
      <c r="AM7" s="13" t="str">
        <f t="shared" si="9"/>
        <v>.3</v>
      </c>
      <c r="AN7" s="13" t="str">
        <f t="shared" si="9"/>
        <v>3</v>
      </c>
      <c r="AO7" s="5">
        <f>IF(AA7="U",F7,1)</f>
        <v>1</v>
      </c>
      <c r="AP7" s="24" t="str">
        <f>CONCATENATE(AN7,"-FIL"&amp;IF(OR(E7&lt;&gt;E8,F7&lt;&gt;F8,G7="Yes"),"-FT","-T"))</f>
        <v>3-FIL-T</v>
      </c>
      <c r="AQ7" s="46" t="str">
        <f t="shared" si="5"/>
        <v>3-SEC</v>
      </c>
      <c r="AR7" s="24" t="str">
        <f>IF(ISNUMBER(FIND("FT",AP7,1)),"FILLER PANEL, FRONT TOP","FILLER PANEL, TOP")</f>
        <v>FILLER PANEL, TOP</v>
      </c>
      <c r="AS7" s="24" t="str">
        <f>IFERROR(VLOOKUP(AL7,Sheet_Table,3,FALSE),"PLATE,"&amp;TEXT(AL7,"#??/??"))</f>
        <v>SHEET, 12GA</v>
      </c>
      <c r="AT7" s="24" t="str">
        <f>IFERROR(VLOOKUP(AL7,Sheet_Table,4,FALSE),"ST1014")</f>
        <v>ST1020</v>
      </c>
      <c r="AU7" s="13" t="str">
        <f t="shared" si="9"/>
        <v>000000</v>
      </c>
      <c r="AV7"/>
      <c r="AY7" s="24" t="str">
        <f t="shared" si="6"/>
        <v>3-SEC</v>
      </c>
      <c r="BA7" s="13" t="str">
        <f t="shared" si="7"/>
        <v>U</v>
      </c>
      <c r="BB7" s="13" t="str">
        <f t="shared" si="7"/>
        <v>U</v>
      </c>
      <c r="BC7" s="13" t="str">
        <f t="shared" si="7"/>
        <v>U</v>
      </c>
      <c r="BD7" s="13" t="str">
        <f t="shared" si="7"/>
        <v>U</v>
      </c>
      <c r="BI7" s="13" t="str">
        <f t="shared" si="8"/>
        <v>S</v>
      </c>
      <c r="BJ7" s="13" t="str">
        <f t="shared" si="8"/>
        <v>S</v>
      </c>
      <c r="BK7" s="13" t="str">
        <f t="shared" si="8"/>
        <v>S</v>
      </c>
      <c r="BL7" s="5" t="str">
        <f>IF(H5="Yes","U","S")</f>
        <v>S</v>
      </c>
      <c r="BM7" s="5" t="str">
        <f>IF(BL7="U","S","U")</f>
        <v>U</v>
      </c>
    </row>
    <row r="8" spans="1:161" x14ac:dyDescent="0.25">
      <c r="A8" s="1" t="s">
        <v>66</v>
      </c>
      <c r="B8" s="13" t="str">
        <f t="shared" si="0"/>
        <v>EH</v>
      </c>
      <c r="C8" s="13" t="str">
        <f>C$6</f>
        <v>12GA</v>
      </c>
      <c r="D8" s="13">
        <f t="shared" si="0"/>
        <v>284.25</v>
      </c>
      <c r="E8" s="5">
        <f>E$6</f>
        <v>3</v>
      </c>
      <c r="F8" s="19">
        <f>F$6</f>
        <v>0</v>
      </c>
      <c r="G8" s="14" t="str">
        <f>G$7</f>
        <v>No</v>
      </c>
      <c r="H8" s="13" t="str">
        <f t="shared" si="0"/>
        <v>No</v>
      </c>
      <c r="I8" s="13" t="str">
        <f>I$6</f>
        <v>AXC materials:SA-36</v>
      </c>
      <c r="J8" s="13">
        <f t="shared" ref="J8:AU9" si="10">J$6</f>
        <v>1</v>
      </c>
      <c r="K8" s="13">
        <f t="shared" si="10"/>
        <v>0.99999999999999922</v>
      </c>
      <c r="L8" s="13">
        <f t="shared" si="10"/>
        <v>777.625</v>
      </c>
      <c r="M8" s="13">
        <f t="shared" si="10"/>
        <v>780.00000000000034</v>
      </c>
      <c r="N8" s="13">
        <f t="shared" si="10"/>
        <v>1</v>
      </c>
      <c r="O8" s="13">
        <f t="shared" si="10"/>
        <v>1</v>
      </c>
      <c r="P8" s="13">
        <f t="shared" si="10"/>
        <v>1</v>
      </c>
      <c r="Q8" s="13">
        <f t="shared" si="10"/>
        <v>0</v>
      </c>
      <c r="R8" s="13">
        <f t="shared" si="10"/>
        <v>9.9999999881800067E-6</v>
      </c>
      <c r="S8" s="13" t="str">
        <f t="shared" si="10"/>
        <v>S</v>
      </c>
      <c r="T8" s="13" t="str">
        <f t="shared" si="10"/>
        <v>S</v>
      </c>
      <c r="U8" s="13" t="str">
        <f t="shared" si="10"/>
        <v>S</v>
      </c>
      <c r="V8" s="13" t="str">
        <f t="shared" si="10"/>
        <v>S</v>
      </c>
      <c r="W8" s="13" t="str">
        <f t="shared" si="10"/>
        <v>S</v>
      </c>
      <c r="X8" s="13" t="str">
        <f t="shared" si="10"/>
        <v>S</v>
      </c>
      <c r="Y8" s="13" t="str">
        <f t="shared" si="10"/>
        <v>U</v>
      </c>
      <c r="Z8" s="13"/>
      <c r="AA8" s="5" t="str">
        <f t="shared" si="2"/>
        <v>S</v>
      </c>
      <c r="AB8" s="5" t="str">
        <f>IF(AND(Cooler_Type&lt;&gt;"Hammco",INT(F8)&gt;0),"U","S")</f>
        <v>S</v>
      </c>
      <c r="AC8" s="39" t="str">
        <f>"S"</f>
        <v>S</v>
      </c>
      <c r="AD8" s="14" t="str">
        <f>"S"</f>
        <v>S</v>
      </c>
      <c r="AE8" s="14" t="str">
        <f>"S"</f>
        <v>S</v>
      </c>
      <c r="AF8" s="5" t="str">
        <f>"U"</f>
        <v>U</v>
      </c>
      <c r="AG8" s="38" t="str">
        <f>"S"</f>
        <v>S</v>
      </c>
      <c r="AH8" s="13">
        <f t="shared" si="10"/>
        <v>1E-4</v>
      </c>
      <c r="AI8" s="5">
        <f>IF(Cooler_Type&lt;&gt;"Hammco",VLOOKUP(B8,Cooler_Type_Table,2,FALSE)+MROUND(Q8,0.0625),E8)</f>
        <v>1.5</v>
      </c>
      <c r="AJ8" s="13" t="str">
        <f t="shared" si="10"/>
        <v>S</v>
      </c>
      <c r="AK8" s="13">
        <f>IF(H8="Yes",0,2)</f>
        <v>2</v>
      </c>
      <c r="AL8" s="5">
        <f>IFERROR(VLOOKUP(C8,Guage_Table,2,FALSE),C8)</f>
        <v>0.1046</v>
      </c>
      <c r="AM8" s="13" t="str">
        <f t="shared" si="10"/>
        <v>.3</v>
      </c>
      <c r="AN8" s="13" t="str">
        <f t="shared" si="10"/>
        <v>3</v>
      </c>
      <c r="AO8" s="5">
        <f>IF(AA8="U",F8,1)</f>
        <v>1</v>
      </c>
      <c r="AP8" s="24" t="str">
        <f>CONCATENATE(AN8,"-FIL"&amp;IF(OR(E7&lt;&gt;E8,F7&lt;&gt;F8,G7="Yes"),"-RT","-T"))</f>
        <v>3-FIL-T</v>
      </c>
      <c r="AQ8" s="46" t="str">
        <f t="shared" si="5"/>
        <v>3-SEC</v>
      </c>
      <c r="AR8" s="24" t="str">
        <f>IF(ISNUMBER(FIND("RT",AP8,1)),"FILLER PANEL, REAR TOP","FILLER PANEL, TOP")</f>
        <v>FILLER PANEL, TOP</v>
      </c>
      <c r="AS8" s="24" t="str">
        <f>IFERROR(VLOOKUP(AL8,Sheet_Table,3,FALSE),"PLATE,"&amp;TEXT(AL8,"#??/??"))</f>
        <v>SHEET, 12GA</v>
      </c>
      <c r="AT8" s="24" t="str">
        <f>IFERROR(VLOOKUP(AL8,Sheet_Table,4,FALSE),"ST1014")</f>
        <v>ST1020</v>
      </c>
      <c r="AU8" s="13" t="str">
        <f t="shared" si="10"/>
        <v>000000</v>
      </c>
      <c r="AY8" s="24" t="str">
        <f t="shared" si="6"/>
        <v>3-SEC</v>
      </c>
      <c r="BA8" s="13" t="str">
        <f t="shared" ref="BA8:BD9" si="11">BA$6</f>
        <v>U</v>
      </c>
      <c r="BB8" s="13" t="str">
        <f t="shared" si="11"/>
        <v>U</v>
      </c>
      <c r="BC8" s="13" t="str">
        <f t="shared" si="11"/>
        <v>U</v>
      </c>
      <c r="BD8" s="13" t="str">
        <f t="shared" si="11"/>
        <v>U</v>
      </c>
      <c r="BI8" s="13" t="str">
        <f t="shared" ref="BI8:BK9" si="12">BI$6</f>
        <v>S</v>
      </c>
      <c r="BJ8" s="13" t="str">
        <f t="shared" si="12"/>
        <v>S</v>
      </c>
      <c r="BK8" s="13" t="str">
        <f t="shared" si="12"/>
        <v>S</v>
      </c>
      <c r="BL8" s="14" t="str">
        <f>BL7</f>
        <v>S</v>
      </c>
      <c r="BM8" s="14" t="str">
        <f>BM7</f>
        <v>U</v>
      </c>
    </row>
    <row r="9" spans="1:161" x14ac:dyDescent="0.25">
      <c r="A9" s="1" t="s">
        <v>83</v>
      </c>
      <c r="B9" s="13" t="str">
        <f t="shared" si="0"/>
        <v>EH</v>
      </c>
      <c r="C9" s="18">
        <f>IF(Cooler_Type="Hammco","7GA",0.25)</f>
        <v>0.25</v>
      </c>
      <c r="D9" s="13">
        <f t="shared" si="0"/>
        <v>284.25</v>
      </c>
      <c r="E9" s="16">
        <v>3</v>
      </c>
      <c r="F9" s="16">
        <v>0</v>
      </c>
      <c r="G9" s="22" t="s">
        <v>88</v>
      </c>
      <c r="H9" s="13" t="str">
        <f t="shared" si="0"/>
        <v>No</v>
      </c>
      <c r="I9" s="13" t="str">
        <f>I$6</f>
        <v>AXC materials:SA-36</v>
      </c>
      <c r="J9" s="13">
        <f t="shared" si="10"/>
        <v>1</v>
      </c>
      <c r="K9" s="13">
        <f t="shared" si="10"/>
        <v>0.99999999999999922</v>
      </c>
      <c r="L9" s="13">
        <f t="shared" si="10"/>
        <v>777.625</v>
      </c>
      <c r="M9" s="13">
        <f t="shared" si="10"/>
        <v>780.00000000000034</v>
      </c>
      <c r="N9" s="13">
        <f t="shared" si="10"/>
        <v>1</v>
      </c>
      <c r="O9" s="13">
        <f t="shared" si="10"/>
        <v>1</v>
      </c>
      <c r="P9" s="13">
        <f t="shared" si="10"/>
        <v>1</v>
      </c>
      <c r="Q9" s="13">
        <f t="shared" si="10"/>
        <v>0</v>
      </c>
      <c r="R9" s="13">
        <f t="shared" si="10"/>
        <v>9.9999999881800067E-6</v>
      </c>
      <c r="S9" s="13" t="str">
        <f t="shared" si="10"/>
        <v>S</v>
      </c>
      <c r="T9" s="13" t="str">
        <f t="shared" si="10"/>
        <v>S</v>
      </c>
      <c r="U9" s="13" t="str">
        <f t="shared" si="10"/>
        <v>S</v>
      </c>
      <c r="V9" s="13" t="str">
        <f t="shared" si="10"/>
        <v>S</v>
      </c>
      <c r="W9" s="13" t="str">
        <f t="shared" si="10"/>
        <v>S</v>
      </c>
      <c r="X9" s="13" t="str">
        <f t="shared" si="10"/>
        <v>S</v>
      </c>
      <c r="Y9" s="13" t="str">
        <f t="shared" si="10"/>
        <v>U</v>
      </c>
      <c r="Z9" s="13"/>
      <c r="AA9" s="5" t="str">
        <f t="shared" si="2"/>
        <v>S</v>
      </c>
      <c r="AB9" s="5" t="str">
        <f>IF(AND(Cooler_Type&lt;&gt;"Hammco",INT(F9)&gt;0),"U","S")</f>
        <v>S</v>
      </c>
      <c r="AC9" s="39" t="str">
        <f>"S"</f>
        <v>S</v>
      </c>
      <c r="AD9" s="14" t="str">
        <f>"S"</f>
        <v>S</v>
      </c>
      <c r="AE9" s="14" t="str">
        <f>"S"</f>
        <v>S</v>
      </c>
      <c r="AF9" s="14" t="str">
        <f>"S"</f>
        <v>S</v>
      </c>
      <c r="AG9" s="40" t="str">
        <f>"U"</f>
        <v>U</v>
      </c>
      <c r="AH9" s="13">
        <f t="shared" si="10"/>
        <v>1E-4</v>
      </c>
      <c r="AI9" s="5">
        <f>IF(Cooler_Type&lt;&gt;"Hammco",VLOOKUP(B9,Cooler_Type_Table,2,FALSE)+MROUND(Q9,0.0625),E9)</f>
        <v>1.5</v>
      </c>
      <c r="AJ9" s="13" t="str">
        <f t="shared" si="10"/>
        <v>S</v>
      </c>
      <c r="AK9" s="13">
        <f>IF(H9="Yes",0,2)</f>
        <v>2</v>
      </c>
      <c r="AL9" s="5">
        <f>IFERROR(VLOOKUP(C9,Guage_Table,2,FALSE),C9)</f>
        <v>0.25</v>
      </c>
      <c r="AM9" s="13" t="str">
        <f t="shared" si="10"/>
        <v>.3</v>
      </c>
      <c r="AN9" s="13" t="str">
        <f t="shared" si="10"/>
        <v>3</v>
      </c>
      <c r="AO9" s="5">
        <f>IF(AA9="U",F9,1)</f>
        <v>1</v>
      </c>
      <c r="AP9" s="24" t="str">
        <f>CONCATENATE(AN9,"-FIL-M")</f>
        <v>3-FIL-M</v>
      </c>
      <c r="AQ9" s="46" t="str">
        <f t="shared" si="5"/>
        <v>3-SEC</v>
      </c>
      <c r="AR9" s="24" t="s">
        <v>100</v>
      </c>
      <c r="AS9" s="24" t="str">
        <f>IFERROR(VLOOKUP(AL9,Sheet_Table,3,FALSE),"PLATE,"&amp;TEXT(AL9,"#??/??"))</f>
        <v xml:space="preserve">PLATE, 1/4 </v>
      </c>
      <c r="AT9" s="24" t="str">
        <f>IFERROR(VLOOKUP(AL9,Sheet_Table,4,FALSE),"ST1014")</f>
        <v>ST1014</v>
      </c>
      <c r="AU9" s="13" t="str">
        <f t="shared" si="10"/>
        <v>000000</v>
      </c>
      <c r="AY9" s="24" t="str">
        <f t="shared" si="6"/>
        <v>3-SEC</v>
      </c>
      <c r="BA9" s="13" t="str">
        <f t="shared" si="11"/>
        <v>U</v>
      </c>
      <c r="BB9" s="13" t="str">
        <f t="shared" si="11"/>
        <v>U</v>
      </c>
      <c r="BC9" s="13" t="str">
        <f t="shared" si="11"/>
        <v>U</v>
      </c>
      <c r="BD9" s="13" t="str">
        <f t="shared" si="11"/>
        <v>U</v>
      </c>
      <c r="BI9" s="13" t="str">
        <f t="shared" si="12"/>
        <v>S</v>
      </c>
      <c r="BJ9" s="13" t="str">
        <f t="shared" si="12"/>
        <v>S</v>
      </c>
      <c r="BK9" s="13" t="str">
        <f t="shared" si="12"/>
        <v>S</v>
      </c>
      <c r="BL9" s="12" t="s">
        <v>84</v>
      </c>
      <c r="BM9" s="14" t="str">
        <f>BM8</f>
        <v>U</v>
      </c>
    </row>
    <row r="10" spans="1:161" x14ac:dyDescent="0.25">
      <c r="A10" s="32" t="str">
        <f>A5&amp;"SM-FLAT-PATTERN"</f>
        <v>FrontSM-FLAT-PATTERN</v>
      </c>
      <c r="B10" s="13" t="str">
        <f t="shared" ref="B10:AU10" si="13">B$5</f>
        <v>EH</v>
      </c>
      <c r="C10" s="13" t="str">
        <f>C$5</f>
        <v>12GA</v>
      </c>
      <c r="D10" s="13">
        <f>D$5</f>
        <v>284.25</v>
      </c>
      <c r="E10" s="13">
        <f t="shared" si="13"/>
        <v>3</v>
      </c>
      <c r="F10" s="13">
        <f t="shared" si="13"/>
        <v>0</v>
      </c>
      <c r="G10" s="13" t="str">
        <f>G$5</f>
        <v>No</v>
      </c>
      <c r="H10" s="13" t="str">
        <f>H$5</f>
        <v>No</v>
      </c>
      <c r="I10" s="13" t="str">
        <f>I$5</f>
        <v>AXC materials:SA-36</v>
      </c>
      <c r="J10" s="13">
        <f t="shared" si="13"/>
        <v>1</v>
      </c>
      <c r="K10" s="13">
        <f t="shared" si="13"/>
        <v>0.99999999999999922</v>
      </c>
      <c r="L10" s="13">
        <f t="shared" si="13"/>
        <v>777.625</v>
      </c>
      <c r="M10" s="13">
        <f t="shared" si="13"/>
        <v>780.00000000000034</v>
      </c>
      <c r="N10" s="13">
        <f t="shared" si="13"/>
        <v>1</v>
      </c>
      <c r="O10" s="13">
        <f t="shared" si="13"/>
        <v>1</v>
      </c>
      <c r="P10" s="13">
        <f t="shared" si="13"/>
        <v>1</v>
      </c>
      <c r="Q10" s="13">
        <f t="shared" si="13"/>
        <v>0</v>
      </c>
      <c r="R10" s="13">
        <f t="shared" si="13"/>
        <v>9.9999999881800067E-6</v>
      </c>
      <c r="S10" s="13" t="str">
        <f t="shared" si="13"/>
        <v>S</v>
      </c>
      <c r="T10" s="13" t="str">
        <f t="shared" si="13"/>
        <v>S</v>
      </c>
      <c r="U10" s="13" t="str">
        <f t="shared" si="13"/>
        <v>S</v>
      </c>
      <c r="V10" s="13" t="str">
        <f t="shared" si="13"/>
        <v>S</v>
      </c>
      <c r="W10" s="13" t="str">
        <f t="shared" si="13"/>
        <v>S</v>
      </c>
      <c r="X10" s="13" t="str">
        <f t="shared" si="13"/>
        <v>S</v>
      </c>
      <c r="Y10" s="13" t="str">
        <f t="shared" si="13"/>
        <v>U</v>
      </c>
      <c r="Z10" s="13"/>
      <c r="AA10" s="13" t="str">
        <f t="shared" si="13"/>
        <v>S</v>
      </c>
      <c r="AB10" s="13" t="str">
        <f>AB$5</f>
        <v>S</v>
      </c>
      <c r="AC10" s="41" t="str">
        <f t="shared" si="13"/>
        <v>U</v>
      </c>
      <c r="AD10" s="13" t="str">
        <f t="shared" si="13"/>
        <v>S</v>
      </c>
      <c r="AE10" s="13" t="str">
        <f t="shared" si="13"/>
        <v>S</v>
      </c>
      <c r="AF10" s="13" t="str">
        <f t="shared" si="13"/>
        <v>S</v>
      </c>
      <c r="AG10" s="42" t="str">
        <f t="shared" si="13"/>
        <v>S</v>
      </c>
      <c r="AH10" s="13">
        <f t="shared" si="13"/>
        <v>1E-4</v>
      </c>
      <c r="AI10" s="13">
        <f t="shared" si="13"/>
        <v>1.5</v>
      </c>
      <c r="AJ10" s="13" t="str">
        <f t="shared" si="13"/>
        <v>S</v>
      </c>
      <c r="AK10" s="13">
        <f t="shared" si="13"/>
        <v>2</v>
      </c>
      <c r="AL10" s="13">
        <f t="shared" si="13"/>
        <v>0.1046</v>
      </c>
      <c r="AM10" s="13" t="str">
        <f t="shared" si="13"/>
        <v>.3</v>
      </c>
      <c r="AN10" s="13" t="str">
        <f t="shared" si="13"/>
        <v>3</v>
      </c>
      <c r="AO10" s="13">
        <f>AO$5</f>
        <v>1</v>
      </c>
      <c r="AP10" s="25" t="str">
        <f t="shared" si="13"/>
        <v>3-FIL</v>
      </c>
      <c r="AQ10" s="13" t="str">
        <f t="shared" si="13"/>
        <v>3-SEC</v>
      </c>
      <c r="AR10" s="25" t="str">
        <f t="shared" si="13"/>
        <v>FILLER PANEL</v>
      </c>
      <c r="AS10" s="25" t="str">
        <f t="shared" si="13"/>
        <v>SHEET, 12GA</v>
      </c>
      <c r="AT10" s="25" t="str">
        <f t="shared" si="13"/>
        <v>ST1020</v>
      </c>
      <c r="AU10" s="13" t="str">
        <f t="shared" si="13"/>
        <v>000000</v>
      </c>
      <c r="AV10" s="24" t="str">
        <f>A5</f>
        <v>Front</v>
      </c>
      <c r="AY10" s="25" t="str">
        <f>AY$5</f>
        <v>3-SEC</v>
      </c>
      <c r="BA10" s="13" t="str">
        <f>BA$5</f>
        <v>U</v>
      </c>
      <c r="BB10" s="13" t="str">
        <f>BB$5</f>
        <v>U</v>
      </c>
      <c r="BC10" s="13" t="str">
        <f>BC$5</f>
        <v>U</v>
      </c>
      <c r="BD10" s="13" t="str">
        <f>BD$5</f>
        <v>U</v>
      </c>
      <c r="BI10" s="13" t="str">
        <f>BI$5</f>
        <v>S</v>
      </c>
      <c r="BJ10" s="13" t="str">
        <f>BJ$5</f>
        <v>S</v>
      </c>
      <c r="BK10" s="13" t="str">
        <f>BK$5</f>
        <v>S</v>
      </c>
      <c r="BL10" s="13" t="str">
        <f>BL$5</f>
        <v>S</v>
      </c>
      <c r="BM10" s="13" t="str">
        <f>BM$5</f>
        <v>S</v>
      </c>
    </row>
    <row r="11" spans="1:161" x14ac:dyDescent="0.25">
      <c r="A11" s="32" t="str">
        <f t="shared" ref="A11:A14" si="14">A6&amp;"SM-FLAT-PATTERN"</f>
        <v>RearSM-FLAT-PATTERN</v>
      </c>
      <c r="B11" s="13" t="str">
        <f t="shared" ref="B11:AU11" si="15">B$6</f>
        <v>EH</v>
      </c>
      <c r="C11" s="13" t="str">
        <f>C$6</f>
        <v>12GA</v>
      </c>
      <c r="D11" s="13">
        <f t="shared" si="15"/>
        <v>284.25</v>
      </c>
      <c r="E11" s="13">
        <f t="shared" si="15"/>
        <v>3</v>
      </c>
      <c r="F11" s="13">
        <f t="shared" si="15"/>
        <v>0</v>
      </c>
      <c r="G11" s="13" t="str">
        <f t="shared" si="15"/>
        <v>No</v>
      </c>
      <c r="H11" s="13" t="str">
        <f t="shared" si="15"/>
        <v>No</v>
      </c>
      <c r="I11" s="13" t="str">
        <f>I$6</f>
        <v>AXC materials:SA-36</v>
      </c>
      <c r="J11" s="13">
        <f t="shared" si="15"/>
        <v>1</v>
      </c>
      <c r="K11" s="13">
        <f t="shared" si="15"/>
        <v>0.99999999999999922</v>
      </c>
      <c r="L11" s="13">
        <f t="shared" si="15"/>
        <v>777.625</v>
      </c>
      <c r="M11" s="13">
        <f t="shared" si="15"/>
        <v>780.00000000000034</v>
      </c>
      <c r="N11" s="13">
        <f t="shared" si="15"/>
        <v>1</v>
      </c>
      <c r="O11" s="13">
        <f t="shared" si="15"/>
        <v>1</v>
      </c>
      <c r="P11" s="13">
        <f t="shared" si="15"/>
        <v>1</v>
      </c>
      <c r="Q11" s="13">
        <f t="shared" si="15"/>
        <v>0</v>
      </c>
      <c r="R11" s="13">
        <f t="shared" si="15"/>
        <v>9.9999999881800067E-6</v>
      </c>
      <c r="S11" s="13" t="str">
        <f t="shared" si="15"/>
        <v>S</v>
      </c>
      <c r="T11" s="13" t="str">
        <f t="shared" si="15"/>
        <v>S</v>
      </c>
      <c r="U11" s="13" t="str">
        <f t="shared" si="15"/>
        <v>S</v>
      </c>
      <c r="V11" s="13" t="str">
        <f t="shared" si="15"/>
        <v>S</v>
      </c>
      <c r="W11" s="13" t="str">
        <f t="shared" si="15"/>
        <v>S</v>
      </c>
      <c r="X11" s="13" t="str">
        <f t="shared" si="15"/>
        <v>S</v>
      </c>
      <c r="Y11" s="13" t="str">
        <f t="shared" si="15"/>
        <v>U</v>
      </c>
      <c r="Z11" s="13"/>
      <c r="AA11" s="13" t="str">
        <f t="shared" si="15"/>
        <v>S</v>
      </c>
      <c r="AB11" s="13" t="str">
        <f>AB$6</f>
        <v>S</v>
      </c>
      <c r="AC11" s="41" t="str">
        <f t="shared" si="15"/>
        <v>S</v>
      </c>
      <c r="AD11" s="13" t="str">
        <f t="shared" si="15"/>
        <v>U</v>
      </c>
      <c r="AE11" s="13" t="str">
        <f t="shared" si="15"/>
        <v>S</v>
      </c>
      <c r="AF11" s="13" t="str">
        <f t="shared" si="15"/>
        <v>S</v>
      </c>
      <c r="AG11" s="42" t="str">
        <f t="shared" si="15"/>
        <v>S</v>
      </c>
      <c r="AH11" s="13">
        <f t="shared" si="15"/>
        <v>1E-4</v>
      </c>
      <c r="AI11" s="13">
        <f t="shared" si="15"/>
        <v>1.5</v>
      </c>
      <c r="AJ11" s="13" t="str">
        <f t="shared" si="15"/>
        <v>S</v>
      </c>
      <c r="AK11" s="13">
        <f t="shared" si="15"/>
        <v>2</v>
      </c>
      <c r="AL11" s="13">
        <f t="shared" si="15"/>
        <v>0.1046</v>
      </c>
      <c r="AM11" s="13" t="str">
        <f t="shared" si="15"/>
        <v>.3</v>
      </c>
      <c r="AN11" s="13" t="str">
        <f t="shared" si="15"/>
        <v>3</v>
      </c>
      <c r="AO11" s="13">
        <f>AO$6</f>
        <v>1</v>
      </c>
      <c r="AP11" s="25" t="str">
        <f t="shared" si="15"/>
        <v>3-FIL</v>
      </c>
      <c r="AQ11" s="13" t="str">
        <f t="shared" si="15"/>
        <v>3-SEC</v>
      </c>
      <c r="AR11" s="25" t="str">
        <f t="shared" si="15"/>
        <v>FILLER PANEL</v>
      </c>
      <c r="AS11" s="25" t="str">
        <f t="shared" si="15"/>
        <v>SHEET, 12GA</v>
      </c>
      <c r="AT11" s="25" t="str">
        <f t="shared" si="15"/>
        <v>ST1020</v>
      </c>
      <c r="AU11" s="13" t="str">
        <f t="shared" si="15"/>
        <v>000000</v>
      </c>
      <c r="AV11" s="24" t="str">
        <f>A6</f>
        <v>Rear</v>
      </c>
      <c r="AY11" s="25" t="str">
        <f>AY$6</f>
        <v>3-SEC</v>
      </c>
      <c r="BA11" s="13" t="str">
        <f>BA$6</f>
        <v>U</v>
      </c>
      <c r="BB11" s="13" t="str">
        <f>BB$6</f>
        <v>U</v>
      </c>
      <c r="BC11" s="13" t="str">
        <f>BC$6</f>
        <v>U</v>
      </c>
      <c r="BD11" s="13" t="str">
        <f>BD$6</f>
        <v>U</v>
      </c>
      <c r="BI11" s="13" t="str">
        <f>BI$6</f>
        <v>S</v>
      </c>
      <c r="BJ11" s="13" t="str">
        <f>BJ$6</f>
        <v>S</v>
      </c>
      <c r="BK11" s="13" t="str">
        <f>BK$6</f>
        <v>S</v>
      </c>
      <c r="BL11" s="13" t="str">
        <f>BL$6</f>
        <v>S</v>
      </c>
      <c r="BM11" s="13" t="str">
        <f>BM$6</f>
        <v>S</v>
      </c>
    </row>
    <row r="12" spans="1:161" x14ac:dyDescent="0.25">
      <c r="A12" s="32" t="str">
        <f t="shared" si="14"/>
        <v>Top FrontSM-FLAT-PATTERN</v>
      </c>
      <c r="B12" s="13" t="str">
        <f t="shared" ref="B12:AN12" si="16">B$7</f>
        <v>EH</v>
      </c>
      <c r="C12" s="13" t="str">
        <f>C$7</f>
        <v>12GA</v>
      </c>
      <c r="D12" s="13">
        <f>D$7</f>
        <v>284.25</v>
      </c>
      <c r="E12" s="13">
        <f t="shared" si="16"/>
        <v>3</v>
      </c>
      <c r="F12" s="13">
        <f t="shared" si="16"/>
        <v>0</v>
      </c>
      <c r="G12" s="13" t="str">
        <f>G$7</f>
        <v>No</v>
      </c>
      <c r="H12" s="13" t="str">
        <f>H$7</f>
        <v>No</v>
      </c>
      <c r="I12" s="13" t="str">
        <f>I$7</f>
        <v>AXC materials:SA-36</v>
      </c>
      <c r="J12" s="13">
        <f t="shared" si="16"/>
        <v>1</v>
      </c>
      <c r="K12" s="13">
        <f t="shared" si="16"/>
        <v>0.99999999999999922</v>
      </c>
      <c r="L12" s="13">
        <f t="shared" si="16"/>
        <v>777.625</v>
      </c>
      <c r="M12" s="13">
        <f t="shared" si="16"/>
        <v>780.00000000000034</v>
      </c>
      <c r="N12" s="13">
        <f t="shared" si="16"/>
        <v>1</v>
      </c>
      <c r="O12" s="13">
        <f t="shared" si="16"/>
        <v>1</v>
      </c>
      <c r="P12" s="13">
        <f t="shared" si="16"/>
        <v>1</v>
      </c>
      <c r="Q12" s="13">
        <f t="shared" si="16"/>
        <v>0</v>
      </c>
      <c r="R12" s="13">
        <f t="shared" si="16"/>
        <v>9.9999999881800067E-6</v>
      </c>
      <c r="S12" s="13" t="str">
        <f t="shared" si="16"/>
        <v>S</v>
      </c>
      <c r="T12" s="13" t="str">
        <f t="shared" si="16"/>
        <v>S</v>
      </c>
      <c r="U12" s="13" t="str">
        <f t="shared" si="16"/>
        <v>S</v>
      </c>
      <c r="V12" s="13" t="str">
        <f t="shared" si="16"/>
        <v>S</v>
      </c>
      <c r="W12" s="13" t="str">
        <f t="shared" si="16"/>
        <v>S</v>
      </c>
      <c r="X12" s="13" t="str">
        <f t="shared" si="16"/>
        <v>S</v>
      </c>
      <c r="Y12" s="13" t="str">
        <f t="shared" si="16"/>
        <v>U</v>
      </c>
      <c r="Z12" s="13"/>
      <c r="AA12" s="13" t="str">
        <f t="shared" si="16"/>
        <v>S</v>
      </c>
      <c r="AB12" s="13" t="str">
        <f>AB$7</f>
        <v>S</v>
      </c>
      <c r="AC12" s="41" t="str">
        <f t="shared" si="16"/>
        <v>S</v>
      </c>
      <c r="AD12" s="13" t="str">
        <f t="shared" si="16"/>
        <v>S</v>
      </c>
      <c r="AE12" s="13" t="str">
        <f t="shared" si="16"/>
        <v>U</v>
      </c>
      <c r="AF12" s="13" t="str">
        <f t="shared" si="16"/>
        <v>S</v>
      </c>
      <c r="AG12" s="42" t="str">
        <f t="shared" si="16"/>
        <v>S</v>
      </c>
      <c r="AH12" s="13">
        <f t="shared" si="16"/>
        <v>1E-4</v>
      </c>
      <c r="AI12" s="13">
        <f t="shared" si="16"/>
        <v>1.5</v>
      </c>
      <c r="AJ12" s="13" t="str">
        <f t="shared" si="16"/>
        <v>S</v>
      </c>
      <c r="AK12" s="13">
        <f t="shared" si="16"/>
        <v>2</v>
      </c>
      <c r="AL12" s="13">
        <f t="shared" si="16"/>
        <v>0.1046</v>
      </c>
      <c r="AM12" s="13" t="str">
        <f t="shared" si="16"/>
        <v>.3</v>
      </c>
      <c r="AN12" s="13" t="str">
        <f t="shared" si="16"/>
        <v>3</v>
      </c>
      <c r="AO12" s="13">
        <f t="shared" ref="AO12:AU12" si="17">AO$7</f>
        <v>1</v>
      </c>
      <c r="AP12" s="25" t="str">
        <f t="shared" si="17"/>
        <v>3-FIL-T</v>
      </c>
      <c r="AQ12" s="13" t="str">
        <f t="shared" si="17"/>
        <v>3-SEC</v>
      </c>
      <c r="AR12" s="25" t="str">
        <f t="shared" si="17"/>
        <v>FILLER PANEL, TOP</v>
      </c>
      <c r="AS12" s="25" t="str">
        <f t="shared" si="17"/>
        <v>SHEET, 12GA</v>
      </c>
      <c r="AT12" s="25" t="str">
        <f t="shared" si="17"/>
        <v>ST1020</v>
      </c>
      <c r="AU12" s="13" t="str">
        <f t="shared" si="17"/>
        <v>000000</v>
      </c>
      <c r="AV12" s="24" t="str">
        <f>A7</f>
        <v>Top Front</v>
      </c>
      <c r="AY12" s="25" t="str">
        <f>AY$7</f>
        <v>3-SEC</v>
      </c>
      <c r="BA12" s="13" t="str">
        <f>BA$7</f>
        <v>U</v>
      </c>
      <c r="BB12" s="13" t="str">
        <f>BB$7</f>
        <v>U</v>
      </c>
      <c r="BC12" s="13" t="str">
        <f>BC$7</f>
        <v>U</v>
      </c>
      <c r="BD12" s="13" t="str">
        <f>BD$7</f>
        <v>U</v>
      </c>
      <c r="BI12" s="13" t="str">
        <f>BI$7</f>
        <v>S</v>
      </c>
      <c r="BJ12" s="13" t="str">
        <f>BJ$7</f>
        <v>S</v>
      </c>
      <c r="BK12" s="13" t="str">
        <f>BK$7</f>
        <v>S</v>
      </c>
      <c r="BL12" s="13" t="str">
        <f>BL$7</f>
        <v>S</v>
      </c>
      <c r="BM12" s="13" t="str">
        <f>BM$7</f>
        <v>U</v>
      </c>
    </row>
    <row r="13" spans="1:161" x14ac:dyDescent="0.25">
      <c r="A13" s="32" t="str">
        <f t="shared" si="14"/>
        <v>Top RearSM-FLAT-PATTERN</v>
      </c>
      <c r="B13" s="13" t="str">
        <f t="shared" ref="B13:AU14" si="18">B$8</f>
        <v>EH</v>
      </c>
      <c r="C13" s="13" t="str">
        <f>C$8</f>
        <v>12GA</v>
      </c>
      <c r="D13" s="13">
        <f t="shared" si="18"/>
        <v>284.25</v>
      </c>
      <c r="E13" s="13">
        <f t="shared" si="18"/>
        <v>3</v>
      </c>
      <c r="F13" s="13">
        <f t="shared" si="18"/>
        <v>0</v>
      </c>
      <c r="G13" s="13" t="str">
        <f t="shared" si="18"/>
        <v>No</v>
      </c>
      <c r="H13" s="13" t="str">
        <f t="shared" si="18"/>
        <v>No</v>
      </c>
      <c r="I13" s="13" t="str">
        <f>I$8</f>
        <v>AXC materials:SA-36</v>
      </c>
      <c r="J13" s="13">
        <f t="shared" si="18"/>
        <v>1</v>
      </c>
      <c r="K13" s="13">
        <f t="shared" si="18"/>
        <v>0.99999999999999922</v>
      </c>
      <c r="L13" s="13">
        <f t="shared" si="18"/>
        <v>777.625</v>
      </c>
      <c r="M13" s="13">
        <f t="shared" si="18"/>
        <v>780.00000000000034</v>
      </c>
      <c r="N13" s="13">
        <f t="shared" si="18"/>
        <v>1</v>
      </c>
      <c r="O13" s="13">
        <f t="shared" si="18"/>
        <v>1</v>
      </c>
      <c r="P13" s="13">
        <f t="shared" si="18"/>
        <v>1</v>
      </c>
      <c r="Q13" s="13">
        <f t="shared" si="18"/>
        <v>0</v>
      </c>
      <c r="R13" s="13">
        <f t="shared" si="18"/>
        <v>9.9999999881800067E-6</v>
      </c>
      <c r="S13" s="13" t="str">
        <f t="shared" si="18"/>
        <v>S</v>
      </c>
      <c r="T13" s="13" t="str">
        <f t="shared" si="18"/>
        <v>S</v>
      </c>
      <c r="U13" s="13" t="str">
        <f t="shared" si="18"/>
        <v>S</v>
      </c>
      <c r="V13" s="13" t="str">
        <f t="shared" si="18"/>
        <v>S</v>
      </c>
      <c r="W13" s="13" t="str">
        <f t="shared" si="18"/>
        <v>S</v>
      </c>
      <c r="X13" s="13" t="str">
        <f t="shared" si="18"/>
        <v>S</v>
      </c>
      <c r="Y13" s="13" t="str">
        <f t="shared" si="18"/>
        <v>U</v>
      </c>
      <c r="Z13" s="13"/>
      <c r="AA13" s="13" t="str">
        <f t="shared" si="18"/>
        <v>S</v>
      </c>
      <c r="AB13" s="13" t="str">
        <f>AB$8</f>
        <v>S</v>
      </c>
      <c r="AC13" s="41" t="str">
        <f t="shared" si="18"/>
        <v>S</v>
      </c>
      <c r="AD13" s="13" t="str">
        <f t="shared" si="18"/>
        <v>S</v>
      </c>
      <c r="AE13" s="13" t="str">
        <f t="shared" si="18"/>
        <v>S</v>
      </c>
      <c r="AF13" s="13" t="str">
        <f t="shared" si="18"/>
        <v>U</v>
      </c>
      <c r="AG13" s="42" t="str">
        <f t="shared" si="18"/>
        <v>S</v>
      </c>
      <c r="AH13" s="13">
        <f t="shared" si="18"/>
        <v>1E-4</v>
      </c>
      <c r="AI13" s="13">
        <f t="shared" si="18"/>
        <v>1.5</v>
      </c>
      <c r="AJ13" s="13" t="str">
        <f t="shared" si="18"/>
        <v>S</v>
      </c>
      <c r="AK13" s="13">
        <f t="shared" si="18"/>
        <v>2</v>
      </c>
      <c r="AL13" s="13">
        <f t="shared" si="18"/>
        <v>0.1046</v>
      </c>
      <c r="AM13" s="13" t="str">
        <f t="shared" si="18"/>
        <v>.3</v>
      </c>
      <c r="AN13" s="13" t="str">
        <f t="shared" si="18"/>
        <v>3</v>
      </c>
      <c r="AO13" s="13">
        <f>AO$8</f>
        <v>1</v>
      </c>
      <c r="AP13" s="25" t="str">
        <f t="shared" si="18"/>
        <v>3-FIL-T</v>
      </c>
      <c r="AQ13" s="13" t="str">
        <f t="shared" si="18"/>
        <v>3-SEC</v>
      </c>
      <c r="AR13" s="25" t="str">
        <f t="shared" si="18"/>
        <v>FILLER PANEL, TOP</v>
      </c>
      <c r="AS13" s="25" t="str">
        <f t="shared" si="18"/>
        <v>SHEET, 12GA</v>
      </c>
      <c r="AT13" s="25" t="str">
        <f t="shared" si="18"/>
        <v>ST1020</v>
      </c>
      <c r="AU13" s="13" t="str">
        <f t="shared" si="18"/>
        <v>000000</v>
      </c>
      <c r="AV13" s="24" t="str">
        <f>A8</f>
        <v>Top Rear</v>
      </c>
      <c r="AY13" s="25" t="str">
        <f>AY$8</f>
        <v>3-SEC</v>
      </c>
      <c r="BA13" s="13" t="str">
        <f>BA$8</f>
        <v>U</v>
      </c>
      <c r="BB13" s="13" t="str">
        <f>BB$8</f>
        <v>U</v>
      </c>
      <c r="BC13" s="13" t="str">
        <f>BC$8</f>
        <v>U</v>
      </c>
      <c r="BD13" s="13" t="str">
        <f>BD$8</f>
        <v>U</v>
      </c>
      <c r="BI13" s="13" t="str">
        <f>BI$8</f>
        <v>S</v>
      </c>
      <c r="BJ13" s="13" t="str">
        <f>BJ$8</f>
        <v>S</v>
      </c>
      <c r="BK13" s="13" t="str">
        <f>BK$8</f>
        <v>S</v>
      </c>
      <c r="BL13" s="13" t="str">
        <f>BL$8</f>
        <v>S</v>
      </c>
      <c r="BM13" s="13" t="str">
        <f>BM$8</f>
        <v>U</v>
      </c>
    </row>
    <row r="14" spans="1:161" x14ac:dyDescent="0.25">
      <c r="A14" s="32" t="str">
        <f t="shared" si="14"/>
        <v>MidSM-FLAT-PATTERN</v>
      </c>
      <c r="B14" s="13" t="str">
        <f t="shared" ref="B14:Q14" si="19">B$9</f>
        <v>EH</v>
      </c>
      <c r="C14" s="13">
        <f t="shared" si="19"/>
        <v>0.25</v>
      </c>
      <c r="D14" s="13">
        <f t="shared" si="19"/>
        <v>284.25</v>
      </c>
      <c r="E14" s="13">
        <f t="shared" si="19"/>
        <v>3</v>
      </c>
      <c r="F14" s="13">
        <f t="shared" si="19"/>
        <v>0</v>
      </c>
      <c r="G14" s="13" t="str">
        <f t="shared" si="19"/>
        <v>---</v>
      </c>
      <c r="H14" s="13" t="str">
        <f t="shared" si="19"/>
        <v>No</v>
      </c>
      <c r="I14" s="13" t="str">
        <f t="shared" si="19"/>
        <v>AXC materials:SA-36</v>
      </c>
      <c r="J14" s="13">
        <f t="shared" si="19"/>
        <v>1</v>
      </c>
      <c r="K14" s="13">
        <f t="shared" si="19"/>
        <v>0.99999999999999922</v>
      </c>
      <c r="L14" s="13">
        <f t="shared" si="19"/>
        <v>777.625</v>
      </c>
      <c r="M14" s="13">
        <f t="shared" si="19"/>
        <v>780.00000000000034</v>
      </c>
      <c r="N14" s="13">
        <f t="shared" si="19"/>
        <v>1</v>
      </c>
      <c r="O14" s="13">
        <f t="shared" si="19"/>
        <v>1</v>
      </c>
      <c r="P14" s="13">
        <f t="shared" si="19"/>
        <v>1</v>
      </c>
      <c r="Q14" s="13">
        <f t="shared" si="19"/>
        <v>0</v>
      </c>
      <c r="R14" s="13">
        <f t="shared" ref="R14:AG14" si="20">R$9</f>
        <v>9.9999999881800067E-6</v>
      </c>
      <c r="S14" s="13" t="str">
        <f t="shared" si="20"/>
        <v>S</v>
      </c>
      <c r="T14" s="13" t="str">
        <f t="shared" si="20"/>
        <v>S</v>
      </c>
      <c r="U14" s="13" t="str">
        <f t="shared" si="20"/>
        <v>S</v>
      </c>
      <c r="V14" s="13" t="str">
        <f t="shared" si="20"/>
        <v>S</v>
      </c>
      <c r="W14" s="13" t="str">
        <f t="shared" si="20"/>
        <v>S</v>
      </c>
      <c r="X14" s="13" t="str">
        <f t="shared" si="20"/>
        <v>S</v>
      </c>
      <c r="Y14" s="13" t="str">
        <f t="shared" si="20"/>
        <v>U</v>
      </c>
      <c r="Z14" s="13"/>
      <c r="AA14" s="13" t="str">
        <f t="shared" si="20"/>
        <v>S</v>
      </c>
      <c r="AB14" s="13" t="str">
        <f>AB$9</f>
        <v>S</v>
      </c>
      <c r="AC14" s="41" t="str">
        <f t="shared" si="20"/>
        <v>S</v>
      </c>
      <c r="AD14" s="13" t="str">
        <f t="shared" si="20"/>
        <v>S</v>
      </c>
      <c r="AE14" s="13" t="str">
        <f t="shared" si="20"/>
        <v>S</v>
      </c>
      <c r="AF14" s="13" t="str">
        <f t="shared" si="20"/>
        <v>S</v>
      </c>
      <c r="AG14" s="42" t="str">
        <f t="shared" si="20"/>
        <v>U</v>
      </c>
      <c r="AH14" s="13">
        <f>AH$9</f>
        <v>1E-4</v>
      </c>
      <c r="AI14" s="13">
        <f t="shared" ref="AI14:AN14" si="21">AI$9</f>
        <v>1.5</v>
      </c>
      <c r="AJ14" s="13" t="str">
        <f t="shared" si="21"/>
        <v>S</v>
      </c>
      <c r="AK14" s="13">
        <f t="shared" si="21"/>
        <v>2</v>
      </c>
      <c r="AL14" s="13">
        <f t="shared" si="21"/>
        <v>0.25</v>
      </c>
      <c r="AM14" s="13" t="str">
        <f t="shared" si="21"/>
        <v>.3</v>
      </c>
      <c r="AN14" s="13" t="str">
        <f t="shared" si="21"/>
        <v>3</v>
      </c>
      <c r="AO14" s="13">
        <f>AO$9</f>
        <v>1</v>
      </c>
      <c r="AP14" s="25" t="str">
        <f>AP$9</f>
        <v>3-FIL-M</v>
      </c>
      <c r="AQ14" s="13" t="str">
        <f t="shared" ref="AQ14" si="22">AQ$9</f>
        <v>3-SEC</v>
      </c>
      <c r="AR14" s="25" t="str">
        <f>AR$9</f>
        <v>FILLER PANEL, MID</v>
      </c>
      <c r="AS14" s="25" t="str">
        <f>AS$9</f>
        <v xml:space="preserve">PLATE, 1/4 </v>
      </c>
      <c r="AT14" s="25" t="str">
        <f>AT$9</f>
        <v>ST1014</v>
      </c>
      <c r="AU14" s="13" t="str">
        <f t="shared" si="18"/>
        <v>000000</v>
      </c>
      <c r="AV14" s="24" t="str">
        <f>A9</f>
        <v>Mid</v>
      </c>
      <c r="AY14" s="25" t="str">
        <f>AY$9</f>
        <v>3-SEC</v>
      </c>
      <c r="BA14" s="13" t="str">
        <f>BA$9</f>
        <v>U</v>
      </c>
      <c r="BB14" s="13" t="str">
        <f>BB$9</f>
        <v>U</v>
      </c>
      <c r="BC14" s="13" t="str">
        <f>BC$9</f>
        <v>U</v>
      </c>
      <c r="BD14" s="13" t="str">
        <f>BD$9</f>
        <v>U</v>
      </c>
      <c r="BI14" s="13" t="str">
        <f>BI$9</f>
        <v>S</v>
      </c>
      <c r="BJ14" s="13" t="str">
        <f>BJ$9</f>
        <v>S</v>
      </c>
      <c r="BK14" s="13" t="str">
        <f>BK$9</f>
        <v>S</v>
      </c>
      <c r="BL14" s="13" t="str">
        <f>BL$9</f>
        <v>S</v>
      </c>
      <c r="BM14" s="13" t="str">
        <f>BM$9</f>
        <v>U</v>
      </c>
    </row>
    <row r="15" spans="1:161" x14ac:dyDescent="0.25">
      <c r="D15" s="51" t="str">
        <f>IF(AND(Cooler_Type="Z", Col_CL_to_CL&gt;D17),"↑ Value too large for valid filler dims","")</f>
        <v/>
      </c>
      <c r="E15" s="51"/>
      <c r="M15"/>
      <c r="N15"/>
      <c r="O15"/>
      <c r="P15"/>
      <c r="Q15" s="1"/>
      <c r="R15"/>
      <c r="AA15" s="1"/>
      <c r="AB15" s="1"/>
      <c r="AI15">
        <f>((2*AL5)+(2*0.21)+(2*0.0125))/2         +N("2xthickness + 2xbend radius + 2xminimum flat face after bend")</f>
        <v>0.3271</v>
      </c>
      <c r="AJ15" t="s">
        <v>144</v>
      </c>
      <c r="AP15" s="2"/>
      <c r="AR15" s="2"/>
      <c r="AS15" s="2"/>
      <c r="AT15" s="2"/>
      <c r="AY15" s="2"/>
      <c r="BL15" s="3"/>
      <c r="BM15" s="3"/>
    </row>
    <row r="16" spans="1:161" ht="15" customHeight="1" x14ac:dyDescent="0.25">
      <c r="D16" s="51"/>
      <c r="E16" s="51"/>
      <c r="O16"/>
      <c r="AC16" s="3"/>
      <c r="AD16" s="3"/>
      <c r="AE16" s="3"/>
      <c r="AF16" s="3"/>
      <c r="AG16" s="3"/>
      <c r="AI16">
        <v>1.5</v>
      </c>
      <c r="AJ16" t="s">
        <v>146</v>
      </c>
      <c r="AM16" s="2"/>
      <c r="AN16" s="2"/>
      <c r="AS16" s="4"/>
      <c r="AT16" s="4"/>
      <c r="BI16" s="3"/>
      <c r="BJ16" s="3"/>
      <c r="BK16" s="3"/>
    </row>
    <row r="17" spans="1:65" x14ac:dyDescent="0.25">
      <c r="D17" s="43">
        <f>(ROUND(Tube_Length,6)-(ROUND(TP_Thickness,6)*2)-0.375)+2-(2*AI16)      +N("change last part of fx between min mfg value or min solidworks value")</f>
        <v>776.625</v>
      </c>
      <c r="E17" s="44" t="s">
        <v>143</v>
      </c>
      <c r="AM17" s="2"/>
      <c r="AN17" s="2"/>
    </row>
    <row r="18" spans="1:65" ht="15" customHeight="1" x14ac:dyDescent="0.25">
      <c r="B18" s="52" t="s">
        <v>42</v>
      </c>
      <c r="C18" s="52"/>
      <c r="D18" s="52"/>
      <c r="E18" s="52"/>
      <c r="F18" s="52"/>
      <c r="G18" s="52"/>
      <c r="H18" s="52"/>
      <c r="AM18" s="2"/>
      <c r="AN18" s="2"/>
    </row>
    <row r="19" spans="1:65" x14ac:dyDescent="0.25">
      <c r="B19" s="52"/>
      <c r="C19" s="52"/>
      <c r="D19" s="52"/>
      <c r="E19" s="52"/>
      <c r="F19" s="52"/>
      <c r="G19" s="52"/>
      <c r="H19" s="52"/>
      <c r="AM19" s="2"/>
      <c r="AN19" s="2"/>
    </row>
    <row r="20" spans="1:65" x14ac:dyDescent="0.25">
      <c r="B20" s="52"/>
      <c r="C20" s="52"/>
      <c r="D20" s="52"/>
      <c r="E20" s="52"/>
      <c r="F20" s="52"/>
      <c r="G20" s="52"/>
      <c r="H20" s="52"/>
    </row>
    <row r="22" spans="1:65" x14ac:dyDescent="0.25">
      <c r="A22"/>
      <c r="M22"/>
      <c r="N22"/>
      <c r="O22"/>
      <c r="P22"/>
      <c r="R22"/>
      <c r="S22"/>
      <c r="T22"/>
      <c r="U22"/>
      <c r="V22"/>
      <c r="W22"/>
      <c r="X22"/>
      <c r="Y22"/>
      <c r="Z22"/>
      <c r="AC22"/>
      <c r="AD22"/>
      <c r="AE22"/>
      <c r="AF22"/>
      <c r="AG22"/>
      <c r="AO22"/>
      <c r="BA22"/>
      <c r="BB22"/>
      <c r="BC22"/>
      <c r="BD22"/>
      <c r="BI22"/>
      <c r="BJ22"/>
      <c r="BK22"/>
      <c r="BL22"/>
      <c r="BM22"/>
    </row>
    <row r="23" spans="1:65" x14ac:dyDescent="0.25">
      <c r="C23" s="18" t="str">
        <f>IF(Cooler_Type="Hammco","7GA","12GA")</f>
        <v>12GA</v>
      </c>
      <c r="D23" s="18"/>
      <c r="E23" s="16">
        <v>3</v>
      </c>
      <c r="F23" s="17">
        <v>0</v>
      </c>
      <c r="L23" s="1"/>
      <c r="M23"/>
      <c r="N23"/>
      <c r="O23"/>
      <c r="P23"/>
      <c r="Q23" s="1"/>
      <c r="Y23"/>
      <c r="Z23"/>
      <c r="AA23" s="1"/>
      <c r="AB23" s="1"/>
      <c r="AC23"/>
      <c r="AD23"/>
      <c r="AE23"/>
      <c r="AF23"/>
      <c r="AG23"/>
    </row>
    <row r="24" spans="1:65" x14ac:dyDescent="0.25">
      <c r="C24" s="13" t="str">
        <f t="shared" ref="C24:F25" si="23">C$5</f>
        <v>12GA</v>
      </c>
      <c r="D24" s="13"/>
      <c r="E24" s="18">
        <f t="shared" si="23"/>
        <v>3</v>
      </c>
      <c r="F24" s="18">
        <f t="shared" si="23"/>
        <v>0</v>
      </c>
      <c r="L24" s="1"/>
      <c r="M24"/>
      <c r="N24"/>
      <c r="O24"/>
      <c r="P24"/>
      <c r="Q24" s="1"/>
      <c r="Y24"/>
      <c r="Z24"/>
      <c r="AA24" s="1"/>
      <c r="AB24" s="1"/>
      <c r="AC24"/>
      <c r="AD24"/>
      <c r="AE24"/>
      <c r="AF24"/>
      <c r="AG24"/>
    </row>
    <row r="25" spans="1:65" x14ac:dyDescent="0.25">
      <c r="C25" s="13" t="str">
        <f t="shared" si="23"/>
        <v>12GA</v>
      </c>
      <c r="D25" s="13"/>
      <c r="E25" s="5">
        <f t="shared" si="23"/>
        <v>3</v>
      </c>
      <c r="F25" s="19">
        <f t="shared" si="23"/>
        <v>0</v>
      </c>
      <c r="L25" s="1"/>
      <c r="M25"/>
      <c r="N25"/>
      <c r="O25"/>
      <c r="P25"/>
      <c r="Q25" s="1"/>
      <c r="Y25"/>
      <c r="Z25"/>
      <c r="AA25" s="1"/>
      <c r="AB25" s="1"/>
      <c r="AC25"/>
      <c r="AD25"/>
      <c r="AE25"/>
      <c r="AF25"/>
      <c r="AG25"/>
    </row>
    <row r="26" spans="1:65" x14ac:dyDescent="0.25">
      <c r="C26" s="13" t="str">
        <f>C$6</f>
        <v>12GA</v>
      </c>
      <c r="D26" s="13"/>
      <c r="E26" s="5">
        <f>E$6</f>
        <v>3</v>
      </c>
      <c r="F26" s="19">
        <f>F$6</f>
        <v>0</v>
      </c>
    </row>
    <row r="27" spans="1:65" x14ac:dyDescent="0.25">
      <c r="C27" s="18">
        <f>IF(Cooler_Type="Hammco","7GA",0.25)</f>
        <v>0.25</v>
      </c>
      <c r="D27" s="18"/>
      <c r="E27" s="16">
        <v>3</v>
      </c>
      <c r="F27" s="16">
        <v>0</v>
      </c>
    </row>
    <row r="34" spans="1:9" x14ac:dyDescent="0.25">
      <c r="A34" s="1" t="s">
        <v>149</v>
      </c>
      <c r="B34" t="s">
        <v>58</v>
      </c>
      <c r="C34" t="s">
        <v>94</v>
      </c>
      <c r="E34">
        <v>3</v>
      </c>
      <c r="F34">
        <v>4.375</v>
      </c>
      <c r="G34" t="s">
        <v>118</v>
      </c>
      <c r="H34" t="s">
        <v>118</v>
      </c>
      <c r="I34" t="s">
        <v>32</v>
      </c>
    </row>
  </sheetData>
  <mergeCells count="5">
    <mergeCell ref="BA1:BF2"/>
    <mergeCell ref="AC2:AG2"/>
    <mergeCell ref="BI1:BN2"/>
    <mergeCell ref="D15:E16"/>
    <mergeCell ref="B18:H20"/>
  </mergeCells>
  <conditionalFormatting sqref="D3:D5 D17:E17">
    <cfRule type="expression" dxfId="25" priority="2">
      <formula>$B$5&lt;&gt;"Z"</formula>
    </cfRule>
  </conditionalFormatting>
  <conditionalFormatting sqref="D5 D15">
    <cfRule type="expression" dxfId="24" priority="13">
      <formula>$D$15&lt;&gt;""</formula>
    </cfRule>
  </conditionalFormatting>
  <conditionalFormatting sqref="D6:D14">
    <cfRule type="expression" dxfId="23" priority="14">
      <formula>$B$5&lt;&gt;"Z"</formula>
    </cfRule>
  </conditionalFormatting>
  <conditionalFormatting sqref="E3:E9">
    <cfRule type="expression" dxfId="22" priority="44">
      <formula>$B$5&lt;&gt;"Hammco"</formula>
    </cfRule>
  </conditionalFormatting>
  <conditionalFormatting sqref="E7:E8">
    <cfRule type="expression" dxfId="21" priority="58">
      <formula>AND($B$5&lt;&gt;"Z",$B$5&lt;&gt;"Hammco")</formula>
    </cfRule>
  </conditionalFormatting>
  <conditionalFormatting sqref="E23:E27">
    <cfRule type="expression" dxfId="20" priority="27">
      <formula>AND($B$5&lt;&gt;"Z",$B$5&lt;&gt;"Hammco")</formula>
    </cfRule>
  </conditionalFormatting>
  <conditionalFormatting sqref="F6">
    <cfRule type="expression" dxfId="19" priority="60">
      <formula>AND($B$5&lt;&gt;"Z",#REF! &lt;&gt; "Hammco")</formula>
    </cfRule>
  </conditionalFormatting>
  <conditionalFormatting sqref="F7:F8">
    <cfRule type="expression" dxfId="18" priority="57">
      <formula>AND($B$5&lt;&gt;"Z",#REF! &lt;&gt; "Hammco")</formula>
    </cfRule>
  </conditionalFormatting>
  <conditionalFormatting sqref="F9">
    <cfRule type="expression" dxfId="17" priority="43">
      <formula>AND($B$5&lt;&gt;"Z",$B$5&lt;&gt;"Hammco")</formula>
    </cfRule>
  </conditionalFormatting>
  <conditionalFormatting sqref="F24:F26">
    <cfRule type="expression" dxfId="16" priority="63">
      <formula>AND($B$5&lt;&gt;"Z",#REF! &lt;&gt; "Hammco")</formula>
    </cfRule>
  </conditionalFormatting>
  <conditionalFormatting sqref="F27">
    <cfRule type="expression" dxfId="15" priority="26">
      <formula>AND($B$5&lt;&gt;"Z",$B$5&lt;&gt;"Hammco")</formula>
    </cfRule>
  </conditionalFormatting>
  <conditionalFormatting sqref="H3:H5">
    <cfRule type="expression" dxfId="14" priority="55">
      <formula>$B$5&lt;&gt;"Hammco"</formula>
    </cfRule>
  </conditionalFormatting>
  <conditionalFormatting sqref="H6:H9">
    <cfRule type="expression" dxfId="13" priority="41">
      <formula>$B$5&lt;&gt;"Hammco"</formula>
    </cfRule>
  </conditionalFormatting>
  <conditionalFormatting sqref="H10">
    <cfRule type="expression" dxfId="12" priority="25">
      <formula>AND($B$5&lt;&gt;"Z",#REF! &lt;&gt; "Hammco")</formula>
    </cfRule>
  </conditionalFormatting>
  <conditionalFormatting sqref="H12">
    <cfRule type="expression" dxfId="11" priority="24">
      <formula>AND($B$5&lt;&gt;"Z",#REF! &lt;&gt; "Hammco")</formula>
    </cfRule>
  </conditionalFormatting>
  <conditionalFormatting sqref="I7:Z7 AH7 AJ7 AM7:AN7 AU7 BA7:BD7 AK8">
    <cfRule type="expression" dxfId="10" priority="113">
      <formula>AND($B$5&lt;&gt;"Z",#REF! &lt;&gt; "Hammco")</formula>
    </cfRule>
  </conditionalFormatting>
  <conditionalFormatting sqref="AC10">
    <cfRule type="expression" dxfId="9" priority="19">
      <formula>AND($B$5&lt;&gt;"Z",#REF! &lt;&gt; "Hammco")</formula>
    </cfRule>
  </conditionalFormatting>
  <conditionalFormatting sqref="AC12">
    <cfRule type="expression" dxfId="8" priority="18">
      <formula>AND($B$5&lt;&gt;"Z",#REF! &lt;&gt; "Hammco")</formula>
    </cfRule>
  </conditionalFormatting>
  <conditionalFormatting sqref="AD10:AG10">
    <cfRule type="expression" dxfId="7" priority="5">
      <formula>AND($B$5&lt;&gt;"Z",#REF! &lt;&gt; "Hammco")</formula>
    </cfRule>
  </conditionalFormatting>
  <conditionalFormatting sqref="AD12:AG12">
    <cfRule type="expression" dxfId="6" priority="4">
      <formula>AND($B$5&lt;&gt;"Z",#REF! &lt;&gt; "Hammco")</formula>
    </cfRule>
  </conditionalFormatting>
  <conditionalFormatting sqref="AI5:AI14">
    <cfRule type="expression" dxfId="5" priority="1">
      <formula>$AI5&lt;$AI$16</formula>
    </cfRule>
  </conditionalFormatting>
  <conditionalFormatting sqref="AK6">
    <cfRule type="expression" dxfId="4" priority="50">
      <formula>AND($B$5&lt;&gt;"Z",#REF! &lt;&gt; "Hammco")</formula>
    </cfRule>
  </conditionalFormatting>
  <conditionalFormatting sqref="AK9">
    <cfRule type="expression" dxfId="3" priority="49">
      <formula>AND($B$5&lt;&gt;"Z",#REF! &lt;&gt; "Hammco")</formula>
    </cfRule>
  </conditionalFormatting>
  <conditionalFormatting sqref="AL10">
    <cfRule type="expression" dxfId="2" priority="40">
      <formula>AND($B$5&lt;&gt;"Z",#REF! &lt;&gt; "Hammco")</formula>
    </cfRule>
  </conditionalFormatting>
  <conditionalFormatting sqref="AL12">
    <cfRule type="expression" dxfId="1" priority="39">
      <formula>AND($B$5&lt;&gt;"Z",#REF! &lt;&gt; "Hammco")</formula>
    </cfRule>
  </conditionalFormatting>
  <conditionalFormatting sqref="BI7:BK7">
    <cfRule type="expression" dxfId="0" priority="91">
      <formula>AND($B$5&lt;&gt;"Z",#REF! &lt;&gt; "Hammco")</formula>
    </cfRule>
  </conditionalFormatting>
  <dataValidations xWindow="1042" yWindow="799" count="17">
    <dataValidation errorTitle="SolidWorks Error:" error="The value you have entered is invalid.  Please enter a valid value before continuing." promptTitle="D2@Sketch1" prompt="Enter a valid value for this parameter." sqref="AK6 AU7 AK8:AK9 AH7 AM7:AN7 AJ7:AK7 BI7:BM7 BA7:BD7 I7:Z7" xr:uid="{00000000-0002-0000-0000-000000000000}"/>
    <dataValidation showErrorMessage="1" errorTitle="SolidWorks Error:" error="The value you have entered is invalid.  Please enter a valid value before continuing." promptTitle="Leg@Sketch1" prompt="Enter a valid value for this parameter." sqref="AI5:AJ5 AI6:AI9" xr:uid="{00000000-0002-0000-0000-000001000000}"/>
    <dataValidation type="list" allowBlank="1" showInputMessage="1" showErrorMessage="1" sqref="B5" xr:uid="{00000000-0002-0000-0000-000002000000}">
      <formula1>"EH, H, VI or VV, F, Z, Hammco"</formula1>
    </dataValidation>
    <dataValidation allowBlank="1" errorTitle="SolidWorks Error:" error="The value you have entered is invalid.  Please enter a valid value before continuing." promptTitle="$STATE@Bolt on Option" prompt="Select to suppress or unsuppress the feature_x000a_Possible Options:_x000a_Suppressed_x000a_Unsuppressed_x000a_S = Suppressed_x000a_U = Unsuppressed_x000a_1 = Suppressed_x000a_0 = Unsuppressed" sqref="BL8 BL6:BM6 BM8:BM9 AO5:AO9 BA5:BD5 AD5:AG5 AD7:AD9 AE6:AG6 AE8:AE9 AF7:AG7 AF9 AG8 BI5:BM5 Y5:AB5 AA6:AC9" xr:uid="{00000000-0002-0000-0000-000003000000}"/>
    <dataValidation showInputMessage="1" showErrorMessage="1" errorTitle="SolidWorks Error:" error="The value you have entered is invalid.  Please enter a valid value before continuing." promptTitle="D2@Sketch1" prompt="Enter a valid value for this parameter." sqref="AH5" xr:uid="{00000000-0002-0000-0000-000004000000}"/>
    <dataValidation allowBlank="1" sqref="E5:F9 S5:X5 E23:F27 J5:Q5 C24:D26 C6:C8 D5 AG9 AC5 AD6 AE7 AF8" xr:uid="{00000000-0002-0000-0000-000005000000}"/>
    <dataValidation showInputMessage="1" showErrorMessage="1" errorTitle="SOLIDWORKS Error:" error="The value you have entered is invalid.  Please enter a valid value before continuing." promptTitle="Type@HDR Support Ref" prompt="Enter a valid value for this parameter." sqref="R5" xr:uid="{00000000-0002-0000-0000-000006000000}"/>
    <dataValidation allowBlank="1" promptTitle="$PRP@PartNo" prompt="3X-FIL" sqref="AR5:AR8 AS5:AT9 AY5:AY9 AP5:AQ9" xr:uid="{00000000-0002-0000-0000-000007000000}"/>
    <dataValidation type="list" allowBlank="1" promptTitle="$LIBRARY:MATERIAL@000000_S01c_Fi" prompt="Select a material to apply to this configuration. A valid material entry follows the form 'Library:Material'" sqref="I5" xr:uid="{00000000-0002-0000-0000-000008000000}">
      <formula1>"AXC materials:SA-36"</formula1>
    </dataValidation>
    <dataValidation allowBlank="1" showErrorMessage="1" sqref="AM5:AN5" xr:uid="{00000000-0002-0000-0000-000009000000}"/>
    <dataValidation allowBlank="1" promptTitle="$PRP@PartNo" prompt="3F-BOX" sqref="AU5" xr:uid="{00000000-0002-0000-0000-00000A000000}"/>
    <dataValidation type="list" allowBlank="1" sqref="G7 G5:H5" xr:uid="{00000000-0002-0000-0000-00000B000000}">
      <formula1>"Yes,No"</formula1>
    </dataValidation>
    <dataValidation showErrorMessage="1" errorTitle="SOLIDWORKS Error:" error="The value you have entered is invalid.  Please enter a valid value before continuing." promptTitle="D2@Sketch16" prompt="Enter a valid value for this parameter." sqref="AL6:AL9 AK5:AL5" xr:uid="{00000000-0002-0000-0000-00000C000000}"/>
    <dataValidation type="list" allowBlank="1" showErrorMessage="1" errorTitle="SOLIDWORKS Error:" error="The value you have entered is invalid.  Please enter a valid value before continuing." promptTitle="$State@Coincident3@Sketch17" prompt="Select to suppress or unsuppress the feature_x000a_Possible Options:_x000a_Suppressed_x000a_Unsuppressed_x000a_S = Suppressed_x000a_U = Unsuppressed_x000a_1 = Suppressed_x000a_0 = Unsuppressed" sqref="BL9" xr:uid="{00000000-0002-0000-0000-00000D000000}">
      <formula1>"SUPPRESSED,UNSUPPRESSED,S,U,1,0"</formula1>
    </dataValidation>
    <dataValidation type="list" allowBlank="1" sqref="C9 C27:D27 C23:D23 C5" xr:uid="{00000000-0002-0000-0000-000010000000}">
      <formula1>Filler_Thickness_List</formula1>
    </dataValidation>
    <dataValidation allowBlank="1" promptTitle="$PRP@DESCRIPTION" prompt="FILLER PANEL, MID" sqref="AR9" xr:uid="{00000000-0002-0000-0000-000011000000}"/>
    <dataValidation type="list" allowBlank="1" showInputMessage="1" promptTitle="$Parent" prompt="Select the configuration name." sqref="AV9 AV8 AV7 AV6 AV5" xr:uid="{00000000-0002-0000-0000-000012000000}">
      <formula1>"Front,FrontSM-FLAT-PATTERN,Rear,RearSM-FLAT-PATTERN,Top Front,Top FrontSM-FLAT-PATTERN,Top Rear,Top RearSM-FLAT-PATTERN,Mid,MidSM-FLAT-PATTERN"</formula1>
    </dataValidation>
  </dataValidations>
  <pageMargins left="0.7" right="0.7" top="0.75" bottom="0.75" header="0.3" footer="0.3"/>
  <pageSetup orientation="portrait" r:id="rId1"/>
  <ignoredErrors>
    <ignoredError sqref="AU10 AH10:AJ10 AH8 AU8 E10:F10 D8:F8 AP14 AI6:AK6 B10 AP10:AP12 AM6:AM10 AL10 AI8:AK9 AI7:AJ7 H8:M8 I10:Y10 Q8:Y8 C8:C9 BA10:BD10 BI10:BM10 AN10 AC5:AG10 AA1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workbookViewId="0">
      <selection activeCell="B8" sqref="B8"/>
    </sheetView>
  </sheetViews>
  <sheetFormatPr defaultRowHeight="15" x14ac:dyDescent="0.25"/>
  <cols>
    <col min="1" max="1" width="17.42578125" bestFit="1" customWidth="1"/>
    <col min="2" max="2" width="14.28515625" style="2" customWidth="1"/>
    <col min="3" max="3" width="25.140625" bestFit="1" customWidth="1"/>
    <col min="4" max="4" width="12.140625" customWidth="1"/>
    <col min="5" max="5" width="10.42578125" bestFit="1" customWidth="1"/>
    <col min="19" max="19" width="26.140625" bestFit="1" customWidth="1"/>
  </cols>
  <sheetData>
    <row r="1" spans="1:4" x14ac:dyDescent="0.25">
      <c r="A1" t="s">
        <v>19</v>
      </c>
    </row>
    <row r="2" spans="1:4" x14ac:dyDescent="0.25">
      <c r="A2" s="2">
        <v>1</v>
      </c>
      <c r="B2" s="2">
        <v>2</v>
      </c>
      <c r="C2" s="2"/>
    </row>
    <row r="3" spans="1:4" x14ac:dyDescent="0.25">
      <c r="B3" s="2" t="s">
        <v>2</v>
      </c>
    </row>
    <row r="4" spans="1:4" x14ac:dyDescent="0.25">
      <c r="A4" s="26" t="s">
        <v>7</v>
      </c>
      <c r="B4" s="16">
        <v>1.5</v>
      </c>
      <c r="C4" s="26" t="s">
        <v>17</v>
      </c>
    </row>
    <row r="5" spans="1:4" x14ac:dyDescent="0.25">
      <c r="A5" s="26" t="s">
        <v>8</v>
      </c>
      <c r="B5" s="16">
        <v>2.25</v>
      </c>
      <c r="C5" s="26" t="s">
        <v>17</v>
      </c>
    </row>
    <row r="6" spans="1:4" x14ac:dyDescent="0.25">
      <c r="A6" s="26" t="s">
        <v>9</v>
      </c>
      <c r="B6" s="16">
        <v>2</v>
      </c>
      <c r="C6" s="26" t="s">
        <v>17</v>
      </c>
    </row>
    <row r="7" spans="1:4" x14ac:dyDescent="0.25">
      <c r="A7" s="26" t="s">
        <v>10</v>
      </c>
      <c r="B7" s="16">
        <f>ABS(Tube_Length-SF_Length-9)/2</f>
        <v>3.3124999999998295</v>
      </c>
      <c r="C7" s="26" t="s">
        <v>17</v>
      </c>
      <c r="D7" t="s">
        <v>12</v>
      </c>
    </row>
    <row r="8" spans="1:4" x14ac:dyDescent="0.25">
      <c r="A8" s="26" t="s">
        <v>11</v>
      </c>
      <c r="B8" s="27">
        <f>(((ROUND(Tube_Length,6)-(ROUND(TP_Thickness,6)*2)-0.375)-Col_CL_to_CL)/2)+1</f>
        <v>247.6875</v>
      </c>
      <c r="C8" s="26" t="s">
        <v>17</v>
      </c>
      <c r="D8" t="s">
        <v>130</v>
      </c>
    </row>
    <row r="9" spans="1:4" x14ac:dyDescent="0.25">
      <c r="A9" s="26" t="s">
        <v>58</v>
      </c>
      <c r="B9" s="27">
        <f>Sheet1!$E$5</f>
        <v>3</v>
      </c>
      <c r="C9" s="26" t="s">
        <v>17</v>
      </c>
    </row>
    <row r="10" spans="1:4" x14ac:dyDescent="0.25">
      <c r="A10" s="26" t="s">
        <v>16</v>
      </c>
      <c r="B10" s="16"/>
      <c r="C10" s="26"/>
    </row>
    <row r="12" spans="1:4" x14ac:dyDescent="0.25">
      <c r="A12" t="s">
        <v>18</v>
      </c>
    </row>
    <row r="13" spans="1:4" s="2" customFormat="1" x14ac:dyDescent="0.25">
      <c r="A13" s="2">
        <v>1</v>
      </c>
      <c r="B13" s="2">
        <v>2</v>
      </c>
      <c r="C13" s="2">
        <v>3</v>
      </c>
      <c r="D13" s="2">
        <v>4</v>
      </c>
    </row>
    <row r="14" spans="1:4" s="2" customFormat="1" x14ac:dyDescent="0.25">
      <c r="A14" s="2" t="s">
        <v>20</v>
      </c>
      <c r="B14" s="2" t="s">
        <v>21</v>
      </c>
      <c r="C14" s="2" t="s">
        <v>22</v>
      </c>
    </row>
    <row r="15" spans="1:4" x14ac:dyDescent="0.25">
      <c r="A15" s="26">
        <v>1</v>
      </c>
      <c r="B15" s="26" t="s">
        <v>13</v>
      </c>
      <c r="C15" s="16">
        <v>1E-4</v>
      </c>
      <c r="D15" s="26" t="s">
        <v>17</v>
      </c>
    </row>
    <row r="16" spans="1:4" x14ac:dyDescent="0.25">
      <c r="A16" s="26">
        <v>1.5</v>
      </c>
      <c r="B16" s="26" t="s">
        <v>13</v>
      </c>
      <c r="C16" s="16">
        <v>1E-4</v>
      </c>
      <c r="D16" s="26" t="s">
        <v>17</v>
      </c>
    </row>
    <row r="17" spans="1:8" x14ac:dyDescent="0.25">
      <c r="A17" s="26">
        <v>2</v>
      </c>
      <c r="B17" s="26" t="s">
        <v>14</v>
      </c>
      <c r="C17" s="16">
        <v>0.75</v>
      </c>
      <c r="D17" s="26" t="s">
        <v>17</v>
      </c>
    </row>
    <row r="18" spans="1:8" x14ac:dyDescent="0.25">
      <c r="A18" s="26">
        <v>3</v>
      </c>
      <c r="B18" s="26" t="s">
        <v>15</v>
      </c>
      <c r="C18" s="16">
        <v>0.9375</v>
      </c>
      <c r="D18" s="26" t="s">
        <v>17</v>
      </c>
    </row>
    <row r="19" spans="1:8" x14ac:dyDescent="0.25">
      <c r="A19" s="26" t="s">
        <v>16</v>
      </c>
      <c r="B19" s="16"/>
      <c r="C19" s="16"/>
      <c r="D19" s="26"/>
    </row>
    <row r="21" spans="1:8" x14ac:dyDescent="0.25">
      <c r="A21" t="s">
        <v>91</v>
      </c>
    </row>
    <row r="22" spans="1:8" x14ac:dyDescent="0.25">
      <c r="A22" t="s">
        <v>92</v>
      </c>
      <c r="B22" s="2" t="s">
        <v>114</v>
      </c>
      <c r="C22" t="s">
        <v>115</v>
      </c>
      <c r="D22" t="s">
        <v>113</v>
      </c>
    </row>
    <row r="23" spans="1:8" x14ac:dyDescent="0.25">
      <c r="A23" s="2">
        <v>1</v>
      </c>
      <c r="B23" s="2">
        <v>2</v>
      </c>
      <c r="C23" s="2">
        <v>3</v>
      </c>
      <c r="D23" s="2">
        <v>4</v>
      </c>
      <c r="E23" s="2">
        <v>5</v>
      </c>
    </row>
    <row r="24" spans="1:8" x14ac:dyDescent="0.25">
      <c r="A24" s="26">
        <v>0.17929999999999999</v>
      </c>
      <c r="B24" s="28" t="str">
        <f>A34</f>
        <v>7GA</v>
      </c>
      <c r="C24" s="29" t="str">
        <f>"SHEET, "&amp;B24</f>
        <v>SHEET, 7GA</v>
      </c>
      <c r="D24" s="31" t="s">
        <v>112</v>
      </c>
      <c r="E24" s="26" t="s">
        <v>17</v>
      </c>
      <c r="H24" t="s">
        <v>99</v>
      </c>
    </row>
    <row r="25" spans="1:8" x14ac:dyDescent="0.25">
      <c r="A25" s="26">
        <v>0.13450000000000001</v>
      </c>
      <c r="B25" s="28" t="str">
        <f t="shared" ref="B25:B27" si="0">A35</f>
        <v>10GA</v>
      </c>
      <c r="C25" s="29" t="str">
        <f t="shared" ref="C25:C27" si="1">"SHEET, "&amp;B25</f>
        <v>SHEET, 10GA</v>
      </c>
      <c r="D25" s="31" t="s">
        <v>110</v>
      </c>
      <c r="E25" s="26" t="s">
        <v>17</v>
      </c>
      <c r="H25" s="26" t="str">
        <f>A34</f>
        <v>7GA</v>
      </c>
    </row>
    <row r="26" spans="1:8" x14ac:dyDescent="0.25">
      <c r="A26" s="26">
        <v>0.1046</v>
      </c>
      <c r="B26" s="28" t="str">
        <f t="shared" si="0"/>
        <v>12GA</v>
      </c>
      <c r="C26" s="29" t="str">
        <f t="shared" si="1"/>
        <v>SHEET, 12GA</v>
      </c>
      <c r="D26" s="31" t="s">
        <v>111</v>
      </c>
      <c r="E26" s="26" t="s">
        <v>17</v>
      </c>
      <c r="H26" s="26" t="str">
        <f>A36</f>
        <v>12GA</v>
      </c>
    </row>
    <row r="27" spans="1:8" x14ac:dyDescent="0.25">
      <c r="A27" s="26">
        <v>7.4700000000000003E-2</v>
      </c>
      <c r="B27" s="28" t="str">
        <f t="shared" si="0"/>
        <v>14GA</v>
      </c>
      <c r="C27" s="29" t="str">
        <f t="shared" si="1"/>
        <v>SHEET, 14GA</v>
      </c>
      <c r="D27" s="31" t="s">
        <v>109</v>
      </c>
      <c r="E27" s="26" t="s">
        <v>17</v>
      </c>
      <c r="H27" s="26">
        <v>0.25</v>
      </c>
    </row>
    <row r="28" spans="1:8" x14ac:dyDescent="0.25">
      <c r="A28" s="26" t="s">
        <v>90</v>
      </c>
      <c r="B28" s="26" t="s">
        <v>90</v>
      </c>
      <c r="C28" s="26" t="s">
        <v>90</v>
      </c>
      <c r="D28" s="26"/>
      <c r="E28" s="26" t="s">
        <v>90</v>
      </c>
      <c r="H28" s="26" t="s">
        <v>90</v>
      </c>
    </row>
    <row r="29" spans="1:8" x14ac:dyDescent="0.25">
      <c r="B29"/>
    </row>
    <row r="30" spans="1:8" x14ac:dyDescent="0.25">
      <c r="B30"/>
    </row>
    <row r="31" spans="1:8" x14ac:dyDescent="0.25">
      <c r="A31" t="s">
        <v>89</v>
      </c>
    </row>
    <row r="32" spans="1:8" x14ac:dyDescent="0.25">
      <c r="A32" t="s">
        <v>93</v>
      </c>
      <c r="B32" s="2" t="s">
        <v>105</v>
      </c>
      <c r="C32" t="s">
        <v>104</v>
      </c>
      <c r="D32" t="s">
        <v>113</v>
      </c>
    </row>
    <row r="33" spans="1:5" x14ac:dyDescent="0.25">
      <c r="A33" s="2">
        <v>1</v>
      </c>
      <c r="B33" s="2">
        <v>2</v>
      </c>
      <c r="C33" s="2">
        <v>3</v>
      </c>
      <c r="D33" s="2">
        <v>4</v>
      </c>
      <c r="E33" s="2">
        <v>5</v>
      </c>
    </row>
    <row r="34" spans="1:5" x14ac:dyDescent="0.25">
      <c r="A34" s="16" t="s">
        <v>94</v>
      </c>
      <c r="B34" s="29">
        <f>A24</f>
        <v>0.17929999999999999</v>
      </c>
      <c r="C34" s="29" t="str">
        <f>"SHEET, "&amp;A34</f>
        <v>SHEET, 7GA</v>
      </c>
      <c r="D34" s="29" t="str">
        <f>D24</f>
        <v>ST1000</v>
      </c>
      <c r="E34" s="26" t="s">
        <v>17</v>
      </c>
    </row>
    <row r="35" spans="1:5" x14ac:dyDescent="0.25">
      <c r="A35" s="16" t="s">
        <v>95</v>
      </c>
      <c r="B35" s="29">
        <f>A25</f>
        <v>0.13450000000000001</v>
      </c>
      <c r="C35" s="29" t="str">
        <f t="shared" ref="C35:C37" si="2">"SHEET, "&amp;A35</f>
        <v>SHEET, 10GA</v>
      </c>
      <c r="D35" s="29" t="str">
        <f t="shared" ref="D35:D37" si="3">D25</f>
        <v>ST1010</v>
      </c>
      <c r="E35" s="26" t="s">
        <v>17</v>
      </c>
    </row>
    <row r="36" spans="1:5" x14ac:dyDescent="0.25">
      <c r="A36" s="16" t="s">
        <v>96</v>
      </c>
      <c r="B36" s="29">
        <f>A26</f>
        <v>0.1046</v>
      </c>
      <c r="C36" s="29" t="str">
        <f t="shared" si="2"/>
        <v>SHEET, 12GA</v>
      </c>
      <c r="D36" s="29" t="str">
        <f t="shared" si="3"/>
        <v>ST1020</v>
      </c>
      <c r="E36" s="26" t="s">
        <v>17</v>
      </c>
    </row>
    <row r="37" spans="1:5" x14ac:dyDescent="0.25">
      <c r="A37" s="16" t="s">
        <v>97</v>
      </c>
      <c r="B37" s="29">
        <f>A27</f>
        <v>7.4700000000000003E-2</v>
      </c>
      <c r="C37" s="29" t="str">
        <f t="shared" si="2"/>
        <v>SHEET, 14GA</v>
      </c>
      <c r="D37" s="29" t="str">
        <f t="shared" si="3"/>
        <v>ST1014</v>
      </c>
      <c r="E37" s="26" t="s">
        <v>17</v>
      </c>
    </row>
    <row r="38" spans="1:5" x14ac:dyDescent="0.25">
      <c r="A38" s="26" t="s">
        <v>90</v>
      </c>
      <c r="B38" s="26" t="s">
        <v>90</v>
      </c>
      <c r="C38" s="26" t="s">
        <v>90</v>
      </c>
      <c r="D38" s="26"/>
      <c r="E38" s="26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Sheet1</vt:lpstr>
      <vt:lpstr>Data</vt:lpstr>
      <vt:lpstr>Col_CL_to_CL</vt:lpstr>
      <vt:lpstr>Cooler_Type</vt:lpstr>
      <vt:lpstr>Cooler_Type_List</vt:lpstr>
      <vt:lpstr>Cooler_Type_Table</vt:lpstr>
      <vt:lpstr>Family</vt:lpstr>
      <vt:lpstr>Filler_Thickness_List</vt:lpstr>
      <vt:lpstr>Guage_List</vt:lpstr>
      <vt:lpstr>Guage_Table</vt:lpstr>
      <vt:lpstr>Header_Type_Table</vt:lpstr>
      <vt:lpstr>SF_Length</vt:lpstr>
      <vt:lpstr>Sheet_List</vt:lpstr>
      <vt:lpstr>Sheet_Table</vt:lpstr>
      <vt:lpstr>TP_Thickness</vt:lpstr>
      <vt:lpstr>Tube_Length</vt:lpstr>
    </vt:vector>
  </TitlesOfParts>
  <Company>Harsco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Stietz</dc:creator>
  <cp:lastModifiedBy>Tietz, Steven</cp:lastModifiedBy>
  <dcterms:created xsi:type="dcterms:W3CDTF">2014-07-13T05:52:58Z</dcterms:created>
  <dcterms:modified xsi:type="dcterms:W3CDTF">2023-10-31T18:07:49Z</dcterms:modified>
</cp:coreProperties>
</file>