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xr:revisionPtr revIDLastSave="0" documentId="8_{F684B462-E188-480A-BD81-0CCCA3740B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Data" sheetId="2" state="hidden" r:id="rId2"/>
  </sheets>
  <definedNames>
    <definedName name="Additional_Tubes_SS">Sheet1!$Z$6</definedName>
    <definedName name="Bevel_Angle">Sheet1!$DT$6</definedName>
    <definedName name="Bevel_Type">Sheet1!$F$6</definedName>
    <definedName name="Bottom_Row_Type">Sheet1!$CZ$6</definedName>
    <definedName name="BWG_Table">Data!$BP$6:$BQ$19</definedName>
    <definedName name="End_Drill">Sheet1!$AE$6</definedName>
    <definedName name="End_Plate_Thk">Sheet1!$W$6</definedName>
    <definedName name="End_Plate_Thk_Rear">Sheet1!$W$8</definedName>
    <definedName name="ErrorMSG1">Sheet1!$F$11</definedName>
    <definedName name="Extra_length_4_Beasley_MFG?">Sheet1!$EA$7</definedName>
    <definedName name="Family">Sheet1!$A$5</definedName>
    <definedName name="Fan_Shaft_Angle">Sheet1!$FL$6</definedName>
    <definedName name="Fan_Shaft_Angle_ShortLeg">Sheet1!$FM$6</definedName>
    <definedName name="Fin_Dia">Sheet1!$CD$6</definedName>
    <definedName name="Half_Tube_Face">Sheet1!$Q$6</definedName>
    <definedName name="Half_Tube_Face_SS">Sheet1!$AB$6</definedName>
    <definedName name="Header_Length">Sheet1!$AH$6</definedName>
    <definedName name="Header_Type">Sheet1!$E$6</definedName>
    <definedName name="Header_Type_List">Data!$AD$4:$AD$7</definedName>
    <definedName name="Header_Type_Number">Sheet1!$AM$6</definedName>
    <definedName name="Header_Type_Table">Data!$AD$4:$AH$8</definedName>
    <definedName name="Height_of_all_Rows">Sheet1!$DC$6</definedName>
    <definedName name="Hole_Table">Data!$AU$4:$BJ$10</definedName>
    <definedName name="HWSizes_List">Data!$B$4:$B$9</definedName>
    <definedName name="JBevel_Land">Sheet1!$DV$6</definedName>
    <definedName name="Length_of_Long_Row">Sheet1!$CX$6</definedName>
    <definedName name="Length_of_Long_Row_SS">Sheet1!$DD$6</definedName>
    <definedName name="Length_of_Short_Row">Sheet1!$CY$6</definedName>
    <definedName name="Length_of_Short_Row_SS">Sheet1!$DE$6</definedName>
    <definedName name="Lethal?">Sheet1!$G$6</definedName>
    <definedName name="Material_List">Data!$J$4:$J$14</definedName>
    <definedName name="Material_Table">Data!$J$4:$L$14</definedName>
    <definedName name="Material_Type">Sheet1!$D$6</definedName>
    <definedName name="MFG_Method">Sheet1!$J$6</definedName>
    <definedName name="MFG_Method_List">Data!$BX$4:$BX$6</definedName>
    <definedName name="MFG_Method_Table">Data!$BX$4:$BZ$6</definedName>
    <definedName name="Pitch">Sheet1!$AG$6</definedName>
    <definedName name="Pitch_Actual">Sheet1!#REF!</definedName>
    <definedName name="Possible_Tab_QTY">Sheet1!#REF!</definedName>
    <definedName name="Possible_Tab_Spacing">Sheet1!#REF!</definedName>
    <definedName name="PreDrill_Hole_Dia">Sheet1!$BV$6</definedName>
    <definedName name="ProductLine">Sheet1!$B$6</definedName>
    <definedName name="QTY_in_Long_Row">Sheet1!$O$6</definedName>
    <definedName name="QTY_in_Long_Row_Pattern">Sheet1!$CL$6</definedName>
    <definedName name="QTY_in_Long_Row_SS">Sheet1!$Y$6</definedName>
    <definedName name="QTY_in_Long_Row_SS_Pattern">Sheet1!$CT$6</definedName>
    <definedName name="QTY_in_Short_Row_Pattern">Sheet1!$CM$6</definedName>
    <definedName name="QTY_in_Short_Row_SS_Pattern">Sheet1!$CU$6</definedName>
    <definedName name="QTY_of_Long_Rows_Actual">Sheet1!$CN$6</definedName>
    <definedName name="QTY_of_Short_Rows_Actual">Sheet1!$CO$6</definedName>
    <definedName name="Raw_Fin_Table">Data!$AQ$4:$AS$6</definedName>
    <definedName name="Shaft_Split?">Sheet1!#REF!</definedName>
    <definedName name="Short_Row_Additional_Tubes_SS">Sheet1!#REF!</definedName>
    <definedName name="Side_Frame_Sizes_List">Data!$AJ$4:$AJ$10</definedName>
    <definedName name="Side_Frame_Table">Data!$AJ$4:$AO$10</definedName>
    <definedName name="Slide_Pad_Configs">Data!$D$4:$D$7</definedName>
    <definedName name="SS_1">Sheet1!$X$6</definedName>
    <definedName name="SS_2">Sheet1!#REF!</definedName>
    <definedName name="SSS_After_Tube">Sheet1!$AC$6</definedName>
    <definedName name="SSS_After_Tube_Adjustment">Sheet1!$AC$11</definedName>
    <definedName name="SSS_After_Tube_Adjustment_SS">Sheet1!$AD$11</definedName>
    <definedName name="SSS_After_Tube_SS">Sheet1!$AD$6</definedName>
    <definedName name="Structural_Tube_Size_List">Data!$CD$4:$CD$267</definedName>
    <definedName name="Structural_Tube_Size_Table">Data!$CD$4:$CI$267</definedName>
    <definedName name="T_and_P_Span_Front">Sheet1!$U$6</definedName>
    <definedName name="T_and_P_Span_Rear">Sheet1!$U$8</definedName>
    <definedName name="T_and_P_Thk">Sheet1!$T$6</definedName>
    <definedName name="T_and_P_Thk_Rear">Sheet1!$T$8</definedName>
    <definedName name="Tab_Pattern_Length">Sheet1!#REF!</definedName>
    <definedName name="Tab_QTY">Sheet1!#REF!</definedName>
    <definedName name="Top_Drill">Sheet1!$AF$6</definedName>
    <definedName name="Total_No_of_Rows">Sheet1!$P$6</definedName>
    <definedName name="TP_Chamfer_Angle">Data!$O$4:$Q$25</definedName>
    <definedName name="TP_Chamfer_Angle_SS">Data!$T$4:$V$25</definedName>
    <definedName name="TP_Land">Sheet1!$T$11</definedName>
    <definedName name="TP_Land_Rear">Sheet1!$T$12</definedName>
    <definedName name="TPW_Cham_Ang_at_EndPlate">Data!$Y$4:$AA$10</definedName>
    <definedName name="Tube_Connection_Type">Sheet1!$H$6</definedName>
    <definedName name="Tube_Connection_Type_List">Data!$BL$5:$BL$8</definedName>
    <definedName name="Tube_Connection_Type_Table">Data!$BL$5:$BN$8</definedName>
    <definedName name="Tube_Dia">Sheet1!$CC$6</definedName>
    <definedName name="Tube_Hole_Chamfer_OD">Sheet1!$K$6</definedName>
    <definedName name="Tube_Hole_Chamfer_Size">Sheet1!#REF!</definedName>
    <definedName name="Tube_Material_List">Data!$H$4:$H$9</definedName>
    <definedName name="Tube_Size">Sheet1!$L$6</definedName>
    <definedName name="Tube_Size_List">Data!$AU$4:$AU$10</definedName>
    <definedName name="Tube_Types_List">Data!$F$4:$F$8</definedName>
    <definedName name="Tube_Wall_Thk">Sheet1!$N$6</definedName>
    <definedName name="Tube_Wall_Thk_List">Data!$BP$6:$BP$19</definedName>
    <definedName name="Tubes_Reamed?">Sheet1!$R$6</definedName>
    <definedName name="Vertical_Pitch">Sheet1!$CE$6</definedName>
    <definedName name="Welding_Method">Sheet1!$I$6</definedName>
    <definedName name="Welding_Method_List">Data!$CB$4:$CB$6</definedName>
    <definedName name="Wrapper_Span">Sheet1!$V$6</definedName>
    <definedName name="Wrapper_Span_Rear">Sheet1!$V$8</definedName>
    <definedName name="Wrapper_Thk">Sheet1!$S$6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H266" i="2" l="1"/>
  <c r="CD266" i="2"/>
  <c r="CH265" i="2"/>
  <c r="CD265" i="2"/>
  <c r="CH264" i="2"/>
  <c r="CD264" i="2"/>
  <c r="CH263" i="2"/>
  <c r="CD263" i="2"/>
  <c r="CH262" i="2"/>
  <c r="CD262" i="2"/>
  <c r="CH261" i="2"/>
  <c r="CD261" i="2"/>
  <c r="CH260" i="2"/>
  <c r="CD260" i="2"/>
  <c r="CH259" i="2"/>
  <c r="CD259" i="2"/>
  <c r="CH258" i="2"/>
  <c r="CD258" i="2"/>
  <c r="CH257" i="2"/>
  <c r="CD257" i="2"/>
  <c r="CH256" i="2"/>
  <c r="CD256" i="2"/>
  <c r="CH255" i="2"/>
  <c r="CD255" i="2"/>
  <c r="CH254" i="2"/>
  <c r="CD254" i="2"/>
  <c r="CH253" i="2"/>
  <c r="CD253" i="2"/>
  <c r="CH252" i="2"/>
  <c r="CD252" i="2"/>
  <c r="CH251" i="2"/>
  <c r="CD251" i="2"/>
  <c r="CH250" i="2"/>
  <c r="CD250" i="2"/>
  <c r="CH249" i="2"/>
  <c r="CD249" i="2"/>
  <c r="CH248" i="2"/>
  <c r="CD248" i="2"/>
  <c r="CH247" i="2"/>
  <c r="CD247" i="2"/>
  <c r="CH246" i="2"/>
  <c r="CD246" i="2"/>
  <c r="CH245" i="2"/>
  <c r="CD245" i="2"/>
  <c r="CH244" i="2"/>
  <c r="CD244" i="2"/>
  <c r="CH243" i="2"/>
  <c r="CD243" i="2"/>
  <c r="CH242" i="2"/>
  <c r="CD242" i="2"/>
  <c r="CH241" i="2"/>
  <c r="CD241" i="2"/>
  <c r="CH240" i="2"/>
  <c r="CD240" i="2"/>
  <c r="CH239" i="2"/>
  <c r="CD239" i="2"/>
  <c r="CH238" i="2"/>
  <c r="CD238" i="2"/>
  <c r="CH237" i="2"/>
  <c r="CD237" i="2"/>
  <c r="CH236" i="2"/>
  <c r="CD236" i="2"/>
  <c r="CH235" i="2"/>
  <c r="CD235" i="2"/>
  <c r="CH234" i="2"/>
  <c r="CD234" i="2"/>
  <c r="CH233" i="2"/>
  <c r="CD233" i="2"/>
  <c r="CH232" i="2"/>
  <c r="CD232" i="2"/>
  <c r="CH231" i="2"/>
  <c r="CD231" i="2"/>
  <c r="CH230" i="2"/>
  <c r="CD230" i="2"/>
  <c r="CH229" i="2"/>
  <c r="CD229" i="2"/>
  <c r="CH228" i="2"/>
  <c r="CD228" i="2"/>
  <c r="CH227" i="2"/>
  <c r="CD227" i="2"/>
  <c r="CH226" i="2"/>
  <c r="CD226" i="2"/>
  <c r="CH225" i="2"/>
  <c r="CD225" i="2"/>
  <c r="CH224" i="2"/>
  <c r="CD224" i="2"/>
  <c r="CH223" i="2"/>
  <c r="CD223" i="2"/>
  <c r="CH222" i="2"/>
  <c r="CD222" i="2"/>
  <c r="CH221" i="2"/>
  <c r="CD221" i="2"/>
  <c r="CH220" i="2"/>
  <c r="CD220" i="2"/>
  <c r="CH219" i="2"/>
  <c r="CD219" i="2"/>
  <c r="CH218" i="2"/>
  <c r="CD218" i="2"/>
  <c r="CH217" i="2"/>
  <c r="CD217" i="2"/>
  <c r="CH216" i="2"/>
  <c r="CD216" i="2"/>
  <c r="CH215" i="2"/>
  <c r="CD215" i="2"/>
  <c r="CH214" i="2"/>
  <c r="CD214" i="2"/>
  <c r="CH213" i="2"/>
  <c r="CD213" i="2"/>
  <c r="CH212" i="2"/>
  <c r="CD212" i="2"/>
  <c r="CH211" i="2"/>
  <c r="CD211" i="2"/>
  <c r="CH210" i="2"/>
  <c r="CD210" i="2"/>
  <c r="CH209" i="2"/>
  <c r="CD209" i="2"/>
  <c r="CH208" i="2"/>
  <c r="CD208" i="2"/>
  <c r="CH207" i="2"/>
  <c r="CD207" i="2"/>
  <c r="CH206" i="2"/>
  <c r="CD206" i="2"/>
  <c r="CH205" i="2"/>
  <c r="CD205" i="2"/>
  <c r="CH204" i="2"/>
  <c r="CD204" i="2"/>
  <c r="CH203" i="2"/>
  <c r="CD203" i="2"/>
  <c r="CH202" i="2"/>
  <c r="CD202" i="2"/>
  <c r="CH201" i="2"/>
  <c r="CD201" i="2"/>
  <c r="CH200" i="2"/>
  <c r="CD200" i="2"/>
  <c r="CH199" i="2"/>
  <c r="CD199" i="2"/>
  <c r="CH198" i="2"/>
  <c r="CD198" i="2"/>
  <c r="CH197" i="2"/>
  <c r="CD197" i="2"/>
  <c r="CH196" i="2"/>
  <c r="CD196" i="2"/>
  <c r="CH195" i="2"/>
  <c r="CD195" i="2"/>
  <c r="CH194" i="2"/>
  <c r="CD194" i="2"/>
  <c r="CH193" i="2"/>
  <c r="CD193" i="2"/>
  <c r="CH192" i="2"/>
  <c r="CD192" i="2"/>
  <c r="CH191" i="2"/>
  <c r="CD191" i="2"/>
  <c r="CH190" i="2"/>
  <c r="CD190" i="2"/>
  <c r="CH189" i="2"/>
  <c r="CD189" i="2"/>
  <c r="CH188" i="2"/>
  <c r="CD188" i="2"/>
  <c r="CH187" i="2"/>
  <c r="CD187" i="2"/>
  <c r="CH186" i="2"/>
  <c r="CD186" i="2"/>
  <c r="CH185" i="2"/>
  <c r="CD185" i="2"/>
  <c r="CH184" i="2"/>
  <c r="CD184" i="2"/>
  <c r="CH183" i="2"/>
  <c r="CD183" i="2"/>
  <c r="CH182" i="2"/>
  <c r="CD182" i="2"/>
  <c r="CH181" i="2"/>
  <c r="CD181" i="2"/>
  <c r="CH180" i="2"/>
  <c r="CD180" i="2"/>
  <c r="CH179" i="2"/>
  <c r="CD179" i="2"/>
  <c r="CH178" i="2"/>
  <c r="CD178" i="2"/>
  <c r="CH177" i="2"/>
  <c r="CD177" i="2"/>
  <c r="CH176" i="2"/>
  <c r="CD176" i="2"/>
  <c r="CH175" i="2"/>
  <c r="CD175" i="2"/>
  <c r="CH174" i="2"/>
  <c r="CD174" i="2"/>
  <c r="CH173" i="2"/>
  <c r="CD173" i="2"/>
  <c r="CH172" i="2"/>
  <c r="CD172" i="2"/>
  <c r="CH171" i="2"/>
  <c r="CD171" i="2"/>
  <c r="CH170" i="2"/>
  <c r="CD170" i="2"/>
  <c r="CH169" i="2"/>
  <c r="CD169" i="2"/>
  <c r="CH168" i="2"/>
  <c r="CD168" i="2"/>
  <c r="CH167" i="2"/>
  <c r="CD167" i="2"/>
  <c r="CH166" i="2"/>
  <c r="CD166" i="2"/>
  <c r="CH165" i="2"/>
  <c r="CD165" i="2"/>
  <c r="CH164" i="2"/>
  <c r="CD164" i="2"/>
  <c r="CH163" i="2"/>
  <c r="CD163" i="2"/>
  <c r="CH162" i="2"/>
  <c r="CD162" i="2"/>
  <c r="CH161" i="2"/>
  <c r="CD161" i="2"/>
  <c r="CH160" i="2"/>
  <c r="CD160" i="2"/>
  <c r="CH159" i="2"/>
  <c r="CD159" i="2"/>
  <c r="CH158" i="2"/>
  <c r="CD158" i="2"/>
  <c r="CH157" i="2"/>
  <c r="CD157" i="2"/>
  <c r="CH156" i="2"/>
  <c r="CD156" i="2"/>
  <c r="CH155" i="2"/>
  <c r="CD155" i="2"/>
  <c r="CH154" i="2"/>
  <c r="CD154" i="2"/>
  <c r="CH153" i="2"/>
  <c r="CD153" i="2"/>
  <c r="CH152" i="2"/>
  <c r="CD152" i="2"/>
  <c r="CH151" i="2"/>
  <c r="CD151" i="2"/>
  <c r="CH150" i="2"/>
  <c r="CD150" i="2"/>
  <c r="CH149" i="2"/>
  <c r="CD149" i="2"/>
  <c r="CH148" i="2"/>
  <c r="CD148" i="2"/>
  <c r="CH147" i="2"/>
  <c r="CD147" i="2"/>
  <c r="CH146" i="2"/>
  <c r="CD146" i="2"/>
  <c r="CH145" i="2"/>
  <c r="CD145" i="2"/>
  <c r="CH144" i="2"/>
  <c r="CD144" i="2"/>
  <c r="CH143" i="2"/>
  <c r="CD143" i="2"/>
  <c r="CH142" i="2"/>
  <c r="CD142" i="2"/>
  <c r="CH141" i="2"/>
  <c r="CD141" i="2"/>
  <c r="CH140" i="2"/>
  <c r="CD140" i="2"/>
  <c r="CH139" i="2"/>
  <c r="CD139" i="2"/>
  <c r="CH138" i="2"/>
  <c r="CD138" i="2"/>
  <c r="CH137" i="2"/>
  <c r="CD137" i="2"/>
  <c r="CH136" i="2"/>
  <c r="CD136" i="2"/>
  <c r="CH135" i="2"/>
  <c r="CD135" i="2"/>
  <c r="CH134" i="2"/>
  <c r="CD134" i="2"/>
  <c r="CH133" i="2"/>
  <c r="CD133" i="2"/>
  <c r="CH132" i="2"/>
  <c r="CD132" i="2"/>
  <c r="CH131" i="2"/>
  <c r="CD131" i="2"/>
  <c r="CH130" i="2"/>
  <c r="CD130" i="2"/>
  <c r="CH129" i="2"/>
  <c r="CD129" i="2"/>
  <c r="CH128" i="2"/>
  <c r="CD128" i="2"/>
  <c r="CH127" i="2"/>
  <c r="CD127" i="2"/>
  <c r="CH126" i="2"/>
  <c r="CD126" i="2"/>
  <c r="CH125" i="2"/>
  <c r="CD125" i="2"/>
  <c r="CH124" i="2"/>
  <c r="CD124" i="2"/>
  <c r="CH123" i="2"/>
  <c r="CD123" i="2"/>
  <c r="CH122" i="2"/>
  <c r="CD122" i="2"/>
  <c r="CH121" i="2"/>
  <c r="CD121" i="2"/>
  <c r="CH120" i="2"/>
  <c r="CD120" i="2"/>
  <c r="CH119" i="2"/>
  <c r="CD119" i="2"/>
  <c r="CH118" i="2"/>
  <c r="CD118" i="2"/>
  <c r="CH117" i="2"/>
  <c r="CD117" i="2"/>
  <c r="CH116" i="2"/>
  <c r="CD116" i="2"/>
  <c r="CH115" i="2"/>
  <c r="CD115" i="2"/>
  <c r="CH114" i="2"/>
  <c r="CD114" i="2"/>
  <c r="CH113" i="2"/>
  <c r="CD113" i="2"/>
  <c r="CH112" i="2"/>
  <c r="CD112" i="2"/>
  <c r="CH111" i="2"/>
  <c r="CD111" i="2"/>
  <c r="CH110" i="2"/>
  <c r="CD110" i="2"/>
  <c r="CH109" i="2"/>
  <c r="CD109" i="2"/>
  <c r="CH108" i="2"/>
  <c r="CD108" i="2"/>
  <c r="CH107" i="2"/>
  <c r="CD107" i="2"/>
  <c r="CH106" i="2"/>
  <c r="CD106" i="2"/>
  <c r="CH105" i="2"/>
  <c r="CD105" i="2"/>
  <c r="CH104" i="2"/>
  <c r="CD104" i="2"/>
  <c r="CH103" i="2"/>
  <c r="CD103" i="2"/>
  <c r="CH102" i="2"/>
  <c r="CD102" i="2"/>
  <c r="CH101" i="2"/>
  <c r="CD101" i="2"/>
  <c r="CH100" i="2"/>
  <c r="CD100" i="2"/>
  <c r="CH99" i="2"/>
  <c r="CD99" i="2"/>
  <c r="CH98" i="2"/>
  <c r="CD98" i="2"/>
  <c r="CH97" i="2"/>
  <c r="CD97" i="2"/>
  <c r="CH96" i="2"/>
  <c r="CD96" i="2"/>
  <c r="CH95" i="2"/>
  <c r="CD95" i="2"/>
  <c r="CH94" i="2"/>
  <c r="CD94" i="2"/>
  <c r="CH93" i="2"/>
  <c r="CD93" i="2"/>
  <c r="CH92" i="2"/>
  <c r="CD92" i="2"/>
  <c r="CH91" i="2"/>
  <c r="CD91" i="2"/>
  <c r="CH90" i="2"/>
  <c r="CD90" i="2"/>
  <c r="CH89" i="2"/>
  <c r="CD89" i="2"/>
  <c r="CH88" i="2"/>
  <c r="CD88" i="2"/>
  <c r="CH87" i="2"/>
  <c r="CD87" i="2"/>
  <c r="CH86" i="2"/>
  <c r="CD86" i="2"/>
  <c r="CH85" i="2"/>
  <c r="CD85" i="2"/>
  <c r="CH84" i="2"/>
  <c r="CD84" i="2"/>
  <c r="CH83" i="2"/>
  <c r="CD83" i="2"/>
  <c r="CH82" i="2"/>
  <c r="CD82" i="2"/>
  <c r="CH81" i="2"/>
  <c r="CD81" i="2"/>
  <c r="CH80" i="2"/>
  <c r="CD80" i="2"/>
  <c r="CH79" i="2"/>
  <c r="CD79" i="2"/>
  <c r="CH78" i="2"/>
  <c r="CD78" i="2"/>
  <c r="CH77" i="2"/>
  <c r="CD77" i="2"/>
  <c r="CH76" i="2"/>
  <c r="CD76" i="2"/>
  <c r="CH75" i="2"/>
  <c r="CD75" i="2"/>
  <c r="CH74" i="2"/>
  <c r="CD74" i="2"/>
  <c r="CH73" i="2"/>
  <c r="CD73" i="2"/>
  <c r="CH72" i="2"/>
  <c r="CD72" i="2"/>
  <c r="CH71" i="2"/>
  <c r="CD71" i="2"/>
  <c r="CH70" i="2"/>
  <c r="CD70" i="2"/>
  <c r="CH69" i="2"/>
  <c r="CD69" i="2"/>
  <c r="CH68" i="2"/>
  <c r="CD68" i="2"/>
  <c r="CH67" i="2"/>
  <c r="CD67" i="2"/>
  <c r="CH66" i="2"/>
  <c r="CD66" i="2"/>
  <c r="CH65" i="2"/>
  <c r="CD65" i="2"/>
  <c r="CH64" i="2"/>
  <c r="CD64" i="2"/>
  <c r="CH63" i="2"/>
  <c r="CD63" i="2"/>
  <c r="CH62" i="2"/>
  <c r="CD62" i="2"/>
  <c r="CH61" i="2"/>
  <c r="CD61" i="2"/>
  <c r="CH60" i="2"/>
  <c r="CD60" i="2"/>
  <c r="CH59" i="2"/>
  <c r="CD59" i="2"/>
  <c r="CH58" i="2"/>
  <c r="CD58" i="2"/>
  <c r="CH57" i="2"/>
  <c r="CD57" i="2"/>
  <c r="CH56" i="2"/>
  <c r="CD56" i="2"/>
  <c r="CH55" i="2"/>
  <c r="CD55" i="2"/>
  <c r="CH54" i="2"/>
  <c r="CD54" i="2"/>
  <c r="CH53" i="2"/>
  <c r="CD53" i="2"/>
  <c r="CH52" i="2"/>
  <c r="CD52" i="2"/>
  <c r="CH51" i="2"/>
  <c r="CD51" i="2"/>
  <c r="CH50" i="2"/>
  <c r="CD50" i="2"/>
  <c r="CH49" i="2"/>
  <c r="CD49" i="2"/>
  <c r="CH48" i="2"/>
  <c r="CD48" i="2"/>
  <c r="CH47" i="2"/>
  <c r="CD47" i="2"/>
  <c r="CH46" i="2"/>
  <c r="CD46" i="2"/>
  <c r="CH45" i="2"/>
  <c r="CD45" i="2"/>
  <c r="CH44" i="2"/>
  <c r="CD44" i="2"/>
  <c r="CH43" i="2"/>
  <c r="CD43" i="2"/>
  <c r="CH42" i="2"/>
  <c r="CD42" i="2"/>
  <c r="CH41" i="2"/>
  <c r="CD41" i="2"/>
  <c r="CH40" i="2"/>
  <c r="CD40" i="2"/>
  <c r="CH39" i="2"/>
  <c r="CD39" i="2"/>
  <c r="CH38" i="2"/>
  <c r="CD38" i="2"/>
  <c r="CH37" i="2"/>
  <c r="CD37" i="2"/>
  <c r="CH36" i="2"/>
  <c r="CD36" i="2"/>
  <c r="CH35" i="2"/>
  <c r="CD35" i="2"/>
  <c r="CH34" i="2"/>
  <c r="CD34" i="2"/>
  <c r="CH33" i="2"/>
  <c r="CD33" i="2"/>
  <c r="CH32" i="2"/>
  <c r="CD32" i="2"/>
  <c r="CH31" i="2"/>
  <c r="CD31" i="2"/>
  <c r="CH30" i="2"/>
  <c r="CD30" i="2"/>
  <c r="CH29" i="2"/>
  <c r="CD29" i="2"/>
  <c r="CH28" i="2"/>
  <c r="CD28" i="2"/>
  <c r="CH27" i="2"/>
  <c r="CD27" i="2"/>
  <c r="CH26" i="2"/>
  <c r="CD26" i="2"/>
  <c r="CH25" i="2"/>
  <c r="CD25" i="2"/>
  <c r="CH24" i="2"/>
  <c r="CD24" i="2"/>
  <c r="U24" i="2"/>
  <c r="Q24" i="2"/>
  <c r="CH23" i="2"/>
  <c r="CD23" i="2"/>
  <c r="U23" i="2"/>
  <c r="Q23" i="2"/>
  <c r="CH22" i="2"/>
  <c r="CD22" i="2"/>
  <c r="U22" i="2"/>
  <c r="Q22" i="2"/>
  <c r="CH21" i="2"/>
  <c r="CD21" i="2"/>
  <c r="U21" i="2"/>
  <c r="Q21" i="2"/>
  <c r="CH20" i="2"/>
  <c r="CD20" i="2"/>
  <c r="U20" i="2"/>
  <c r="Q20" i="2"/>
  <c r="CH19" i="2"/>
  <c r="CD19" i="2"/>
  <c r="U19" i="2"/>
  <c r="Q19" i="2"/>
  <c r="CH18" i="2"/>
  <c r="CD18" i="2"/>
  <c r="U18" i="2"/>
  <c r="Q18" i="2"/>
  <c r="CH17" i="2"/>
  <c r="CD17" i="2"/>
  <c r="U17" i="2"/>
  <c r="Q17" i="2"/>
  <c r="CH16" i="2"/>
  <c r="CD16" i="2"/>
  <c r="U16" i="2"/>
  <c r="Q16" i="2"/>
  <c r="CH15" i="2"/>
  <c r="CD15" i="2"/>
  <c r="U15" i="2"/>
  <c r="Q15" i="2"/>
  <c r="N15" i="2"/>
  <c r="CH14" i="2"/>
  <c r="CD14" i="2"/>
  <c r="U14" i="2"/>
  <c r="Q14" i="2"/>
  <c r="N14" i="2"/>
  <c r="CH13" i="2"/>
  <c r="CD13" i="2"/>
  <c r="U13" i="2"/>
  <c r="Q13" i="2"/>
  <c r="N13" i="2"/>
  <c r="CH12" i="2"/>
  <c r="CD12" i="2"/>
  <c r="U12" i="2"/>
  <c r="Q12" i="2"/>
  <c r="N12" i="2"/>
  <c r="CH11" i="2"/>
  <c r="CD11" i="2"/>
  <c r="U11" i="2"/>
  <c r="Q11" i="2"/>
  <c r="N11" i="2"/>
  <c r="CH10" i="2"/>
  <c r="CD10" i="2"/>
  <c r="U10" i="2"/>
  <c r="Q10" i="2"/>
  <c r="N10" i="2"/>
  <c r="CH9" i="2"/>
  <c r="CD9" i="2"/>
  <c r="BH9" i="2"/>
  <c r="BG9" i="2"/>
  <c r="U9" i="2"/>
  <c r="Q9" i="2"/>
  <c r="N9" i="2"/>
  <c r="CH8" i="2"/>
  <c r="CD8" i="2"/>
  <c r="BH8" i="2"/>
  <c r="BG8" i="2"/>
  <c r="U8" i="2"/>
  <c r="Q8" i="2"/>
  <c r="N8" i="2"/>
  <c r="CH7" i="2"/>
  <c r="CD7" i="2"/>
  <c r="BH7" i="2"/>
  <c r="BG7" i="2"/>
  <c r="U7" i="2"/>
  <c r="Q7" i="2"/>
  <c r="N7" i="2"/>
  <c r="CH6" i="2"/>
  <c r="CD6" i="2"/>
  <c r="BH6" i="2"/>
  <c r="BF6" i="2"/>
  <c r="BE6" i="2"/>
  <c r="BD6" i="2"/>
  <c r="BC6" i="2"/>
  <c r="BB6" i="2"/>
  <c r="BA6" i="2"/>
  <c r="AZ6" i="2"/>
  <c r="BG6" i="2" s="1"/>
  <c r="AY6" i="2"/>
  <c r="AW6" i="2"/>
  <c r="AX6" i="2" s="1"/>
  <c r="AV6" i="2"/>
  <c r="U6" i="2"/>
  <c r="Q6" i="2"/>
  <c r="N6" i="2"/>
  <c r="CH5" i="2"/>
  <c r="CD5" i="2"/>
  <c r="BH5" i="2"/>
  <c r="BG5" i="2"/>
  <c r="U5" i="2"/>
  <c r="Q5" i="2"/>
  <c r="N5" i="2"/>
  <c r="CN4" i="2" a="1"/>
  <c r="CN4" i="2" s="1"/>
  <c r="CH4" i="2"/>
  <c r="CD4" i="2"/>
  <c r="BH4" i="2"/>
  <c r="BG4" i="2"/>
  <c r="U4" i="2"/>
  <c r="Q4" i="2"/>
  <c r="N4" i="2"/>
  <c r="D14" i="1"/>
  <c r="AF13" i="1"/>
  <c r="AE13" i="1"/>
  <c r="L13" i="1"/>
  <c r="K13" i="1"/>
  <c r="L12" i="1"/>
  <c r="K12" i="1"/>
  <c r="DH11" i="1"/>
  <c r="DH6" i="1" s="1"/>
  <c r="DH7" i="1" s="1"/>
  <c r="DH10" i="1" s="1"/>
  <c r="CL11" i="1"/>
  <c r="BY11" i="1"/>
  <c r="L11" i="1"/>
  <c r="CJ10" i="1"/>
  <c r="CK10" i="1" s="1"/>
  <c r="AL10" i="1"/>
  <c r="AK10" i="1"/>
  <c r="W10" i="1"/>
  <c r="T10" i="1"/>
  <c r="H10" i="1"/>
  <c r="B10" i="1"/>
  <c r="EJ9" i="1"/>
  <c r="EG9" i="1"/>
  <c r="EF9" i="1"/>
  <c r="EE9" i="1"/>
  <c r="ED9" i="1"/>
  <c r="EC9" i="1"/>
  <c r="CB9" i="1"/>
  <c r="BY9" i="1"/>
  <c r="BW9" i="1"/>
  <c r="N9" i="1"/>
  <c r="I9" i="1"/>
  <c r="GR8" i="1"/>
  <c r="GR9" i="1" s="1"/>
  <c r="GQ8" i="1"/>
  <c r="GQ9" i="1" s="1"/>
  <c r="FK8" i="1"/>
  <c r="FK9" i="1" s="1"/>
  <c r="FH8" i="1"/>
  <c r="FH9" i="1" s="1"/>
  <c r="EN8" i="1"/>
  <c r="EN9" i="1" s="1"/>
  <c r="EM8" i="1"/>
  <c r="EM9" i="1" s="1"/>
  <c r="ED8" i="1"/>
  <c r="EB8" i="1"/>
  <c r="DP8" i="1"/>
  <c r="DQ8" i="1" s="1"/>
  <c r="BW8" i="1"/>
  <c r="BN8" i="1"/>
  <c r="BN9" i="1" s="1"/>
  <c r="BO9" i="1" s="1"/>
  <c r="BK8" i="1"/>
  <c r="BI8" i="1"/>
  <c r="BI9" i="1" s="1"/>
  <c r="BG8" i="1"/>
  <c r="BG9" i="1" s="1"/>
  <c r="AL8" i="1"/>
  <c r="AB8" i="1"/>
  <c r="AB9" i="1" s="1"/>
  <c r="Y8" i="1"/>
  <c r="Y9" i="1" s="1"/>
  <c r="X8" i="1"/>
  <c r="X9" i="1" s="1"/>
  <c r="W8" i="1"/>
  <c r="BU8" i="1" s="1"/>
  <c r="BU9" i="1" s="1"/>
  <c r="V8" i="1"/>
  <c r="V9" i="1" s="1"/>
  <c r="AL9" i="1" s="1"/>
  <c r="T8" i="1"/>
  <c r="S8" i="1"/>
  <c r="S9" i="1" s="1"/>
  <c r="Q8" i="1"/>
  <c r="Q9" i="1" s="1"/>
  <c r="P8" i="1"/>
  <c r="P9" i="1" s="1"/>
  <c r="O8" i="1"/>
  <c r="O9" i="1" s="1"/>
  <c r="N8" i="1"/>
  <c r="L8" i="1"/>
  <c r="L9" i="1" s="1"/>
  <c r="K8" i="1"/>
  <c r="K9" i="1" s="1"/>
  <c r="I8" i="1"/>
  <c r="H8" i="1"/>
  <c r="H9" i="1" s="1"/>
  <c r="G8" i="1"/>
  <c r="G9" i="1" s="1"/>
  <c r="F8" i="1"/>
  <c r="F9" i="1" s="1"/>
  <c r="E8" i="1"/>
  <c r="E9" i="1" s="1"/>
  <c r="C8" i="1"/>
  <c r="C9" i="1" s="1"/>
  <c r="B8" i="1"/>
  <c r="B9" i="1" s="1"/>
  <c r="GR7" i="1"/>
  <c r="GQ7" i="1"/>
  <c r="FL7" i="1"/>
  <c r="FL10" i="1" s="1"/>
  <c r="EN7" i="1"/>
  <c r="EN10" i="1" s="1"/>
  <c r="EA7" i="1"/>
  <c r="CA7" i="1"/>
  <c r="CA10" i="1" s="1"/>
  <c r="BZ7" i="1"/>
  <c r="BZ10" i="1" s="1"/>
  <c r="BJ7" i="1"/>
  <c r="BJ10" i="1" s="1"/>
  <c r="AB7" i="1"/>
  <c r="AB10" i="1" s="1"/>
  <c r="Y7" i="1"/>
  <c r="Y10" i="1" s="1"/>
  <c r="X7" i="1"/>
  <c r="X10" i="1" s="1"/>
  <c r="W7" i="1"/>
  <c r="V7" i="1"/>
  <c r="V10" i="1" s="1"/>
  <c r="T7" i="1"/>
  <c r="S7" i="1"/>
  <c r="S10" i="1" s="1"/>
  <c r="Q7" i="1"/>
  <c r="Q10" i="1" s="1"/>
  <c r="P7" i="1"/>
  <c r="P10" i="1" s="1"/>
  <c r="O7" i="1"/>
  <c r="O10" i="1" s="1"/>
  <c r="N7" i="1"/>
  <c r="N10" i="1" s="1"/>
  <c r="L7" i="1"/>
  <c r="L10" i="1" s="1"/>
  <c r="K7" i="1"/>
  <c r="K10" i="1" s="1"/>
  <c r="I7" i="1"/>
  <c r="I10" i="1" s="1"/>
  <c r="H7" i="1"/>
  <c r="G7" i="1"/>
  <c r="G10" i="1" s="1"/>
  <c r="F7" i="1"/>
  <c r="F10" i="1" s="1"/>
  <c r="E7" i="1"/>
  <c r="E10" i="1" s="1"/>
  <c r="C7" i="1"/>
  <c r="C10" i="1" s="1"/>
  <c r="B7" i="1"/>
  <c r="FL6" i="1"/>
  <c r="FL8" i="1" s="1"/>
  <c r="FL9" i="1" s="1"/>
  <c r="FK6" i="1"/>
  <c r="FK7" i="1" s="1"/>
  <c r="FK10" i="1" s="1"/>
  <c r="FH6" i="1"/>
  <c r="FH7" i="1" s="1"/>
  <c r="FH10" i="1" s="1"/>
  <c r="FC6" i="1"/>
  <c r="FC8" i="1" s="1"/>
  <c r="FC9" i="1" s="1"/>
  <c r="EY6" i="1"/>
  <c r="FA6" i="1" s="1"/>
  <c r="FA7" i="1" s="1"/>
  <c r="FB7" i="1" s="1"/>
  <c r="EU6" i="1"/>
  <c r="EV6" i="1" s="1"/>
  <c r="EV8" i="1" s="1"/>
  <c r="ES6" i="1"/>
  <c r="ES7" i="1" s="1"/>
  <c r="ES10" i="1" s="1"/>
  <c r="ER6" i="1"/>
  <c r="ER8" i="1" s="1"/>
  <c r="ER9" i="1" s="1"/>
  <c r="EM6" i="1"/>
  <c r="EM7" i="1" s="1"/>
  <c r="EM10" i="1" s="1"/>
  <c r="EL6" i="1"/>
  <c r="EL8" i="1" s="1"/>
  <c r="EL9" i="1" s="1"/>
  <c r="EK6" i="1"/>
  <c r="EK7" i="1" s="1"/>
  <c r="EK10" i="1" s="1"/>
  <c r="EJ6" i="1"/>
  <c r="EJ10" i="1" s="1"/>
  <c r="EH6" i="1"/>
  <c r="EH8" i="1" s="1"/>
  <c r="EG6" i="1"/>
  <c r="EG8" i="1" s="1"/>
  <c r="EF6" i="1"/>
  <c r="EF8" i="1" s="1"/>
  <c r="EE6" i="1"/>
  <c r="EE8" i="1" s="1"/>
  <c r="ED6" i="1"/>
  <c r="EC6" i="1"/>
  <c r="EC8" i="1" s="1"/>
  <c r="EB6" i="1"/>
  <c r="EA6" i="1"/>
  <c r="EA8" i="1" s="1"/>
  <c r="DR6" i="1"/>
  <c r="DV6" i="1" s="1"/>
  <c r="DQ6" i="1"/>
  <c r="DP6" i="1"/>
  <c r="DO6" i="1"/>
  <c r="DO7" i="1" s="1"/>
  <c r="DO10" i="1" s="1"/>
  <c r="DN6" i="1"/>
  <c r="DN8" i="1" s="1"/>
  <c r="DN9" i="1" s="1"/>
  <c r="DM6" i="1"/>
  <c r="DM8" i="1" s="1"/>
  <c r="DM9" i="1" s="1"/>
  <c r="DL6" i="1"/>
  <c r="DL8" i="1" s="1"/>
  <c r="DL9" i="1" s="1"/>
  <c r="DK6" i="1"/>
  <c r="CZ6" i="1"/>
  <c r="CZ7" i="1" s="1"/>
  <c r="CZ10" i="1" s="1"/>
  <c r="CR6" i="1"/>
  <c r="CR8" i="1" s="1"/>
  <c r="CN6" i="1"/>
  <c r="A12" i="1" s="1"/>
  <c r="CL6" i="1"/>
  <c r="CM11" i="1" s="1"/>
  <c r="CM6" i="1" s="1"/>
  <c r="CK6" i="1"/>
  <c r="CJ6" i="1"/>
  <c r="CJ8" i="1" s="1"/>
  <c r="CK8" i="1" s="1"/>
  <c r="CF6" i="1"/>
  <c r="CF8" i="1" s="1"/>
  <c r="CF9" i="1" s="1"/>
  <c r="CD6" i="1"/>
  <c r="CD8" i="1" s="1"/>
  <c r="CD9" i="1" s="1"/>
  <c r="CC6" i="1"/>
  <c r="CC8" i="1" s="1"/>
  <c r="CC9" i="1" s="1"/>
  <c r="BY6" i="1"/>
  <c r="BZ8" i="1" s="1"/>
  <c r="BZ9" i="1" s="1"/>
  <c r="BX6" i="1"/>
  <c r="BX7" i="1" s="1"/>
  <c r="BX10" i="1" s="1"/>
  <c r="BW6" i="1"/>
  <c r="BW7" i="1" s="1"/>
  <c r="BW10" i="1" s="1"/>
  <c r="BV6" i="1"/>
  <c r="BV7" i="1" s="1"/>
  <c r="BV10" i="1" s="1"/>
  <c r="BU6" i="1"/>
  <c r="BU7" i="1" s="1"/>
  <c r="BU10" i="1" s="1"/>
  <c r="BT6" i="1"/>
  <c r="BT7" i="1" s="1"/>
  <c r="BT10" i="1" s="1"/>
  <c r="BS6" i="1"/>
  <c r="BS8" i="1" s="1"/>
  <c r="BS9" i="1" s="1"/>
  <c r="BN6" i="1"/>
  <c r="BP6" i="1" s="1"/>
  <c r="BP7" i="1" s="1"/>
  <c r="BP10" i="1" s="1"/>
  <c r="BK6" i="1"/>
  <c r="BK7" i="1" s="1"/>
  <c r="BK10" i="1" s="1"/>
  <c r="BJ6" i="1"/>
  <c r="BJ8" i="1" s="1"/>
  <c r="BJ9" i="1" s="1"/>
  <c r="BI6" i="1"/>
  <c r="BI7" i="1" s="1"/>
  <c r="BI10" i="1" s="1"/>
  <c r="BH6" i="1"/>
  <c r="BH8" i="1" s="1"/>
  <c r="BH9" i="1" s="1"/>
  <c r="BG6" i="1"/>
  <c r="BG7" i="1" s="1"/>
  <c r="BG10" i="1" s="1"/>
  <c r="BE6" i="1"/>
  <c r="BF6" i="1" s="1"/>
  <c r="BF7" i="1" s="1"/>
  <c r="BF10" i="1" s="1"/>
  <c r="BC6" i="1"/>
  <c r="BD6" i="1" s="1"/>
  <c r="BD8" i="1" s="1"/>
  <c r="BD9" i="1" s="1"/>
  <c r="BB6" i="1"/>
  <c r="BB8" i="1" s="1"/>
  <c r="BB9" i="1" s="1"/>
  <c r="AZ6" i="1"/>
  <c r="AZ8" i="1" s="1"/>
  <c r="AZ9" i="1" s="1"/>
  <c r="AY6" i="1"/>
  <c r="AY7" i="1" s="1"/>
  <c r="AY10" i="1" s="1"/>
  <c r="AX6" i="1"/>
  <c r="AX8" i="1" s="1"/>
  <c r="AX9" i="1" s="1"/>
  <c r="AV6" i="1"/>
  <c r="AV8" i="1" s="1"/>
  <c r="AV9" i="1" s="1"/>
  <c r="AT6" i="1"/>
  <c r="AU6" i="1" s="1"/>
  <c r="AS6" i="1"/>
  <c r="AS8" i="1" s="1"/>
  <c r="AS9" i="1" s="1"/>
  <c r="AM6" i="1"/>
  <c r="AM8" i="1" s="1"/>
  <c r="AM9" i="1" s="1"/>
  <c r="AG6" i="1"/>
  <c r="AF6" i="1"/>
  <c r="AE6" i="1"/>
  <c r="AE8" i="1" s="1"/>
  <c r="AE9" i="1" s="1"/>
  <c r="M6" i="1"/>
  <c r="M7" i="1" s="1"/>
  <c r="M10" i="1" s="1"/>
  <c r="D6" i="1"/>
  <c r="D8" i="1" s="1"/>
  <c r="D9" i="1" s="1"/>
  <c r="CU5" i="1"/>
  <c r="CT5" i="1"/>
  <c r="CM5" i="1"/>
  <c r="CL5" i="1"/>
  <c r="CG5" i="1"/>
  <c r="U2" i="1"/>
  <c r="R2" i="1"/>
  <c r="A2" i="1"/>
  <c r="FI6" i="1" s="1"/>
  <c r="FI7" i="1" s="1"/>
  <c r="FI10" i="1" s="1"/>
  <c r="V1" i="1"/>
  <c r="EZ6" i="1" l="1"/>
  <c r="AE7" i="1"/>
  <c r="AE10" i="1" s="1"/>
  <c r="BM6" i="1"/>
  <c r="BM7" i="1" s="1"/>
  <c r="BM10" i="1" s="1"/>
  <c r="BL7" i="1"/>
  <c r="BL10" i="1" s="1"/>
  <c r="EY8" i="1"/>
  <c r="EY9" i="1" s="1"/>
  <c r="EZ9" i="1" s="1"/>
  <c r="BQ7" i="1"/>
  <c r="BQ10" i="1" s="1"/>
  <c r="BO6" i="1"/>
  <c r="BS7" i="1"/>
  <c r="BS10" i="1" s="1"/>
  <c r="BO8" i="1"/>
  <c r="FI8" i="1"/>
  <c r="FI9" i="1" s="1"/>
  <c r="CB6" i="1"/>
  <c r="CB7" i="1" s="1"/>
  <c r="CB10" i="1" s="1"/>
  <c r="BL6" i="1"/>
  <c r="BP8" i="1"/>
  <c r="BP9" i="1" s="1"/>
  <c r="CA8" i="1"/>
  <c r="CA9" i="1" s="1"/>
  <c r="FA10" i="1"/>
  <c r="FB10" i="1" s="1"/>
  <c r="B2" i="1"/>
  <c r="EY7" i="1"/>
  <c r="DL7" i="1"/>
  <c r="DL10" i="1" s="1"/>
  <c r="AH6" i="1"/>
  <c r="J6" i="1" s="1"/>
  <c r="J13" i="1" s="1"/>
  <c r="ES8" i="1"/>
  <c r="ES9" i="1" s="1"/>
  <c r="DM7" i="1"/>
  <c r="DM10" i="1" s="1"/>
  <c r="AP6" i="1"/>
  <c r="AP8" i="1" s="1"/>
  <c r="AP9" i="1" s="1"/>
  <c r="DN7" i="1"/>
  <c r="DN10" i="1" s="1"/>
  <c r="AS7" i="1"/>
  <c r="AS10" i="1" s="1"/>
  <c r="BA6" i="1"/>
  <c r="BA7" i="1" s="1"/>
  <c r="BA10" i="1" s="1"/>
  <c r="DS6" i="1"/>
  <c r="DS7" i="1" s="1"/>
  <c r="DS10" i="1" s="1"/>
  <c r="AU7" i="1"/>
  <c r="AU10" i="1" s="1"/>
  <c r="AU8" i="1"/>
  <c r="AU9" i="1" s="1"/>
  <c r="AT8" i="1"/>
  <c r="AT9" i="1" s="1"/>
  <c r="DU6" i="1"/>
  <c r="DU7" i="1" s="1"/>
  <c r="DU10" i="1" s="1"/>
  <c r="EL7" i="1"/>
  <c r="EL10" i="1" s="1"/>
  <c r="DY6" i="1"/>
  <c r="DZ6" i="1" s="1"/>
  <c r="DZ8" i="1" s="1"/>
  <c r="DZ9" i="1" s="1"/>
  <c r="DR8" i="1"/>
  <c r="DR9" i="1" s="1"/>
  <c r="AT7" i="1"/>
  <c r="AT10" i="1" s="1"/>
  <c r="AV7" i="1"/>
  <c r="AV10" i="1" s="1"/>
  <c r="DW6" i="1"/>
  <c r="DX6" i="1" s="1"/>
  <c r="AZ7" i="1"/>
  <c r="AZ10" i="1" s="1"/>
  <c r="EK8" i="1"/>
  <c r="EK9" i="1" s="1"/>
  <c r="DR7" i="1"/>
  <c r="DR10" i="1" s="1"/>
  <c r="FC7" i="1"/>
  <c r="FC10" i="1" s="1"/>
  <c r="CX11" i="1"/>
  <c r="CX6" i="1" s="1"/>
  <c r="CX7" i="1" s="1"/>
  <c r="CX10" i="1" s="1"/>
  <c r="BF8" i="1"/>
  <c r="BF9" i="1" s="1"/>
  <c r="CZ8" i="1"/>
  <c r="CZ9" i="1" s="1"/>
  <c r="CP6" i="1"/>
  <c r="CP7" i="1" s="1"/>
  <c r="CP10" i="1" s="1"/>
  <c r="CM8" i="1"/>
  <c r="CM9" i="1" s="1"/>
  <c r="CM7" i="1"/>
  <c r="CM10" i="1" s="1"/>
  <c r="AG13" i="1"/>
  <c r="AF7" i="1"/>
  <c r="AF10" i="1" s="1"/>
  <c r="CS6" i="1"/>
  <c r="CE6" i="1"/>
  <c r="CY12" i="1"/>
  <c r="AW6" i="1"/>
  <c r="CO6" i="1"/>
  <c r="EU7" i="1"/>
  <c r="EU8" i="1"/>
  <c r="EW6" i="1"/>
  <c r="BH7" i="1"/>
  <c r="BH10" i="1" s="1"/>
  <c r="EV7" i="1"/>
  <c r="BE8" i="1"/>
  <c r="BE9" i="1" s="1"/>
  <c r="BV8" i="1"/>
  <c r="BV9" i="1" s="1"/>
  <c r="DO8" i="1"/>
  <c r="DO9" i="1" s="1"/>
  <c r="W9" i="1"/>
  <c r="CX12" i="1"/>
  <c r="M8" i="1"/>
  <c r="M9" i="1" s="1"/>
  <c r="AM7" i="1"/>
  <c r="AM10" i="1" s="1"/>
  <c r="AR6" i="1"/>
  <c r="BN7" i="1"/>
  <c r="CD7" i="1"/>
  <c r="CD10" i="1" s="1"/>
  <c r="AH7" i="1"/>
  <c r="AH10" i="1" s="1"/>
  <c r="J14" i="1"/>
  <c r="AH8" i="1"/>
  <c r="AH9" i="1" s="1"/>
  <c r="BL8" i="1"/>
  <c r="BK9" i="1"/>
  <c r="EX8" i="1"/>
  <c r="EV9" i="1"/>
  <c r="EX9" i="1" s="1"/>
  <c r="C2" i="1"/>
  <c r="FD6" i="1" s="1"/>
  <c r="R6" i="1"/>
  <c r="AO6" i="1"/>
  <c r="BQ6" i="1"/>
  <c r="CV6" i="1"/>
  <c r="DK7" i="1"/>
  <c r="DK10" i="1" s="1"/>
  <c r="DK8" i="1"/>
  <c r="DK9" i="1" s="1"/>
  <c r="FB6" i="1"/>
  <c r="AX7" i="1"/>
  <c r="AX10" i="1" s="1"/>
  <c r="BM8" i="1"/>
  <c r="BM9" i="1" s="1"/>
  <c r="CY11" i="1"/>
  <c r="CY6" i="1" s="1"/>
  <c r="DV8" i="1"/>
  <c r="DV9" i="1" s="1"/>
  <c r="AN6" i="1"/>
  <c r="AQ6" i="1"/>
  <c r="BB7" i="1"/>
  <c r="BB10" i="1" s="1"/>
  <c r="DV7" i="1"/>
  <c r="DV10" i="1" s="1"/>
  <c r="AG7" i="1"/>
  <c r="AG10" i="1" s="1"/>
  <c r="BC7" i="1"/>
  <c r="BC10" i="1" s="1"/>
  <c r="AF8" i="1"/>
  <c r="AF9" i="1" s="1"/>
  <c r="AY8" i="1"/>
  <c r="AY9" i="1" s="1"/>
  <c r="BD7" i="1"/>
  <c r="BD10" i="1" s="1"/>
  <c r="CN7" i="1"/>
  <c r="CN10" i="1" s="1"/>
  <c r="AG8" i="1"/>
  <c r="AG9" i="1" s="1"/>
  <c r="BQ8" i="1"/>
  <c r="CN8" i="1"/>
  <c r="CN9" i="1" s="1"/>
  <c r="T9" i="1"/>
  <c r="AI6" i="1"/>
  <c r="D7" i="1"/>
  <c r="D10" i="1" s="1"/>
  <c r="CL7" i="1"/>
  <c r="CL10" i="1" s="1"/>
  <c r="EQ6" i="1"/>
  <c r="CL8" i="1"/>
  <c r="CL9" i="1" s="1"/>
  <c r="BX8" i="1"/>
  <c r="BX9" i="1" s="1"/>
  <c r="K11" i="1"/>
  <c r="DA6" i="1"/>
  <c r="BE7" i="1"/>
  <c r="BE10" i="1" s="1"/>
  <c r="BY7" i="1"/>
  <c r="BY10" i="1" s="1"/>
  <c r="ER7" i="1"/>
  <c r="ER10" i="1" s="1"/>
  <c r="BC8" i="1"/>
  <c r="BC9" i="1" s="1"/>
  <c r="CP8" i="1"/>
  <c r="CP9" i="1" s="1"/>
  <c r="DH8" i="1"/>
  <c r="DH9" i="1" s="1"/>
  <c r="EZ8" i="1"/>
  <c r="EX6" i="1"/>
  <c r="CC7" i="1"/>
  <c r="CC10" i="1" s="1"/>
  <c r="CG6" i="1"/>
  <c r="CF7" i="1"/>
  <c r="CF10" i="1" s="1"/>
  <c r="EA9" i="1"/>
  <c r="CJ7" i="1"/>
  <c r="BT8" i="1"/>
  <c r="BT9" i="1" s="1"/>
  <c r="FA8" i="1"/>
  <c r="EA10" i="1"/>
  <c r="EJ8" i="1"/>
  <c r="DT6" i="1"/>
  <c r="EY10" i="1" l="1"/>
  <c r="EZ10" i="1" s="1"/>
  <c r="EZ7" i="1"/>
  <c r="AP7" i="1"/>
  <c r="AP10" i="1" s="1"/>
  <c r="DU8" i="1"/>
  <c r="DU9" i="1" s="1"/>
  <c r="EO8" i="1"/>
  <c r="DY7" i="1"/>
  <c r="DY10" i="1" s="1"/>
  <c r="F11" i="1"/>
  <c r="EI6" i="1" s="1"/>
  <c r="EO6" i="1"/>
  <c r="EB7" i="1"/>
  <c r="EE7" i="1" s="1"/>
  <c r="EE10" i="1" s="1"/>
  <c r="EH7" i="1"/>
  <c r="EH9" i="1" s="1"/>
  <c r="DS8" i="1"/>
  <c r="DS9" i="1" s="1"/>
  <c r="DP7" i="1"/>
  <c r="DQ7" i="1" s="1"/>
  <c r="J8" i="1"/>
  <c r="J9" i="1" s="1"/>
  <c r="A10" i="1"/>
  <c r="J7" i="1"/>
  <c r="J10" i="1" s="1"/>
  <c r="CX8" i="1"/>
  <c r="CX9" i="1" s="1"/>
  <c r="BA8" i="1"/>
  <c r="BA9" i="1" s="1"/>
  <c r="DZ7" i="1"/>
  <c r="DZ10" i="1" s="1"/>
  <c r="DW8" i="1"/>
  <c r="DY8" i="1"/>
  <c r="DY9" i="1" s="1"/>
  <c r="DW7" i="1"/>
  <c r="DW10" i="1" s="1"/>
  <c r="DT8" i="1"/>
  <c r="DT9" i="1" s="1"/>
  <c r="DT7" i="1"/>
  <c r="DT10" i="1" s="1"/>
  <c r="T11" i="1"/>
  <c r="R11" i="1" s="1"/>
  <c r="T12" i="1"/>
  <c r="R12" i="1" s="1"/>
  <c r="FD8" i="1"/>
  <c r="FG6" i="1"/>
  <c r="FG7" i="1" s="1"/>
  <c r="FG10" i="1" s="1"/>
  <c r="FF6" i="1"/>
  <c r="FF7" i="1" s="1"/>
  <c r="FF10" i="1" s="1"/>
  <c r="FE6" i="1"/>
  <c r="FE7" i="1" s="1"/>
  <c r="FE10" i="1" s="1"/>
  <c r="FD7" i="1"/>
  <c r="FD10" i="1" s="1"/>
  <c r="FT6" i="1"/>
  <c r="FT7" i="1" s="1"/>
  <c r="FT10" i="1" s="1"/>
  <c r="AN8" i="1"/>
  <c r="AN9" i="1" s="1"/>
  <c r="AN7" i="1"/>
  <c r="AN10" i="1" s="1"/>
  <c r="CV7" i="1"/>
  <c r="CV10" i="1" s="1"/>
  <c r="CV8" i="1"/>
  <c r="CV9" i="1" s="1"/>
  <c r="DX8" i="1"/>
  <c r="DX9" i="1" s="1"/>
  <c r="DX7" i="1"/>
  <c r="DX10" i="1" s="1"/>
  <c r="CE8" i="1"/>
  <c r="CE9" i="1" s="1"/>
  <c r="DC11" i="1"/>
  <c r="DC6" i="1" s="1"/>
  <c r="U6" i="1"/>
  <c r="CE7" i="1"/>
  <c r="CE10" i="1" s="1"/>
  <c r="AO7" i="1"/>
  <c r="AO10" i="1" s="1"/>
  <c r="AO8" i="1"/>
  <c r="AO9" i="1" s="1"/>
  <c r="EV10" i="1"/>
  <c r="EX10" i="1" s="1"/>
  <c r="EX7" i="1"/>
  <c r="CJ9" i="1"/>
  <c r="CK9" i="1" s="1"/>
  <c r="CR7" i="1"/>
  <c r="CK7" i="1"/>
  <c r="EQ7" i="1"/>
  <c r="EQ10" i="1" s="1"/>
  <c r="EP6" i="1"/>
  <c r="EQ8" i="1"/>
  <c r="EQ9" i="1" s="1"/>
  <c r="CS7" i="1"/>
  <c r="CS10" i="1" s="1"/>
  <c r="CS8" i="1"/>
  <c r="CS9" i="1" s="1"/>
  <c r="ET6" i="1"/>
  <c r="R8" i="1"/>
  <c r="R9" i="1" s="1"/>
  <c r="R7" i="1"/>
  <c r="R10" i="1" s="1"/>
  <c r="AR8" i="1"/>
  <c r="AR9" i="1" s="1"/>
  <c r="AR7" i="1"/>
  <c r="AR10" i="1" s="1"/>
  <c r="U13" i="1"/>
  <c r="U14" i="1" s="1"/>
  <c r="BN10" i="1"/>
  <c r="BO7" i="1"/>
  <c r="BO10" i="1" s="1"/>
  <c r="EU9" i="1"/>
  <c r="EW9" i="1" s="1"/>
  <c r="EW8" i="1"/>
  <c r="AQ8" i="1"/>
  <c r="AQ9" i="1" s="1"/>
  <c r="AQ7" i="1"/>
  <c r="AQ10" i="1" s="1"/>
  <c r="FA9" i="1"/>
  <c r="FB9" i="1" s="1"/>
  <c r="FB8" i="1"/>
  <c r="CY8" i="1"/>
  <c r="CY9" i="1" s="1"/>
  <c r="DB12" i="1"/>
  <c r="CY7" i="1"/>
  <c r="CY10" i="1" s="1"/>
  <c r="AI8" i="1"/>
  <c r="AI9" i="1" s="1"/>
  <c r="AI7" i="1"/>
  <c r="AI10" i="1" s="1"/>
  <c r="EU10" i="1"/>
  <c r="EW10" i="1" s="1"/>
  <c r="EW7" i="1"/>
  <c r="DA8" i="1"/>
  <c r="DA9" i="1" s="1"/>
  <c r="DF6" i="1"/>
  <c r="DA7" i="1"/>
  <c r="DA10" i="1" s="1"/>
  <c r="EI7" i="1"/>
  <c r="EI10" i="1" s="1"/>
  <c r="EI8" i="1"/>
  <c r="BQ9" i="1"/>
  <c r="BL9" i="1"/>
  <c r="CO8" i="1"/>
  <c r="CO9" i="1" s="1"/>
  <c r="CQ6" i="1"/>
  <c r="A13" i="1"/>
  <c r="CO7" i="1"/>
  <c r="CO10" i="1" s="1"/>
  <c r="CG7" i="1"/>
  <c r="CG10" i="1" s="1"/>
  <c r="CH6" i="1"/>
  <c r="CG8" i="1"/>
  <c r="CG9" i="1" s="1"/>
  <c r="AW7" i="1"/>
  <c r="AW10" i="1" s="1"/>
  <c r="AW8" i="1"/>
  <c r="AW9" i="1" s="1"/>
  <c r="O2" i="1"/>
  <c r="EI9" i="1" l="1"/>
  <c r="EG7" i="1"/>
  <c r="EG10" i="1" s="1"/>
  <c r="EH10" i="1"/>
  <c r="EB10" i="1"/>
  <c r="EB9" i="1"/>
  <c r="EJ7" i="1"/>
  <c r="ED7" i="1"/>
  <c r="ED10" i="1" s="1"/>
  <c r="EC7" i="1"/>
  <c r="EC10" i="1" s="1"/>
  <c r="EF7" i="1"/>
  <c r="EF10" i="1" s="1"/>
  <c r="DP10" i="1"/>
  <c r="DP9" i="1"/>
  <c r="DW9" i="1"/>
  <c r="CH7" i="1"/>
  <c r="CH10" i="1" s="1"/>
  <c r="CI6" i="1"/>
  <c r="CH8" i="1"/>
  <c r="CH9" i="1" s="1"/>
  <c r="DF7" i="1"/>
  <c r="DF10" i="1" s="1"/>
  <c r="DF8" i="1"/>
  <c r="DF9" i="1" s="1"/>
  <c r="CQ8" i="1"/>
  <c r="CQ9" i="1" s="1"/>
  <c r="CW6" i="1"/>
  <c r="CQ7" i="1"/>
  <c r="CQ10" i="1" s="1"/>
  <c r="FM6" i="1"/>
  <c r="DC8" i="1"/>
  <c r="DC9" i="1" s="1"/>
  <c r="DC7" i="1"/>
  <c r="DC10" i="1" s="1"/>
  <c r="DJ6" i="1"/>
  <c r="ET8" i="1"/>
  <c r="ET9" i="1" s="1"/>
  <c r="ET7" i="1"/>
  <c r="ET10" i="1" s="1"/>
  <c r="FG8" i="1"/>
  <c r="FG9" i="1" s="1"/>
  <c r="FF8" i="1"/>
  <c r="FF9" i="1" s="1"/>
  <c r="FD9" i="1"/>
  <c r="FT8" i="1"/>
  <c r="FT9" i="1" s="1"/>
  <c r="FE8" i="1"/>
  <c r="FE9" i="1" s="1"/>
  <c r="DQ10" i="1"/>
  <c r="EO7" i="1"/>
  <c r="U8" i="1"/>
  <c r="U7" i="1"/>
  <c r="U10" i="1" s="1"/>
  <c r="FJ6" i="1"/>
  <c r="FJ7" i="1" s="1"/>
  <c r="FJ10" i="1" s="1"/>
  <c r="EP7" i="1"/>
  <c r="EP10" i="1" s="1"/>
  <c r="EP8" i="1"/>
  <c r="EP9" i="1" s="1"/>
  <c r="CR10" i="1"/>
  <c r="CR9" i="1"/>
  <c r="EO10" i="1" l="1"/>
  <c r="DQ9" i="1"/>
  <c r="EO9" i="1" s="1"/>
  <c r="CW8" i="1"/>
  <c r="CW9" i="1" s="1"/>
  <c r="CW7" i="1"/>
  <c r="CW10" i="1" s="1"/>
  <c r="AA11" i="1"/>
  <c r="FM7" i="1"/>
  <c r="FM10" i="1" s="1"/>
  <c r="FM8" i="1"/>
  <c r="FM9" i="1" s="1"/>
  <c r="Z6" i="1"/>
  <c r="AA6" i="1"/>
  <c r="DJ8" i="1"/>
  <c r="DJ9" i="1" s="1"/>
  <c r="DJ7" i="1"/>
  <c r="DJ10" i="1" s="1"/>
  <c r="CI8" i="1"/>
  <c r="CI9" i="1" s="1"/>
  <c r="CI7" i="1"/>
  <c r="CI10" i="1" s="1"/>
  <c r="FJ8" i="1"/>
  <c r="FJ9" i="1" s="1"/>
  <c r="U9" i="1"/>
  <c r="AA8" i="1" l="1"/>
  <c r="AA9" i="1" s="1"/>
  <c r="AA7" i="1"/>
  <c r="AA10" i="1" s="1"/>
  <c r="Z7" i="1"/>
  <c r="Z10" i="1" s="1"/>
  <c r="Z8" i="1"/>
  <c r="Z9" i="1" s="1"/>
  <c r="CT11" i="1"/>
  <c r="CT6" i="1" s="1"/>
  <c r="AC6" i="1"/>
  <c r="AC8" i="1" l="1"/>
  <c r="AC9" i="1" s="1"/>
  <c r="AC7" i="1"/>
  <c r="AC10" i="1" s="1"/>
  <c r="DB11" i="1"/>
  <c r="DB6" i="1" s="1"/>
  <c r="CT7" i="1"/>
  <c r="CT10" i="1" s="1"/>
  <c r="CU11" i="1"/>
  <c r="CU6" i="1" s="1"/>
  <c r="CT8" i="1"/>
  <c r="CT9" i="1" s="1"/>
  <c r="DD11" i="1"/>
  <c r="DD6" i="1" s="1"/>
  <c r="DD7" i="1" l="1"/>
  <c r="DD10" i="1" s="1"/>
  <c r="DD8" i="1"/>
  <c r="DD9" i="1" s="1"/>
  <c r="CU8" i="1"/>
  <c r="CU9" i="1" s="1"/>
  <c r="CU7" i="1"/>
  <c r="CU10" i="1" s="1"/>
  <c r="AD6" i="1"/>
  <c r="DE11" i="1"/>
  <c r="DE6" i="1" s="1"/>
  <c r="DB7" i="1"/>
  <c r="DB10" i="1" s="1"/>
  <c r="DB8" i="1"/>
  <c r="DB9" i="1" s="1"/>
  <c r="DE7" i="1" l="1"/>
  <c r="DE10" i="1" s="1"/>
  <c r="DE8" i="1"/>
  <c r="DE9" i="1" s="1"/>
  <c r="DG12" i="1"/>
  <c r="AD7" i="1"/>
  <c r="AD10" i="1" s="1"/>
  <c r="AD8" i="1"/>
  <c r="AD9" i="1" s="1"/>
  <c r="DG11" i="1"/>
  <c r="DG6" i="1" s="1"/>
  <c r="DG8" i="1" l="1"/>
  <c r="DG9" i="1" s="1"/>
  <c r="DG7" i="1"/>
  <c r="DG1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stietz</author>
    <author>Stietz</author>
    <author>Tietz, Steve</author>
  </authors>
  <commentList>
    <comment ref="K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Ref "Strength Weld Calculator.xlsx"</t>
        </r>
      </text>
    </comment>
    <comment ref="BZ6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Chamfer outside of box</t>
        </r>
      </text>
    </comment>
    <comment ref="CA6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Chamfer outside of box</t>
        </r>
      </text>
    </comment>
    <comment ref="CP6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this may not match "Actual" value bc 
SolidWorks wont let you pattern less than 2</t>
        </r>
      </text>
    </comment>
    <comment ref="CQ6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this may not match "Actual" value bc 
SolidWorks wont let you pattern less than 2</t>
        </r>
      </text>
    </comment>
    <comment ref="CV6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this may not match "Actual" value bc 
SolidWorks wont let you pattern less than 2</t>
        </r>
      </text>
    </comment>
    <comment ref="CW6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this may not match "Actual" value bc 
SolidWorks wont let you pattern less than 2</t>
        </r>
      </text>
    </comment>
    <comment ref="P8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 xml:space="preserve">Typically used with sections with 3 or more headers.
Override value if top front header has different row QTY than rear header. </t>
        </r>
      </text>
    </comment>
    <comment ref="U8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 xml:space="preserve">Typically used with sections with 3 or more headers.
Override if top front header is a different size than rear header.  </t>
        </r>
      </text>
    </comment>
    <comment ref="BY8" authorId="1" shapeId="0" xr:uid="{00000000-0006-0000-0000-00000A000000}">
      <text>
        <r>
          <rPr>
            <b/>
            <sz val="9"/>
            <color indexed="81"/>
            <rFont val="Tahoma"/>
            <family val="2"/>
          </rPr>
          <t>Chamfer outside of box</t>
        </r>
      </text>
    </comment>
    <comment ref="CB8" authorId="1" shapeId="0" xr:uid="{00000000-0006-0000-0000-00000B000000}">
      <text>
        <r>
          <rPr>
            <b/>
            <sz val="9"/>
            <color indexed="81"/>
            <rFont val="Tahoma"/>
            <family val="2"/>
          </rPr>
          <t>Chamfer outside of box</t>
        </r>
      </text>
    </comment>
    <comment ref="T11" authorId="2" shapeId="0" xr:uid="{00000000-0006-0000-0000-00000C000000}">
      <text>
        <r>
          <rPr>
            <sz val="9"/>
            <color indexed="81"/>
            <rFont val="Tahoma"/>
            <family val="2"/>
          </rPr>
          <t xml:space="preserve">
</t>
        </r>
      </text>
    </comment>
    <comment ref="T12" authorId="2" shapeId="0" xr:uid="{00000000-0006-0000-0000-00000D000000}">
      <text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<sst xmlns="http://schemas.openxmlformats.org/spreadsheetml/2006/main" count="940" uniqueCount="449">
  <si>
    <t/>
  </si>
  <si>
    <t>Front</t>
  </si>
  <si>
    <t>$PARENT</t>
  </si>
  <si>
    <t>Rear</t>
  </si>
  <si>
    <t>D1@FRONT or REAR HEADER</t>
  </si>
  <si>
    <t>Header Length@Header Sketch</t>
  </si>
  <si>
    <t>Offset@Hole Layout</t>
  </si>
  <si>
    <t>Wrapper Span@Header Sketch</t>
  </si>
  <si>
    <t>_Total # of Rows_@Tapped Hole Sketch</t>
  </si>
  <si>
    <t>Tube Dia@Tapped Hole Sketch</t>
  </si>
  <si>
    <t>End Drill@Tapped Hole Sketch</t>
  </si>
  <si>
    <t>Top Drill@Tapped Hole Sketch</t>
  </si>
  <si>
    <t>_Pitch_@Tapped Hole Sketch</t>
  </si>
  <si>
    <t>3/4-16 (0.625 tube)</t>
  </si>
  <si>
    <t>7/8-14 (0.75 tube)</t>
  </si>
  <si>
    <t>1-1/8-12 (1 tube)</t>
  </si>
  <si>
    <t>1-3/8-12 (1.25 tube)</t>
  </si>
  <si>
    <t>1-5/8-12 (1.5 tube)</t>
  </si>
  <si>
    <t>HWSizes_List</t>
  </si>
  <si>
    <t>End of list</t>
  </si>
  <si>
    <t>Fin Dia@Tapped Hole Sketch</t>
  </si>
  <si>
    <t>Fin Dia</t>
  </si>
  <si>
    <t>STD pitch</t>
  </si>
  <si>
    <t>Spot Face Dia</t>
  </si>
  <si>
    <t>End Drill for end plate &gt; 1</t>
  </si>
  <si>
    <t>End Drill for end plate &lt; = 1</t>
  </si>
  <si>
    <t>Top Drill for end plate &lt; = 1</t>
  </si>
  <si>
    <t>Top Drill for end plate &gt; 1</t>
  </si>
  <si>
    <t>End Of List</t>
  </si>
  <si>
    <t>Hole_Table</t>
  </si>
  <si>
    <t>Wrapper Thk@Header Sketch</t>
  </si>
  <si>
    <t>T&amp;P Thk@Header Sketch</t>
  </si>
  <si>
    <t>T&amp;P Span Dim@Header Sketch</t>
  </si>
  <si>
    <t>Thickness@End Plate Sketch</t>
  </si>
  <si>
    <t>Wrapper Thickness</t>
  </si>
  <si>
    <t>T&amp;P Thickness</t>
  </si>
  <si>
    <t>End Plate Thickness Sketch</t>
  </si>
  <si>
    <t>Header Length</t>
  </si>
  <si>
    <t>Tube Dia</t>
  </si>
  <si>
    <t>QTY in Long Row</t>
  </si>
  <si>
    <t>Total # of Rows</t>
  </si>
  <si>
    <t>End Drill</t>
  </si>
  <si>
    <t>Top Drill</t>
  </si>
  <si>
    <t>Pitch</t>
  </si>
  <si>
    <t>Vertical Pitch</t>
  </si>
  <si>
    <t>$User_Notes</t>
  </si>
  <si>
    <t>Height of all Rows</t>
  </si>
  <si>
    <t>Pattern</t>
  </si>
  <si>
    <t>QTY in Long Row {SS}</t>
  </si>
  <si>
    <t>Additional Tubes {SS}</t>
  </si>
  <si>
    <t>$STATE@Holes {SS}</t>
  </si>
  <si>
    <t>Holes {SS} folder on/off</t>
  </si>
  <si>
    <t>Pattern {SS}</t>
  </si>
  <si>
    <t xml:space="preserve"> QTY of Long Rows</t>
  </si>
  <si>
    <t>QTY of Short Rows</t>
  </si>
  <si>
    <t>Short Row Offset@Row Dims Layout</t>
  </si>
  <si>
    <t>Row Length@Row Dims Layout</t>
  </si>
  <si>
    <t>Height of all Rows@Row Dims Layout</t>
  </si>
  <si>
    <t>Row offset</t>
  </si>
  <si>
    <t>QTY in Long Row Pattern</t>
  </si>
  <si>
    <t>QTY in Short Row Pattern</t>
  </si>
  <si>
    <t>QTY of Long Rows (Actual)</t>
  </si>
  <si>
    <t>QTY of Short Rows (Actual)</t>
  </si>
  <si>
    <t>QTY in Long Row {SS} Pattern</t>
  </si>
  <si>
    <t>QTY in Short Row {SS} Pattern</t>
  </si>
  <si>
    <t xml:space="preserve"> QTY of Long Rows {SS} Pattern</t>
  </si>
  <si>
    <t>QTY of Short Rows {SS} Pattern</t>
  </si>
  <si>
    <r>
      <t>Bottom row type
"</t>
    </r>
    <r>
      <rPr>
        <b/>
        <sz val="11"/>
        <color theme="1"/>
        <rFont val="Calibri"/>
        <family val="2"/>
        <scheme val="minor"/>
      </rPr>
      <t>Short Row</t>
    </r>
    <r>
      <rPr>
        <sz val="11"/>
        <color theme="1"/>
        <rFont val="Calibri"/>
        <family val="2"/>
        <scheme val="minor"/>
      </rPr>
      <t>" or "</t>
    </r>
    <r>
      <rPr>
        <b/>
        <sz val="11"/>
        <color theme="1"/>
        <rFont val="Calibri"/>
        <family val="2"/>
        <scheme val="minor"/>
      </rPr>
      <t>Long Row</t>
    </r>
    <r>
      <rPr>
        <sz val="11"/>
        <color theme="1"/>
        <rFont val="Calibri"/>
        <family val="2"/>
        <scheme val="minor"/>
      </rPr>
      <t>"??</t>
    </r>
  </si>
  <si>
    <t>Hole Dia.@Sketch140</t>
  </si>
  <si>
    <t>Pre drill hole Dia</t>
  </si>
  <si>
    <t>Finish Ream Dia</t>
  </si>
  <si>
    <t>PreDrill Hole Dia</t>
  </si>
  <si>
    <t>Row Length {SS}@Row Dims Layout</t>
  </si>
  <si>
    <r>
      <rPr>
        <b/>
        <sz val="14"/>
        <color theme="1"/>
        <rFont val="Calibri"/>
        <family val="2"/>
        <scheme val="minor"/>
      </rPr>
      <t>Shaft Split?</t>
    </r>
    <r>
      <rPr>
        <sz val="11"/>
        <color theme="1"/>
        <rFont val="Calibri"/>
        <family val="2"/>
        <scheme val="minor"/>
      </rPr>
      <t xml:space="preserve"> (additional Length)</t>
    </r>
  </si>
  <si>
    <t>Spans &amp; Thicknesses</t>
  </si>
  <si>
    <t>Lowest@BTS Layout</t>
  </si>
  <si>
    <t>$STATE@Plate Header Option</t>
  </si>
  <si>
    <t>$STATE@Tube Header Option</t>
  </si>
  <si>
    <t>Header Type</t>
  </si>
  <si>
    <t>Option@Header Sketch</t>
  </si>
  <si>
    <t>Tube Header On/Off?</t>
  </si>
  <si>
    <t>Plate Header Option On/Off?</t>
  </si>
  <si>
    <t>$STATE@Workaround 1A</t>
  </si>
  <si>
    <t>$STATE@Workaround 1B</t>
  </si>
  <si>
    <t>Workaround 1A On/Off?</t>
  </si>
  <si>
    <t>Workaround 1B On/Off?</t>
  </si>
  <si>
    <t>BTS Location</t>
  </si>
  <si>
    <t>Header Type Options</t>
  </si>
  <si>
    <t>Bottom Tube Support</t>
  </si>
  <si>
    <t>Width@Retarder Size</t>
  </si>
  <si>
    <t>Gauge@Retarder Size</t>
  </si>
  <si>
    <t>thk@Retarder Size</t>
  </si>
  <si>
    <t>Retarder Width</t>
  </si>
  <si>
    <t>Retarder Thk</t>
  </si>
  <si>
    <t>Retarder Guage</t>
  </si>
  <si>
    <t>Retarder Thickness</t>
  </si>
  <si>
    <t>SS1@Header Sketch</t>
  </si>
  <si>
    <t>Side_Frame_Sizes_List</t>
  </si>
  <si>
    <t>C15 x 33.9</t>
  </si>
  <si>
    <t>C12 x 20.7</t>
  </si>
  <si>
    <t>C10 x 15.3</t>
  </si>
  <si>
    <t>MC12 x 10.6</t>
  </si>
  <si>
    <t>MC10 x 8.4</t>
  </si>
  <si>
    <t>Broke Channel</t>
  </si>
  <si>
    <t>End of List</t>
  </si>
  <si>
    <t>Weld Bar Top Offset</t>
  </si>
  <si>
    <t>Weld Bar Bottom Offset</t>
  </si>
  <si>
    <t>Float Bar Top Offset</t>
  </si>
  <si>
    <t>Float Bar Bottom Offset</t>
  </si>
  <si>
    <t>Side_Frame_Table</t>
  </si>
  <si>
    <t>End of Row</t>
  </si>
  <si>
    <t>Overall Dims</t>
  </si>
  <si>
    <t>Shaft Split Supports Layout</t>
  </si>
  <si>
    <t>Hole Sizes</t>
  </si>
  <si>
    <t>Retarder Layout</t>
  </si>
  <si>
    <t>Plate</t>
  </si>
  <si>
    <t>SQ Pipe</t>
  </si>
  <si>
    <t>Tube</t>
  </si>
  <si>
    <t>Header_Type_Table</t>
  </si>
  <si>
    <t>Header_Type_List</t>
  </si>
  <si>
    <t>Ref Dim</t>
  </si>
  <si>
    <t>Gap@Weld Gaps</t>
  </si>
  <si>
    <t>Weld Gap</t>
  </si>
  <si>
    <t>&lt;- section number</t>
  </si>
  <si>
    <t>$PRP@PartNo</t>
  </si>
  <si>
    <t>Part No</t>
  </si>
  <si>
    <t>PreWeld1@Header Sketch</t>
  </si>
  <si>
    <t>PreWeld2@Header Sketch</t>
  </si>
  <si>
    <t>Material Type</t>
  </si>
  <si>
    <t>Parent configuration</t>
  </si>
  <si>
    <t>Front or Rear</t>
  </si>
  <si>
    <t>Hole Sketch Plane Location</t>
  </si>
  <si>
    <t>Preweld Length</t>
  </si>
  <si>
    <t>Shaft Split?</t>
  </si>
  <si>
    <t>No</t>
  </si>
  <si>
    <t>↑</t>
  </si>
  <si>
    <t>Override Forumlas with custom values if needed…
Copy of original formulas below if needed to restore standard values</t>
  </si>
  <si>
    <t>Half Tube face {SS}?</t>
  </si>
  <si>
    <t>Half Tube face?</t>
  </si>
  <si>
    <t>Front-Cut Length</t>
  </si>
  <si>
    <t>Rear-Cut Length</t>
  </si>
  <si>
    <t>Offset@Sketch14</t>
  </si>
  <si>
    <t>Angle2@Sketch14</t>
  </si>
  <si>
    <t>TP_Chamfer_Angle</t>
  </si>
  <si>
    <t>Dimension "A"</t>
  </si>
  <si>
    <t>Angle to achive
Dimension "A"</t>
  </si>
  <si>
    <t>End Plate Offset</t>
  </si>
  <si>
    <t>End Plate Chamfers</t>
  </si>
  <si>
    <t>S</t>
  </si>
  <si>
    <t>U</t>
  </si>
  <si>
    <t>End Of Row</t>
  </si>
  <si>
    <t>$STATE@End Plate Inset Option</t>
  </si>
  <si>
    <t>$STATE@End Chamfer1</t>
  </si>
  <si>
    <t>$STATE@End Chamfer2</t>
  </si>
  <si>
    <t>End Plate Offset On/Off?</t>
  </si>
  <si>
    <t>End Plate Chamfer 1 On/Off?</t>
  </si>
  <si>
    <t>End Plate Chamfer 2 On/Off?</t>
  </si>
  <si>
    <t>Radius@Sketch127</t>
  </si>
  <si>
    <t>Tube / Pipe Radius</t>
  </si>
  <si>
    <t>$Prp@QTY_of_Long_Rows</t>
  </si>
  <si>
    <t>$Prp@QTY_of_Short_Rows</t>
  </si>
  <si>
    <t>Material_List</t>
  </si>
  <si>
    <t>Material</t>
  </si>
  <si>
    <t>Tube Connection Type</t>
  </si>
  <si>
    <t>D1@Chamfer Tube side Sketch</t>
  </si>
  <si>
    <t>D3@Chamfer Tube side Sketch</t>
  </si>
  <si>
    <t>Tube Hole Chamfer OD</t>
  </si>
  <si>
    <t>Last Tube loc@Tube No</t>
  </si>
  <si>
    <t>Last@Tube No</t>
  </si>
  <si>
    <t>Last Tube Location</t>
  </si>
  <si>
    <t>Last Tube No</t>
  </si>
  <si>
    <t>$STATE@Sketch122</t>
  </si>
  <si>
    <t>$STATE@Sketch139</t>
  </si>
  <si>
    <t>End Plate Chamfer 1 Sketch On/Off?</t>
  </si>
  <si>
    <t>End Plate Chamfer 2 Sketch On/Off?</t>
  </si>
  <si>
    <t>Certified Header Length
(REF ONLY)</t>
  </si>
  <si>
    <t>Short Row Offset {SS}@Row Dims Layout</t>
  </si>
  <si>
    <t>Row Length Bottom {SS}@Row Dims Layout</t>
  </si>
  <si>
    <t>Length of Bottom Long Row {SS}</t>
  </si>
  <si>
    <t>Length of Bottom Short Row {SS}</t>
  </si>
  <si>
    <t>Length of Top Row {SS}</t>
  </si>
  <si>
    <t>Length of Long Row</t>
  </si>
  <si>
    <t>Length of Short Row</t>
  </si>
  <si>
    <t>Length of Bottom Row {SS}</t>
  </si>
  <si>
    <t>Row offset {SS}</t>
  </si>
  <si>
    <t>Shaft Split Supports Layout {SS}</t>
  </si>
  <si>
    <r>
      <t xml:space="preserve">T&amp;P Span </t>
    </r>
    <r>
      <rPr>
        <b/>
        <sz val="11"/>
        <color theme="1"/>
        <rFont val="Calibri"/>
        <family val="2"/>
        <scheme val="minor"/>
      </rPr>
      <t>↔</t>
    </r>
  </si>
  <si>
    <r>
      <t xml:space="preserve">Wrapper Span  </t>
    </r>
    <r>
      <rPr>
        <b/>
        <sz val="11"/>
        <color theme="1"/>
        <rFont val="Calibri"/>
        <family val="2"/>
        <scheme val="minor"/>
      </rPr>
      <t>↕</t>
    </r>
  </si>
  <si>
    <t>Hole Location</t>
  </si>
  <si>
    <t>Header Options</t>
  </si>
  <si>
    <t>Pitch Standard@Pitch Standard</t>
  </si>
  <si>
    <t>Standard Pitch per Tube</t>
  </si>
  <si>
    <t>D1@Tapped Hole Sketch</t>
  </si>
  <si>
    <t>Product Line</t>
  </si>
  <si>
    <t>D1@Plug Holes Sketch {SS}</t>
  </si>
  <si>
    <t>Offset from End Drill (top row)</t>
  </si>
  <si>
    <t>Offset from End Drill (next row)</t>
  </si>
  <si>
    <t>Offset from End Drill (top row) {SS}</t>
  </si>
  <si>
    <t>Offset from End Drill (next row) {SS}</t>
  </si>
  <si>
    <t>SA516 70</t>
  </si>
  <si>
    <t>SA516 70 (N)</t>
  </si>
  <si>
    <t>SA240 304</t>
  </si>
  <si>
    <t>SA240 304L</t>
  </si>
  <si>
    <t>SA240 316</t>
  </si>
  <si>
    <t>SA240 316L</t>
  </si>
  <si>
    <t>SA240 S31803</t>
  </si>
  <si>
    <t>SA516 70 (SS)</t>
  </si>
  <si>
    <t>SA106 GR.C</t>
  </si>
  <si>
    <t>304 SS</t>
  </si>
  <si>
    <t>ASTM A500 GR.B</t>
  </si>
  <si>
    <t>Product@Header Sketch</t>
  </si>
  <si>
    <t>Prodcut Line Ref Number</t>
  </si>
  <si>
    <t>SectionNo</t>
  </si>
  <si>
    <t>$PRP@SectionNo</t>
  </si>
  <si>
    <t>Properties</t>
  </si>
  <si>
    <t>$PRP@JobNumber</t>
  </si>
  <si>
    <t>Job Number</t>
  </si>
  <si>
    <t>$Configuration@slide pad</t>
  </si>
  <si>
    <t>Slide_Pad_Configs</t>
  </si>
  <si>
    <t>BAR, 0.25 x 4 x 5.5</t>
  </si>
  <si>
    <t>None</t>
  </si>
  <si>
    <t>$Configuration@slide pad1</t>
  </si>
  <si>
    <t>$State@slide pad</t>
  </si>
  <si>
    <t>$State@slide pad1</t>
  </si>
  <si>
    <t>Slide Pad Lower Config</t>
  </si>
  <si>
    <t>Slide Pad Upper Config</t>
  </si>
  <si>
    <t>BAR, 0.25 x 2 x 2</t>
  </si>
  <si>
    <t>Slide Pad Upper On / Off?</t>
  </si>
  <si>
    <t>Slide Pad Lower On / Off?</t>
  </si>
  <si>
    <t>Slide Pad Lower
(Hammco)</t>
  </si>
  <si>
    <t>Slide Pad Upper
(Hammco)</t>
  </si>
  <si>
    <t>$STATE@Slide Pad Mirror</t>
  </si>
  <si>
    <t>$STATE@Slide Pad1 Mirror</t>
  </si>
  <si>
    <t>MIN</t>
  </si>
  <si>
    <t>SA214</t>
  </si>
  <si>
    <t>L-Tension Wheel</t>
  </si>
  <si>
    <t>AXC materials:SA214</t>
  </si>
  <si>
    <t>L-Tension Plain</t>
  </si>
  <si>
    <t>AXC materials:SA179</t>
  </si>
  <si>
    <t>Embedded</t>
  </si>
  <si>
    <t>AXC materials:SA249 304L</t>
  </si>
  <si>
    <t>Extruded</t>
  </si>
  <si>
    <t>AXC materials:SA213 316L</t>
  </si>
  <si>
    <t>AXC materials:SA249 316L</t>
  </si>
  <si>
    <t>SA179</t>
  </si>
  <si>
    <t>BWG_Table</t>
  </si>
  <si>
    <t>Tube_wall</t>
  </si>
  <si>
    <t>Wall thk</t>
  </si>
  <si>
    <t>BWG</t>
  </si>
  <si>
    <t>AVG</t>
  </si>
  <si>
    <t>SA249 304L</t>
  </si>
  <si>
    <t>SA249 316L</t>
  </si>
  <si>
    <t>Tube_Material_List</t>
  </si>
  <si>
    <t>Tube Size &amp; QTY</t>
  </si>
  <si>
    <t>Tube Raw data</t>
  </si>
  <si>
    <t>TubeWall@Tapped Hole Sketch</t>
  </si>
  <si>
    <t>Tube Wall Thickness</t>
  </si>
  <si>
    <t>Tube BWG ref</t>
  </si>
  <si>
    <t>Seal Weld</t>
  </si>
  <si>
    <t>Tube Connection Type@Header Sketch</t>
  </si>
  <si>
    <t>Tube Connection Type line Ref Number</t>
  </si>
  <si>
    <t>Standard</t>
  </si>
  <si>
    <t>Strength Weld</t>
  </si>
  <si>
    <t>Tube_Connection_Type_Table</t>
  </si>
  <si>
    <t>Ref number</t>
  </si>
  <si>
    <t>Tube_Connection_Type_List</t>
  </si>
  <si>
    <t>Tubes Reamed?</t>
  </si>
  <si>
    <t>Tubes Reamed Line Ref Number</t>
  </si>
  <si>
    <t>Tubes Reamed@Header Sketch</t>
  </si>
  <si>
    <t>D2@Chamfer Tube side Sketch</t>
  </si>
  <si>
    <t>D4@Chamfer Tube side Sketch</t>
  </si>
  <si>
    <t>D2@Chamfer Plug side Sketch</t>
  </si>
  <si>
    <t>D4@Chamfer Plug side Sketch</t>
  </si>
  <si>
    <r>
      <t xml:space="preserve">Chamfer Angle </t>
    </r>
    <r>
      <rPr>
        <b/>
        <sz val="11"/>
        <color theme="1"/>
        <rFont val="Calibri"/>
        <family val="2"/>
        <scheme val="minor"/>
      </rPr>
      <t>Plug Hole</t>
    </r>
    <r>
      <rPr>
        <i/>
        <sz val="11"/>
        <color theme="2"/>
        <rFont val="Calibri"/>
        <family val="2"/>
        <scheme val="minor"/>
      </rPr>
      <t xml:space="preserve">
(colored cell = Inside of box)</t>
    </r>
  </si>
  <si>
    <r>
      <t xml:space="preserve">Chamfer Angle </t>
    </r>
    <r>
      <rPr>
        <b/>
        <sz val="11"/>
        <color theme="1"/>
        <rFont val="Calibri"/>
        <family val="2"/>
        <scheme val="minor"/>
      </rPr>
      <t>Tube Hole</t>
    </r>
    <r>
      <rPr>
        <i/>
        <sz val="11"/>
        <color theme="2"/>
        <rFont val="Calibri"/>
        <family val="2"/>
        <scheme val="minor"/>
      </rPr>
      <t xml:space="preserve">
(colored cell = Inside of box)</t>
    </r>
  </si>
  <si>
    <t>Front Tube Hole Chamfer size</t>
  </si>
  <si>
    <t>Rear Tube Hole Chamfer Size</t>
  </si>
  <si>
    <t>TP_Chamfer_Angle_SS</t>
  </si>
  <si>
    <t>stainless used to bevel land of 0.0625</t>
  </si>
  <si>
    <t>Stainless</t>
  </si>
  <si>
    <t>$Prp@Description</t>
  </si>
  <si>
    <t>Description</t>
  </si>
  <si>
    <t>Carbon</t>
  </si>
  <si>
    <t>Material_Table</t>
  </si>
  <si>
    <t>Tto be incompliance with Appendix 28, 
and per Charles Bowers memorandum on sept 2nd 2016. 
Values changed from:</t>
  </si>
  <si>
    <t>Tube_Types_List</t>
  </si>
  <si>
    <t>$State@Vertical2@Sketch11498</t>
  </si>
  <si>
    <r>
      <rPr>
        <b/>
        <sz val="11"/>
        <color theme="1"/>
        <rFont val="Calibri"/>
        <family val="2"/>
        <scheme val="minor"/>
      </rPr>
      <t>BTS Layout Ref w / SS</t>
    </r>
    <r>
      <rPr>
        <sz val="11"/>
        <color theme="1"/>
        <rFont val="Calibri"/>
        <family val="2"/>
        <scheme val="minor"/>
      </rPr>
      <t xml:space="preserve">
sketch relations</t>
    </r>
  </si>
  <si>
    <r>
      <rPr>
        <b/>
        <sz val="11"/>
        <color theme="1"/>
        <rFont val="Calibri"/>
        <family val="2"/>
        <scheme val="minor"/>
      </rPr>
      <t>BTS Layout Ref</t>
    </r>
    <r>
      <rPr>
        <sz val="11"/>
        <color theme="1"/>
        <rFont val="Calibri"/>
        <family val="2"/>
        <scheme val="minor"/>
      </rPr>
      <t xml:space="preserve">
sketch relations</t>
    </r>
  </si>
  <si>
    <t>$State@Vertical9@Sketch11498</t>
  </si>
  <si>
    <t>$State@Vertical10@Sketch11498</t>
  </si>
  <si>
    <t>$State@Vertical11@Sketch11498</t>
  </si>
  <si>
    <t>$STATE@Cut-Extrude20</t>
  </si>
  <si>
    <t>$STATE@Sketch11498</t>
  </si>
  <si>
    <t>$STATE@3DSketch6</t>
  </si>
  <si>
    <t>$STATE@DeleteFace1</t>
  </si>
  <si>
    <t>BTS Layout Ref</t>
  </si>
  <si>
    <t>Header Overall Ref 
Lower Slide Pad Thk offset</t>
  </si>
  <si>
    <t>$STATE@Bottom of Box Slide pad thk setback</t>
  </si>
  <si>
    <t xml:space="preserve"> Header Type</t>
  </si>
  <si>
    <t>Angle@Sketch14</t>
  </si>
  <si>
    <t>JBevel_Land@Sketch14</t>
  </si>
  <si>
    <t>JBevel_Overlap@Sketch14</t>
  </si>
  <si>
    <t>Bevel Angle Wrapper</t>
  </si>
  <si>
    <t>Bevel Angle T&amp;P</t>
  </si>
  <si>
    <t>J Bevel Wrapper Overlap</t>
  </si>
  <si>
    <t>$STATE@Wrapper 4 JBevel</t>
  </si>
  <si>
    <t>D1@Wrapper 4 JBevel</t>
  </si>
  <si>
    <t>J Bevel Move Face distance</t>
  </si>
  <si>
    <t>J Bevel Move face (stretch Wrapper)
ON/OFF</t>
  </si>
  <si>
    <t>Bevel / J Bevel Data</t>
  </si>
  <si>
    <t>$state@equal length56@Sketch12</t>
  </si>
  <si>
    <t>$state@equal length55@Sketch12</t>
  </si>
  <si>
    <t>Regular Wrapper Width</t>
  </si>
  <si>
    <t>J Bevel Wrapper Width</t>
  </si>
  <si>
    <t>Bevel Land (obsolete)</t>
  </si>
  <si>
    <t>J Bevel (T&amp;P) Lower Land</t>
  </si>
  <si>
    <t>Lethal Header?</t>
  </si>
  <si>
    <t>Bevel Type</t>
  </si>
  <si>
    <t>End Plate Thickness</t>
  </si>
  <si>
    <t>D2@Sketch122</t>
  </si>
  <si>
    <t>End Plate Chamfer Dim</t>
  </si>
  <si>
    <t>$STATE@Lethal Option</t>
  </si>
  <si>
    <t>Lethal Option folder on/ off</t>
  </si>
  <si>
    <t>Angle2@Sketch139</t>
  </si>
  <si>
    <t>Lethal Features</t>
  </si>
  <si>
    <t xml:space="preserve"> 
</t>
  </si>
  <si>
    <t>Material Type@Header Sketch</t>
  </si>
  <si>
    <t>Plate NACE</t>
  </si>
  <si>
    <t>QTY in Long Row {SS}@Tapped Hole {SS} Sketch</t>
  </si>
  <si>
    <t>Additional Tubes {SS}@Tapped Hole {SS} Sketch</t>
  </si>
  <si>
    <t>D1@Tapped Hole {SS} Sketch</t>
  </si>
  <si>
    <t>_Pitch_@Tapped Hole {SS} Sketch</t>
  </si>
  <si>
    <t>Pitch {SS}</t>
  </si>
  <si>
    <t>Manufacture Method</t>
  </si>
  <si>
    <t>MFG_Method_Table</t>
  </si>
  <si>
    <t>Separate Headers</t>
  </si>
  <si>
    <t>MFG_Method_List</t>
  </si>
  <si>
    <t>End to End Headers</t>
  </si>
  <si>
    <t>$STATE@End2End Header</t>
  </si>
  <si>
    <t>$STATE@End2End Pattern</t>
  </si>
  <si>
    <t>$STATE@End2End Gap Fill1</t>
  </si>
  <si>
    <t>$STATE@End2End Gap Fill2</t>
  </si>
  <si>
    <t>$STATE@End2End Cleanup</t>
  </si>
  <si>
    <t>$STATE@End2End Extra Material</t>
  </si>
  <si>
    <t>End to End Header Option</t>
  </si>
  <si>
    <t>End to End Header Folder On / Off</t>
  </si>
  <si>
    <t>End to End Header Pattern On / Off</t>
  </si>
  <si>
    <t>End to End Header Gap Fill 1On / Off</t>
  </si>
  <si>
    <t>End to End Header Gap Fill 2 On / Off</t>
  </si>
  <si>
    <t>End to End Header Cleanup On / Off</t>
  </si>
  <si>
    <t>End to End Header Extra Material On / Off</t>
  </si>
  <si>
    <t>$STATE@End2End Remove Plates</t>
  </si>
  <si>
    <t>End to End Header Remove Plates On / Off</t>
  </si>
  <si>
    <t>D3@End2End Pattern</t>
  </si>
  <si>
    <t>Pattern Distance + 0.25 Gap</t>
  </si>
  <si>
    <t>$STATE@Holes (predrill)</t>
  </si>
  <si>
    <t>Welding Method</t>
  </si>
  <si>
    <t>Welding_Method_List</t>
  </si>
  <si>
    <t>TIG Root</t>
  </si>
  <si>
    <t>Angle2@Sketch122</t>
  </si>
  <si>
    <t>Override Forumla if needed…
Copy of original formula below to restore</t>
  </si>
  <si>
    <t>Override Forumla w/ custom value if needed…
Copy of original formula below to restore value</t>
  </si>
  <si>
    <t>Side Offset@End Plate Sketch</t>
  </si>
  <si>
    <t>Gap@Pass Plate Width layout Sketch</t>
  </si>
  <si>
    <t>Extra width clearance for End Plates</t>
  </si>
  <si>
    <t>Extra width clearance for Pass Plates</t>
  </si>
  <si>
    <t>$STATE@End2End Remove End Plates</t>
  </si>
  <si>
    <t>End to End Header Remove End Plates On / Off</t>
  </si>
  <si>
    <t>$STATE@Plug Hole</t>
  </si>
  <si>
    <t>Hole Predrill</t>
  </si>
  <si>
    <r>
      <t xml:space="preserve">For exact QTY </t>
    </r>
    <r>
      <rPr>
        <u/>
        <sz val="11"/>
        <rFont val="Calibri"/>
        <family val="2"/>
        <scheme val="minor"/>
      </rPr>
      <t>temporaily</t>
    </r>
    <r>
      <rPr>
        <sz val="11"/>
        <rFont val="Calibri"/>
        <family val="2"/>
        <scheme val="minor"/>
      </rPr>
      <t xml:space="preserve"> unsuppress "Hole QTY Check" folder and ref surface QTY</t>
    </r>
  </si>
  <si>
    <t>Estimated Tube QTY =</t>
  </si>
  <si>
    <t>Extra Length clearance for Pass Plates</t>
  </si>
  <si>
    <t>End Gap@Pass Plate Width layout Sketch</t>
  </si>
  <si>
    <t>$State@Distance93@H Pass Plate 1 Sketch</t>
  </si>
  <si>
    <t>$State@Distance119@H Pass Plate 1 Sketch</t>
  </si>
  <si>
    <t>$State@Distance93@H Pass Plate 2 Sketch</t>
  </si>
  <si>
    <t>$State@Distance119@H Pass Plate 2 Sketch</t>
  </si>
  <si>
    <t>Swap After tube Eq</t>
  </si>
  <si>
    <t>D1@Sketch11528</t>
  </si>
  <si>
    <t>Horizontal Pass Plate 1 - equation toggle AXC</t>
  </si>
  <si>
    <t>Horizontal Pass Plate 1 - equation toggle HAC</t>
  </si>
  <si>
    <t>Horizontal Pass Plate 2 - equation toggle AXC</t>
  </si>
  <si>
    <t>Horizontal Pass Plate 2 - equation toggle HAC</t>
  </si>
  <si>
    <t>D1@Sketch11529</t>
  </si>
  <si>
    <t>D1@HPP1 End Chamfter Sketch</t>
  </si>
  <si>
    <t>D1@HPP2 End Chamfter Sketch</t>
  </si>
  <si>
    <t>Chamfer angle around End Plate on SIDES
( inside of Tube and Plug plates )</t>
  </si>
  <si>
    <t>Chamfer angle around End Plate on TOP
( inside of Wrapper )</t>
  </si>
  <si>
    <t>$STATE@Chamfers</t>
  </si>
  <si>
    <t>T&amp;P Chamfers</t>
  </si>
  <si>
    <t>$STATE@Inner Chamfers</t>
  </si>
  <si>
    <t>$STATE@Wrapper Machining</t>
  </si>
  <si>
    <t>Wrapper Machining</t>
  </si>
  <si>
    <t>Inner Wrapper Chamfers</t>
  </si>
  <si>
    <t>End Plate Thk</t>
  </si>
  <si>
    <t>Angle 'b"</t>
  </si>
  <si>
    <t>TPW_Cham_Ang_at_EndPlate</t>
  </si>
  <si>
    <t>Hudson MFG method rules</t>
  </si>
  <si>
    <t>BEA fx</t>
  </si>
  <si>
    <t>BEA fx Change fx to "U", "S" when we understand Beasley chamfers</t>
  </si>
  <si>
    <t>Extra Header Plate Length
for Beasely manufacturing?</t>
  </si>
  <si>
    <t>Gap between End to End Headers</t>
  </si>
  <si>
    <t>Gap@Saw Lines End2End</t>
  </si>
  <si>
    <t>$STATE@End Radius</t>
  </si>
  <si>
    <t>End Plate Radius</t>
  </si>
  <si>
    <t>$STATE@Hold Down Holes</t>
  </si>
  <si>
    <t>Regular</t>
  </si>
  <si>
    <t>Header Hold Down Holes On / Off</t>
  </si>
  <si>
    <t>T&amp;P Predrill Holes Folder On/Off</t>
  </si>
  <si>
    <t>Design Table for: 000000_S03-HeaderBox</t>
  </si>
  <si>
    <t>$LIBRARY:MATERIAL@000000_S03-HeaderBox</t>
  </si>
  <si>
    <t>0.75 High Fin</t>
  </si>
  <si>
    <t>Tube Size</t>
  </si>
  <si>
    <t>Tube_Size_List</t>
  </si>
  <si>
    <t>Raw Fin Strip Width</t>
  </si>
  <si>
    <t>Raw Fin Width / height</t>
  </si>
  <si>
    <t>Raw Fin Thk</t>
  </si>
  <si>
    <t>Raw_Fin_Table</t>
  </si>
  <si>
    <t>V_leg@Sketch1</t>
  </si>
  <si>
    <t>H_leg@Sketch1</t>
  </si>
  <si>
    <t>Thickness@Sketch1</t>
  </si>
  <si>
    <t>Structural_Tube_Size_Table</t>
  </si>
  <si>
    <t>Structural_Tube_Size_List</t>
  </si>
  <si>
    <t>D1@Sketch1 (radius)</t>
  </si>
  <si>
    <t>V_Leg Unique</t>
  </si>
  <si>
    <t>H_Leg Unique</t>
  </si>
  <si>
    <t>Thk Unique</t>
  </si>
  <si>
    <t>**installed high fin Dia is 0.1875 taller than regular fin</t>
  </si>
  <si>
    <t>Values for Hammco</t>
  </si>
  <si>
    <t>Hammco</t>
  </si>
  <si>
    <t>AXC</t>
  </si>
  <si>
    <t>Section Number</t>
  </si>
  <si>
    <t>$PRP@SectionNumber</t>
  </si>
  <si>
    <t>Used On</t>
  </si>
  <si>
    <t>Type</t>
  </si>
  <si>
    <t>$PRP@USED ON</t>
  </si>
  <si>
    <t>$PRP@TYPE</t>
  </si>
  <si>
    <t>↑ Manual ↑
 Adjustment Cells</t>
  </si>
  <si>
    <t>Change these cells w/ pos or neg value to adjust the location of the Shaft Split supports and the Air shaft panels after nth tube hole .
Ref "Row Dims Sketch"</t>
  </si>
  <si>
    <r>
      <rPr>
        <b/>
        <sz val="12"/>
        <color theme="1"/>
        <rFont val="Calibri"/>
        <family val="2"/>
        <scheme val="minor"/>
      </rPr>
      <t>SSS After Tube</t>
    </r>
    <r>
      <rPr>
        <sz val="9"/>
        <color theme="1"/>
        <rFont val="Calibri"/>
        <family val="2"/>
        <scheme val="minor"/>
      </rPr>
      <t xml:space="preserve">
(Bottom row, from left) 
Air seal panel &amp; Shaft Split Support in SF</t>
    </r>
  </si>
  <si>
    <r>
      <rPr>
        <b/>
        <sz val="12"/>
        <color theme="1"/>
        <rFont val="Calibri"/>
        <family val="2"/>
        <scheme val="minor"/>
      </rPr>
      <t>SSS After Tube {SS}</t>
    </r>
    <r>
      <rPr>
        <sz val="9"/>
        <color theme="1"/>
        <rFont val="Calibri"/>
        <family val="2"/>
        <scheme val="minor"/>
      </rPr>
      <t xml:space="preserve">
(Bottom row, from right) 
Air seal panel &amp; Shaft Split Support in SF</t>
    </r>
  </si>
  <si>
    <t>Manual
↓Adj Cells Below↓
In Row 11</t>
  </si>
  <si>
    <t>SSS Locator
(Length of Bottom Row)</t>
  </si>
  <si>
    <t>Fan Shaft Angle</t>
  </si>
  <si>
    <t>Short Leg of Fan Shaft Angle Triangle
at bottom row Trig</t>
  </si>
  <si>
    <t xml:space="preserve">Additional Tubes {SS} Estimated </t>
  </si>
  <si>
    <t>No longer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</si>
</sst>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 tint="-0.34998626667073579"/>
      <name val="Calibri"/>
      <family val="2"/>
      <scheme val="minor"/>
    </font>
    <font>
      <b/>
      <sz val="16"/>
      <color rgb="FFFF0000"/>
      <name val="Calibri"/>
      <family val="2"/>
    </font>
    <font>
      <b/>
      <sz val="16"/>
      <color theme="1"/>
      <name val="Calibri"/>
      <family val="2"/>
      <scheme val="minor"/>
    </font>
    <font>
      <b/>
      <sz val="16"/>
      <color theme="0" tint="-0.34998626667073579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2"/>
      <name val="Calibri"/>
      <family val="2"/>
      <scheme val="minor"/>
    </font>
    <font>
      <sz val="11"/>
      <name val="Calibri"/>
      <family val="2"/>
      <scheme val="minor"/>
    </font>
    <font>
      <b/>
      <i/>
      <sz val="9"/>
      <color rgb="FFFF0000"/>
      <name val="Calibri Light"/>
      <family val="2"/>
    </font>
    <font>
      <b/>
      <sz val="1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0" tint="-0.34998626667073579"/>
      <name val="Calibri"/>
      <family val="2"/>
      <scheme val="minor"/>
    </font>
    <font>
      <b/>
      <sz val="20"/>
      <color rgb="FFD6A300"/>
      <name val="Calibri"/>
      <family val="2"/>
    </font>
    <font>
      <sz val="8"/>
      <color rgb="FFD6A300"/>
      <name val="Calibri"/>
      <family val="2"/>
      <scheme val="minor"/>
    </font>
    <font>
      <u/>
      <sz val="11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11"/>
      <color rgb="FFD6A300"/>
      <name val="Calibri"/>
      <family val="2"/>
    </font>
    <font>
      <sz val="9"/>
      <color theme="1"/>
      <name val="Calibri"/>
      <family val="2"/>
      <scheme val="minor"/>
    </font>
    <font>
      <b/>
      <sz val="9"/>
      <color rgb="FFD6A300"/>
      <name val="Calibri"/>
      <family val="2"/>
    </font>
    <font>
      <sz val="11"/>
      <color theme="0" tint="-0.3499862666707357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50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indexed="64"/>
      </bottom>
      <diagonal/>
    </border>
    <border>
      <left/>
      <right/>
      <top style="thick">
        <color auto="1"/>
      </top>
      <bottom style="thin">
        <color indexed="64"/>
      </bottom>
      <diagonal/>
    </border>
    <border>
      <left/>
      <right style="thick">
        <color auto="1"/>
      </right>
      <top style="thick">
        <color auto="1"/>
      </top>
      <bottom style="thin">
        <color indexed="64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indexed="64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ck">
        <color auto="1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ck">
        <color indexed="64"/>
      </right>
      <top style="thin">
        <color auto="1"/>
      </top>
      <bottom/>
      <diagonal/>
    </border>
    <border>
      <left/>
      <right style="thick">
        <color indexed="64"/>
      </right>
      <top style="thin">
        <color auto="1"/>
      </top>
      <bottom style="thin">
        <color indexed="64"/>
      </bottom>
      <diagonal/>
    </border>
    <border>
      <left/>
      <right style="mediumDashed">
        <color auto="1"/>
      </right>
      <top style="thick">
        <color auto="1"/>
      </top>
      <bottom style="thin">
        <color indexed="64"/>
      </bottom>
      <diagonal/>
    </border>
    <border>
      <left style="mediumDashed">
        <color auto="1"/>
      </left>
      <right/>
      <top style="thick">
        <color auto="1"/>
      </top>
      <bottom style="thin">
        <color indexed="64"/>
      </bottom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 style="thin">
        <color indexed="64"/>
      </bottom>
      <diagonal/>
    </border>
    <border>
      <left style="mediumDashed">
        <color auto="1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2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textRotation="90" wrapText="1"/>
    </xf>
    <xf numFmtId="49" fontId="0" fillId="0" borderId="0" xfId="0" applyNumberFormat="1" applyAlignment="1">
      <alignment horizontal="center" textRotation="90"/>
    </xf>
    <xf numFmtId="49" fontId="0" fillId="0" borderId="0" xfId="0" applyNumberFormat="1" applyAlignment="1">
      <alignment horizontal="center" textRotation="90" wrapText="1"/>
    </xf>
    <xf numFmtId="0" fontId="0" fillId="0" borderId="0" xfId="0" applyAlignment="1">
      <alignment horizontal="center" textRotation="90"/>
    </xf>
    <xf numFmtId="0" fontId="0" fillId="3" borderId="0" xfId="0" applyFill="1"/>
    <xf numFmtId="49" fontId="0" fillId="3" borderId="0" xfId="0" applyNumberFormat="1" applyFill="1" applyAlignment="1">
      <alignment horizontal="center" textRotation="90" wrapText="1"/>
    </xf>
    <xf numFmtId="0" fontId="0" fillId="3" borderId="0" xfId="0" applyFill="1" applyAlignment="1">
      <alignment horizontal="center" textRotation="90"/>
    </xf>
    <xf numFmtId="0" fontId="0" fillId="0" borderId="1" xfId="0" applyBorder="1" applyAlignment="1">
      <alignment horizontal="center" textRotation="90"/>
    </xf>
    <xf numFmtId="0" fontId="0" fillId="0" borderId="2" xfId="0" applyBorder="1" applyAlignment="1">
      <alignment horizontal="center" textRotation="90"/>
    </xf>
    <xf numFmtId="49" fontId="0" fillId="0" borderId="3" xfId="0" applyNumberFormat="1" applyBorder="1" applyAlignment="1">
      <alignment horizontal="center" textRotation="90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0" fillId="0" borderId="4" xfId="0" applyNumberFormat="1" applyBorder="1" applyAlignment="1">
      <alignment horizontal="center" textRotation="90"/>
    </xf>
    <xf numFmtId="0" fontId="0" fillId="0" borderId="4" xfId="0" applyBorder="1" applyAlignment="1">
      <alignment horizontal="center" textRotation="90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0" fontId="0" fillId="0" borderId="5" xfId="0" applyBorder="1" applyAlignment="1">
      <alignment horizontal="center" textRotation="90"/>
    </xf>
    <xf numFmtId="0" fontId="0" fillId="0" borderId="3" xfId="0" applyBorder="1" applyAlignment="1">
      <alignment horizontal="center" textRotation="90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4" borderId="3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6" xfId="0" applyBorder="1"/>
    <xf numFmtId="0" fontId="0" fillId="0" borderId="0" xfId="0" applyAlignment="1">
      <alignment wrapText="1"/>
    </xf>
    <xf numFmtId="0" fontId="3" fillId="0" borderId="6" xfId="0" applyFont="1" applyBorder="1" applyAlignment="1">
      <alignment horizontal="center" wrapText="1"/>
    </xf>
    <xf numFmtId="0" fontId="10" fillId="0" borderId="0" xfId="0" applyFont="1" applyAlignment="1">
      <alignment vertical="center"/>
    </xf>
    <xf numFmtId="0" fontId="0" fillId="0" borderId="12" xfId="0" applyBorder="1" applyAlignment="1">
      <alignment horizontal="center" textRotation="90"/>
    </xf>
    <xf numFmtId="0" fontId="0" fillId="2" borderId="12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2" borderId="5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8" fillId="0" borderId="1" xfId="0" applyFont="1" applyBorder="1" applyAlignment="1">
      <alignment horizontal="center" textRotation="90"/>
    </xf>
    <xf numFmtId="0" fontId="8" fillId="0" borderId="0" xfId="0" applyFont="1" applyAlignment="1">
      <alignment horizontal="center" textRotation="90"/>
    </xf>
    <xf numFmtId="0" fontId="8" fillId="0" borderId="2" xfId="0" applyFont="1" applyBorder="1" applyAlignment="1">
      <alignment horizontal="center" textRotation="90"/>
    </xf>
    <xf numFmtId="0" fontId="0" fillId="0" borderId="0" xfId="0" applyAlignment="1">
      <alignment textRotation="90" wrapText="1"/>
    </xf>
    <xf numFmtId="0" fontId="0" fillId="0" borderId="2" xfId="0" applyBorder="1" applyAlignment="1">
      <alignment horizontal="center"/>
    </xf>
    <xf numFmtId="0" fontId="0" fillId="6" borderId="0" xfId="0" applyFill="1" applyAlignment="1">
      <alignment horizontal="left"/>
    </xf>
    <xf numFmtId="0" fontId="0" fillId="6" borderId="0" xfId="0" applyFill="1"/>
    <xf numFmtId="0" fontId="4" fillId="6" borderId="0" xfId="0" applyFont="1" applyFill="1" applyAlignment="1">
      <alignment horizontal="center"/>
    </xf>
    <xf numFmtId="0" fontId="4" fillId="6" borderId="0" xfId="0" applyFont="1" applyFill="1"/>
    <xf numFmtId="49" fontId="0" fillId="6" borderId="0" xfId="0" applyNumberFormat="1" applyFill="1"/>
    <xf numFmtId="49" fontId="0" fillId="0" borderId="17" xfId="0" applyNumberFormat="1" applyBorder="1" applyAlignment="1">
      <alignment horizontal="center" textRotation="90"/>
    </xf>
    <xf numFmtId="49" fontId="0" fillId="0" borderId="18" xfId="0" applyNumberFormat="1" applyBorder="1" applyAlignment="1">
      <alignment horizontal="center" textRotation="90"/>
    </xf>
    <xf numFmtId="49" fontId="0" fillId="0" borderId="16" xfId="0" applyNumberFormat="1" applyBorder="1" applyAlignment="1">
      <alignment horizontal="center" textRotation="90"/>
    </xf>
    <xf numFmtId="49" fontId="8" fillId="0" borderId="16" xfId="0" applyNumberFormat="1" applyFont="1" applyBorder="1" applyAlignment="1">
      <alignment horizontal="center" textRotation="90"/>
    </xf>
    <xf numFmtId="49" fontId="8" fillId="0" borderId="17" xfId="0" applyNumberFormat="1" applyFont="1" applyBorder="1" applyAlignment="1">
      <alignment horizontal="center" textRotation="90"/>
    </xf>
    <xf numFmtId="49" fontId="8" fillId="0" borderId="18" xfId="0" applyNumberFormat="1" applyFont="1" applyBorder="1" applyAlignment="1">
      <alignment horizontal="center" textRotation="90"/>
    </xf>
    <xf numFmtId="49" fontId="0" fillId="0" borderId="19" xfId="0" applyNumberFormat="1" applyBorder="1" applyAlignment="1">
      <alignment horizontal="center" textRotation="90" wrapText="1"/>
    </xf>
    <xf numFmtId="0" fontId="0" fillId="4" borderId="2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49" fontId="0" fillId="3" borderId="0" xfId="0" applyNumberFormat="1" applyFill="1" applyAlignment="1">
      <alignment textRotation="90" wrapText="1"/>
    </xf>
    <xf numFmtId="0" fontId="11" fillId="7" borderId="0" xfId="0" applyFont="1" applyFill="1" applyAlignment="1">
      <alignment horizontal="center"/>
    </xf>
    <xf numFmtId="0" fontId="3" fillId="0" borderId="0" xfId="0" applyFont="1" applyAlignment="1">
      <alignment horizontal="center" wrapText="1"/>
    </xf>
    <xf numFmtId="49" fontId="0" fillId="0" borderId="24" xfId="0" applyNumberFormat="1" applyBorder="1" applyAlignment="1">
      <alignment horizontal="center"/>
    </xf>
    <xf numFmtId="0" fontId="0" fillId="0" borderId="17" xfId="0" applyBorder="1" applyAlignment="1">
      <alignment horizontal="center" textRotation="90"/>
    </xf>
    <xf numFmtId="49" fontId="0" fillId="0" borderId="1" xfId="0" applyNumberFormat="1" applyBorder="1" applyAlignment="1">
      <alignment horizontal="center"/>
    </xf>
    <xf numFmtId="0" fontId="0" fillId="2" borderId="0" xfId="0" applyFill="1" applyAlignment="1">
      <alignment horizontal="center" textRotation="90"/>
    </xf>
    <xf numFmtId="49" fontId="11" fillId="7" borderId="0" xfId="0" applyNumberFormat="1" applyFont="1" applyFill="1" applyAlignment="1">
      <alignment horizontal="center"/>
    </xf>
    <xf numFmtId="49" fontId="0" fillId="0" borderId="17" xfId="0" applyNumberFormat="1" applyBorder="1" applyAlignment="1">
      <alignment horizontal="center" textRotation="90" wrapText="1"/>
    </xf>
    <xf numFmtId="49" fontId="12" fillId="6" borderId="0" xfId="0" applyNumberFormat="1" applyFont="1" applyFill="1"/>
    <xf numFmtId="0" fontId="12" fillId="6" borderId="0" xfId="0" applyFont="1" applyFill="1"/>
    <xf numFmtId="0" fontId="6" fillId="0" borderId="2" xfId="0" applyFont="1" applyBorder="1" applyAlignment="1">
      <alignment horizontal="center" vertical="center"/>
    </xf>
    <xf numFmtId="0" fontId="0" fillId="0" borderId="22" xfId="0" applyBorder="1"/>
    <xf numFmtId="49" fontId="1" fillId="0" borderId="17" xfId="0" applyNumberFormat="1" applyFont="1" applyBorder="1" applyAlignment="1">
      <alignment horizontal="center" textRotation="90"/>
    </xf>
    <xf numFmtId="0" fontId="13" fillId="0" borderId="0" xfId="0" applyFont="1" applyAlignment="1">
      <alignment horizontal="center"/>
    </xf>
    <xf numFmtId="49" fontId="14" fillId="0" borderId="17" xfId="0" applyNumberFormat="1" applyFont="1" applyBorder="1" applyAlignment="1">
      <alignment horizontal="center" textRotation="90"/>
    </xf>
    <xf numFmtId="0" fontId="5" fillId="0" borderId="5" xfId="0" applyFont="1" applyBorder="1" applyAlignment="1">
      <alignment horizontal="center"/>
    </xf>
    <xf numFmtId="0" fontId="0" fillId="4" borderId="25" xfId="0" applyFill="1" applyBorder="1" applyAlignment="1">
      <alignment horizontal="center"/>
    </xf>
    <xf numFmtId="49" fontId="1" fillId="0" borderId="26" xfId="0" applyNumberFormat="1" applyFont="1" applyBorder="1" applyAlignment="1">
      <alignment horizontal="center" textRotation="90"/>
    </xf>
    <xf numFmtId="49" fontId="1" fillId="0" borderId="18" xfId="0" applyNumberFormat="1" applyFont="1" applyBorder="1" applyAlignment="1">
      <alignment horizontal="center" textRotation="90"/>
    </xf>
    <xf numFmtId="0" fontId="14" fillId="0" borderId="0" xfId="0" applyFont="1" applyAlignment="1">
      <alignment horizontal="center" textRotation="90"/>
    </xf>
    <xf numFmtId="0" fontId="0" fillId="0" borderId="14" xfId="0" applyBorder="1" applyAlignment="1">
      <alignment vertical="center" wrapText="1"/>
    </xf>
    <xf numFmtId="0" fontId="16" fillId="4" borderId="0" xfId="0" applyFont="1" applyFill="1" applyAlignment="1">
      <alignment horizontal="center"/>
    </xf>
    <xf numFmtId="0" fontId="0" fillId="3" borderId="6" xfId="0" applyFill="1" applyBorder="1"/>
    <xf numFmtId="0" fontId="0" fillId="3" borderId="6" xfId="0" applyFill="1" applyBorder="1" applyAlignment="1">
      <alignment horizontal="center"/>
    </xf>
    <xf numFmtId="49" fontId="0" fillId="0" borderId="5" xfId="0" applyNumberFormat="1" applyBorder="1" applyAlignment="1">
      <alignment horizontal="center" textRotation="90"/>
    </xf>
    <xf numFmtId="0" fontId="0" fillId="5" borderId="3" xfId="0" applyFill="1" applyBorder="1" applyAlignment="1">
      <alignment horizontal="center"/>
    </xf>
    <xf numFmtId="0" fontId="0" fillId="2" borderId="6" xfId="0" applyFill="1" applyBorder="1"/>
    <xf numFmtId="0" fontId="0" fillId="2" borderId="0" xfId="0" applyFill="1"/>
    <xf numFmtId="0" fontId="10" fillId="0" borderId="0" xfId="0" applyFont="1" applyAlignment="1">
      <alignment horizontal="center" vertical="center"/>
    </xf>
    <xf numFmtId="0" fontId="0" fillId="0" borderId="6" xfId="0" applyBorder="1" applyAlignment="1">
      <alignment horizontal="center"/>
    </xf>
    <xf numFmtId="49" fontId="0" fillId="0" borderId="6" xfId="0" applyNumberFormat="1" applyBorder="1"/>
    <xf numFmtId="0" fontId="10" fillId="0" borderId="6" xfId="0" applyFont="1" applyBorder="1" applyAlignment="1">
      <alignment vertical="center"/>
    </xf>
    <xf numFmtId="0" fontId="12" fillId="0" borderId="0" xfId="0" applyFont="1"/>
    <xf numFmtId="0" fontId="0" fillId="4" borderId="21" xfId="0" applyFill="1" applyBorder="1" applyAlignment="1">
      <alignment horizontal="center" vertical="top"/>
    </xf>
    <xf numFmtId="0" fontId="0" fillId="4" borderId="24" xfId="0" applyFill="1" applyBorder="1" applyAlignment="1">
      <alignment horizontal="center" vertical="top"/>
    </xf>
    <xf numFmtId="0" fontId="0" fillId="0" borderId="15" xfId="0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textRotation="90" wrapText="1"/>
    </xf>
    <xf numFmtId="0" fontId="0" fillId="0" borderId="27" xfId="0" applyBorder="1" applyAlignment="1">
      <alignment horizontal="center" textRotation="90"/>
    </xf>
    <xf numFmtId="0" fontId="0" fillId="4" borderId="27" xfId="0" applyFill="1" applyBorder="1" applyAlignment="1">
      <alignment horizont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wrapText="1"/>
    </xf>
    <xf numFmtId="0" fontId="0" fillId="0" borderId="0" xfId="0" applyAlignment="1">
      <alignment horizontal="center" vertical="top"/>
    </xf>
    <xf numFmtId="0" fontId="21" fillId="7" borderId="0" xfId="0" applyFont="1" applyFill="1" applyAlignment="1">
      <alignment horizontal="center"/>
    </xf>
    <xf numFmtId="0" fontId="22" fillId="0" borderId="31" xfId="0" applyFont="1" applyBorder="1" applyAlignment="1">
      <alignment horizontal="center" vertical="top"/>
    </xf>
    <xf numFmtId="0" fontId="22" fillId="0" borderId="11" xfId="0" applyFont="1" applyBorder="1" applyAlignment="1">
      <alignment horizontal="center" vertical="top"/>
    </xf>
    <xf numFmtId="0" fontId="18" fillId="0" borderId="0" xfId="0" applyFont="1" applyAlignment="1">
      <alignment horizontal="center" vertical="center"/>
    </xf>
    <xf numFmtId="0" fontId="0" fillId="2" borderId="22" xfId="0" applyFill="1" applyBorder="1" applyAlignment="1">
      <alignment horizontal="center"/>
    </xf>
    <xf numFmtId="49" fontId="0" fillId="4" borderId="22" xfId="0" applyNumberFormat="1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49" fontId="0" fillId="4" borderId="32" xfId="0" applyNumberFormat="1" applyFill="1" applyBorder="1" applyAlignment="1">
      <alignment horizontal="center"/>
    </xf>
    <xf numFmtId="0" fontId="0" fillId="4" borderId="32" xfId="0" applyFill="1" applyBorder="1" applyAlignment="1">
      <alignment horizontal="center"/>
    </xf>
    <xf numFmtId="0" fontId="0" fillId="4" borderId="33" xfId="0" applyFill="1" applyBorder="1" applyAlignment="1">
      <alignment horizontal="center"/>
    </xf>
    <xf numFmtId="0" fontId="0" fillId="4" borderId="34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16" fillId="5" borderId="22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16" fillId="5" borderId="0" xfId="0" applyFont="1" applyFill="1" applyAlignment="1">
      <alignment horizontal="center"/>
    </xf>
    <xf numFmtId="0" fontId="0" fillId="8" borderId="0" xfId="0" applyFill="1" applyAlignment="1">
      <alignment horizontal="center" textRotation="90"/>
    </xf>
    <xf numFmtId="49" fontId="0" fillId="8" borderId="0" xfId="0" applyNumberFormat="1" applyFill="1" applyAlignment="1">
      <alignment horizontal="center" textRotation="90"/>
    </xf>
    <xf numFmtId="0" fontId="0" fillId="0" borderId="10" xfId="0" applyBorder="1"/>
    <xf numFmtId="0" fontId="0" fillId="0" borderId="11" xfId="0" applyBorder="1"/>
    <xf numFmtId="49" fontId="0" fillId="8" borderId="0" xfId="0" applyNumberFormat="1" applyFill="1"/>
    <xf numFmtId="0" fontId="0" fillId="8" borderId="0" xfId="0" applyFill="1"/>
    <xf numFmtId="0" fontId="14" fillId="0" borderId="27" xfId="0" applyFont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8" borderId="0" xfId="0" applyFill="1" applyAlignment="1">
      <alignment horizontal="center" textRotation="90" wrapText="1"/>
    </xf>
    <xf numFmtId="0" fontId="0" fillId="0" borderId="3" xfId="0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/>
    </xf>
    <xf numFmtId="0" fontId="0" fillId="5" borderId="6" xfId="0" applyFill="1" applyBorder="1"/>
    <xf numFmtId="0" fontId="0" fillId="4" borderId="6" xfId="0" applyFill="1" applyBorder="1"/>
    <xf numFmtId="0" fontId="0" fillId="9" borderId="6" xfId="0" applyFill="1" applyBorder="1"/>
    <xf numFmtId="0" fontId="16" fillId="6" borderId="0" xfId="0" applyFont="1" applyFill="1" applyAlignment="1">
      <alignment horizontal="left" vertical="center"/>
    </xf>
    <xf numFmtId="0" fontId="0" fillId="0" borderId="6" xfId="0" quotePrefix="1" applyBorder="1"/>
    <xf numFmtId="0" fontId="0" fillId="3" borderId="6" xfId="0" quotePrefix="1" applyFill="1" applyBorder="1"/>
    <xf numFmtId="0" fontId="1" fillId="6" borderId="38" xfId="0" applyFont="1" applyFill="1" applyBorder="1"/>
    <xf numFmtId="0" fontId="0" fillId="0" borderId="0" xfId="0" applyAlignment="1">
      <alignment horizontal="center" wrapText="1"/>
    </xf>
    <xf numFmtId="0" fontId="2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49" fontId="0" fillId="0" borderId="43" xfId="0" applyNumberFormat="1" applyBorder="1" applyAlignment="1">
      <alignment horizontal="center" textRotation="90"/>
    </xf>
    <xf numFmtId="0" fontId="0" fillId="0" borderId="45" xfId="0" applyBorder="1" applyAlignment="1">
      <alignment horizontal="center" textRotation="90"/>
    </xf>
    <xf numFmtId="0" fontId="5" fillId="0" borderId="45" xfId="0" applyFont="1" applyBorder="1" applyAlignment="1">
      <alignment horizontal="center"/>
    </xf>
    <xf numFmtId="0" fontId="0" fillId="4" borderId="45" xfId="0" applyFill="1" applyBorder="1" applyAlignment="1">
      <alignment horizontal="center"/>
    </xf>
    <xf numFmtId="0" fontId="0" fillId="4" borderId="46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4" borderId="48" xfId="0" applyFill="1" applyBorder="1" applyAlignment="1">
      <alignment horizontal="center"/>
    </xf>
    <xf numFmtId="49" fontId="0" fillId="0" borderId="44" xfId="0" applyNumberFormat="1" applyBorder="1" applyAlignment="1">
      <alignment horizontal="center" textRotation="90" wrapText="1"/>
    </xf>
    <xf numFmtId="49" fontId="0" fillId="0" borderId="18" xfId="0" applyNumberFormat="1" applyBorder="1" applyAlignment="1">
      <alignment horizontal="center" textRotation="90" wrapText="1"/>
    </xf>
    <xf numFmtId="0" fontId="0" fillId="0" borderId="46" xfId="0" applyBorder="1" applyAlignment="1">
      <alignment horizontal="center" textRotation="90"/>
    </xf>
    <xf numFmtId="0" fontId="0" fillId="2" borderId="4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 vertical="top"/>
    </xf>
    <xf numFmtId="49" fontId="23" fillId="0" borderId="39" xfId="0" applyNumberFormat="1" applyFont="1" applyBorder="1" applyAlignment="1">
      <alignment vertical="center" wrapText="1"/>
    </xf>
    <xf numFmtId="49" fontId="30" fillId="0" borderId="17" xfId="0" applyNumberFormat="1" applyFont="1" applyBorder="1" applyAlignment="1">
      <alignment horizontal="center" textRotation="90"/>
    </xf>
    <xf numFmtId="49" fontId="0" fillId="0" borderId="3" xfId="0" applyNumberFormat="1" applyBorder="1" applyAlignment="1">
      <alignment horizontal="center" textRotation="90" wrapText="1"/>
    </xf>
    <xf numFmtId="49" fontId="0" fillId="0" borderId="31" xfId="0" applyNumberFormat="1" applyBorder="1" applyAlignment="1">
      <alignment horizontal="center" textRotation="90"/>
    </xf>
    <xf numFmtId="0" fontId="0" fillId="0" borderId="31" xfId="0" applyBorder="1" applyAlignment="1">
      <alignment horizontal="center" textRotation="90"/>
    </xf>
    <xf numFmtId="0" fontId="0" fillId="2" borderId="31" xfId="0" applyFill="1" applyBorder="1" applyAlignment="1">
      <alignment horizontal="center"/>
    </xf>
    <xf numFmtId="0" fontId="0" fillId="4" borderId="31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4" fillId="6" borderId="0" xfId="0" applyFont="1" applyFill="1" applyAlignment="1">
      <alignment horizontal="left"/>
    </xf>
    <xf numFmtId="0" fontId="16" fillId="6" borderId="0" xfId="0" applyFont="1" applyFill="1" applyAlignment="1">
      <alignment horizontal="center"/>
    </xf>
    <xf numFmtId="0" fontId="16" fillId="6" borderId="0" xfId="0" applyFont="1" applyFill="1" applyAlignment="1">
      <alignment horizontal="center" vertical="center"/>
    </xf>
    <xf numFmtId="0" fontId="1" fillId="6" borderId="38" xfId="0" applyFont="1" applyFill="1" applyBorder="1" applyAlignment="1">
      <alignment horizontal="center"/>
    </xf>
    <xf numFmtId="0" fontId="18" fillId="0" borderId="28" xfId="0" applyFont="1" applyBorder="1" applyAlignment="1">
      <alignment horizontal="center" vertical="center"/>
    </xf>
    <xf numFmtId="0" fontId="18" fillId="0" borderId="29" xfId="0" applyFont="1" applyBorder="1" applyAlignment="1">
      <alignment horizontal="center" vertical="center"/>
    </xf>
    <xf numFmtId="0" fontId="18" fillId="0" borderId="30" xfId="0" applyFont="1" applyBorder="1" applyAlignment="1">
      <alignment horizontal="center" vertical="center"/>
    </xf>
    <xf numFmtId="0" fontId="18" fillId="0" borderId="35" xfId="0" applyFont="1" applyBorder="1" applyAlignment="1">
      <alignment horizontal="center" vertical="center"/>
    </xf>
    <xf numFmtId="0" fontId="18" fillId="0" borderId="36" xfId="0" applyFont="1" applyBorder="1" applyAlignment="1">
      <alignment horizontal="center" vertical="center"/>
    </xf>
    <xf numFmtId="0" fontId="18" fillId="0" borderId="37" xfId="0" applyFont="1" applyBorder="1" applyAlignment="1">
      <alignment horizontal="center" vertical="center"/>
    </xf>
    <xf numFmtId="0" fontId="29" fillId="0" borderId="6" xfId="0" applyFont="1" applyBorder="1" applyAlignment="1">
      <alignment horizontal="center" vertical="top" wrapText="1"/>
    </xf>
    <xf numFmtId="0" fontId="29" fillId="0" borderId="49" xfId="0" applyFont="1" applyBorder="1" applyAlignment="1">
      <alignment horizontal="center" vertical="top" wrapText="1"/>
    </xf>
    <xf numFmtId="49" fontId="0" fillId="0" borderId="0" xfId="0" applyNumberFormat="1" applyAlignment="1">
      <alignment horizontal="center" textRotation="90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23" fillId="0" borderId="8" xfId="0" applyNumberFormat="1" applyFont="1" applyBorder="1" applyAlignment="1">
      <alignment horizontal="center" vertical="center" wrapText="1"/>
    </xf>
    <xf numFmtId="49" fontId="23" fillId="0" borderId="9" xfId="0" applyNumberFormat="1" applyFont="1" applyBorder="1" applyAlignment="1">
      <alignment horizontal="center" vertical="center" wrapText="1"/>
    </xf>
    <xf numFmtId="0" fontId="17" fillId="0" borderId="0" xfId="0" applyFont="1" applyAlignment="1">
      <alignment vertical="top"/>
    </xf>
    <xf numFmtId="0" fontId="17" fillId="0" borderId="5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9" fillId="0" borderId="0" xfId="0" applyFont="1" applyAlignment="1">
      <alignment horizontal="right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23" fillId="0" borderId="7" xfId="0" applyNumberFormat="1" applyFont="1" applyBorder="1" applyAlignment="1">
      <alignment horizontal="center" vertical="center" wrapText="1"/>
    </xf>
    <xf numFmtId="49" fontId="23" fillId="0" borderId="42" xfId="0" applyNumberFormat="1" applyFont="1" applyBorder="1" applyAlignment="1">
      <alignment horizontal="center" vertical="center" wrapText="1"/>
    </xf>
    <xf numFmtId="0" fontId="17" fillId="0" borderId="0" xfId="0" applyFont="1" applyAlignment="1">
      <alignment vertical="top" wrapText="1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27" fillId="0" borderId="40" xfId="0" applyFont="1" applyBorder="1" applyAlignment="1">
      <alignment horizontal="center" vertical="top" wrapText="1"/>
    </xf>
    <xf numFmtId="0" fontId="27" fillId="0" borderId="41" xfId="0" applyFont="1" applyBorder="1" applyAlignment="1">
      <alignment horizontal="center" vertical="top"/>
    </xf>
    <xf numFmtId="0" fontId="0" fillId="8" borderId="0" xfId="0" applyFill="1"/>
    <xf numFmtId="0" fontId="0" fillId="3" borderId="6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0" fillId="0" borderId="0" xfId="0" applyFont="1" applyFill="1" applyBorder="1" applyAlignment="1">
      <alignment vertical="center"/>
    </xf>
  </cellXfs>
  <cellStyles count="1">
    <cellStyle name="Normal" xfId="0" builtinId="0"/>
  </cellStyles>
  <dxfs count="18">
    <dxf>
      <font>
        <color theme="0" tint="-4.9989318521683403E-2"/>
      </font>
    </dxf>
    <dxf>
      <font>
        <color theme="0" tint="-0.34998626667073579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theme="0" tint="-0.24994659260841701"/>
      </font>
    </dxf>
    <dxf>
      <font>
        <color auto="1"/>
      </font>
      <fill>
        <patternFill patternType="solid">
          <bgColor rgb="FFFFB7B7"/>
        </patternFill>
      </fill>
    </dxf>
    <dxf>
      <font>
        <color auto="1"/>
      </font>
      <fill>
        <patternFill patternType="solid">
          <bgColor rgb="FFFF9393"/>
        </patternFill>
      </fill>
    </dxf>
    <dxf>
      <font>
        <color theme="1"/>
      </font>
      <fill>
        <patternFill>
          <bgColor rgb="FFFF8585"/>
        </patternFill>
      </fill>
    </dxf>
    <dxf>
      <font>
        <color theme="0"/>
      </font>
    </dxf>
    <dxf>
      <fill>
        <patternFill>
          <bgColor rgb="FFFF7575"/>
        </patternFill>
      </fill>
    </dxf>
    <dxf>
      <font>
        <color theme="0" tint="-0.24994659260841701"/>
      </font>
    </dxf>
    <dxf>
      <font>
        <color theme="0"/>
      </font>
    </dxf>
    <dxf>
      <fill>
        <patternFill>
          <bgColor rgb="FFFFFF00"/>
        </patternFill>
      </fill>
    </dxf>
    <dxf>
      <font>
        <color theme="0" tint="-0.24994659260841701"/>
      </font>
    </dxf>
    <dxf>
      <font>
        <color theme="0"/>
      </font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colors>
    <mruColors>
      <color rgb="FFFF7575"/>
      <color rgb="FFFF8585"/>
      <color rgb="FFD6A300"/>
      <color rgb="FFFFB7B7"/>
      <color rgb="FFFF93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</xdr:colOff>
      <xdr:row>1</xdr:row>
      <xdr:rowOff>1</xdr:rowOff>
    </xdr:from>
    <xdr:to>
      <xdr:col>18</xdr:col>
      <xdr:colOff>1666485</xdr:colOff>
      <xdr:row>16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17583151" y="2171701"/>
          <a:ext cx="3742934" cy="287654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22</xdr:col>
      <xdr:colOff>514350</xdr:colOff>
      <xdr:row>12</xdr:row>
      <xdr:rowOff>142875</xdr:rowOff>
    </xdr:from>
    <xdr:to>
      <xdr:col>28</xdr:col>
      <xdr:colOff>233475</xdr:colOff>
      <xdr:row>25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F31A490-2C12-4BA8-A2CB-A3FFD0BD1F3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1835"/>
        <a:stretch/>
      </xdr:blipFill>
      <xdr:spPr>
        <a:xfrm>
          <a:off x="23698200" y="2619375"/>
          <a:ext cx="3862500" cy="2352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C1689"/>
  <sheetViews>
    <sheetView tabSelected="1" zoomScaleNormal="100" workbookViewId="0">
      <selection activeCell="C4" sqref="C4"/>
    </sheetView>
  </sheetViews>
  <sheetFormatPr defaultRowHeight="14.4" outlineLevelRow="1" outlineLevelCol="1" x14ac:dyDescent="0.3"/>
  <cols>
    <col min="1" max="1" width="22.88671875" style="1" bestFit="1" customWidth="1"/>
    <col min="2" max="2" width="10.6640625" style="1" customWidth="1"/>
    <col min="3" max="3" width="13.6640625" customWidth="1"/>
    <col min="4" max="4" width="14.44140625" customWidth="1"/>
    <col min="5" max="5" width="18.6640625" customWidth="1"/>
    <col min="6" max="6" width="7.6640625" customWidth="1"/>
    <col min="7" max="7" width="4.88671875" customWidth="1"/>
    <col min="8" max="8" width="13.88671875" bestFit="1" customWidth="1"/>
    <col min="9" max="9" width="13.88671875" customWidth="1"/>
    <col min="10" max="10" width="18.88671875" bestFit="1" customWidth="1"/>
    <col min="11" max="11" width="9.109375" customWidth="1"/>
    <col min="12" max="12" width="13.5546875" bestFit="1" customWidth="1"/>
    <col min="13" max="13" width="3.6640625" bestFit="1" customWidth="1"/>
    <col min="14" max="14" width="7.44140625" customWidth="1"/>
    <col min="15" max="16" width="4.88671875" bestFit="1" customWidth="1"/>
    <col min="17" max="17" width="4.88671875" customWidth="1"/>
    <col min="18" max="18" width="8.109375" customWidth="1"/>
    <col min="19" max="19" width="8.33203125" customWidth="1"/>
    <col min="20" max="20" width="8" customWidth="1"/>
    <col min="21" max="22" width="13.5546875" customWidth="1"/>
    <col min="23" max="23" width="9.109375" customWidth="1"/>
    <col min="24" max="24" width="6.109375" style="2" bestFit="1" customWidth="1"/>
    <col min="25" max="25" width="8.33203125" customWidth="1"/>
    <col min="26" max="26" width="12.33203125" customWidth="1"/>
    <col min="27" max="27" width="3.6640625" bestFit="1" customWidth="1"/>
    <col min="28" max="28" width="6.88671875" customWidth="1"/>
    <col min="29" max="30" width="10.33203125" customWidth="1"/>
    <col min="31" max="33" width="18.109375" customWidth="1"/>
    <col min="34" max="34" width="12.33203125" bestFit="1" customWidth="1"/>
    <col min="35" max="35" width="12.33203125" customWidth="1"/>
    <col min="36" max="36" width="5.6640625" hidden="1" customWidth="1" outlineLevel="1"/>
    <col min="37" max="37" width="5.33203125" hidden="1" customWidth="1" outlineLevel="1"/>
    <col min="38" max="38" width="11.33203125" hidden="1" customWidth="1" outlineLevel="1"/>
    <col min="39" max="39" width="8.44140625" hidden="1" customWidth="1" outlineLevel="1"/>
    <col min="40" max="40" width="3.6640625" hidden="1" customWidth="1" outlineLevel="1"/>
    <col min="41" max="44" width="4.88671875" style="1" hidden="1" customWidth="1" outlineLevel="1"/>
    <col min="45" max="45" width="3.6640625" style="1" hidden="1" customWidth="1" outlineLevel="1"/>
    <col min="46" max="46" width="6.5546875" style="1" hidden="1" customWidth="1" outlineLevel="1"/>
    <col min="47" max="47" width="3.6640625" style="1" hidden="1" customWidth="1" outlineLevel="1"/>
    <col min="48" max="48" width="6.5546875" style="1" hidden="1" customWidth="1" outlineLevel="1"/>
    <col min="49" max="49" width="3.6640625" style="1" hidden="1" customWidth="1" outlineLevel="1"/>
    <col min="50" max="50" width="6.88671875" style="1" hidden="1" customWidth="1" outlineLevel="1"/>
    <col min="51" max="51" width="6.5546875" style="1" hidden="1" customWidth="1" outlineLevel="1"/>
    <col min="52" max="52" width="6.33203125" style="1" hidden="1" customWidth="1" outlineLevel="1"/>
    <col min="53" max="53" width="3.6640625" style="1" hidden="1" customWidth="1" outlineLevel="1"/>
    <col min="54" max="58" width="7.88671875" style="1" hidden="1" customWidth="1" outlineLevel="1"/>
    <col min="59" max="62" width="12" style="1" hidden="1" customWidth="1" outlineLevel="1"/>
    <col min="63" max="64" width="3.109375" hidden="1" customWidth="1" outlineLevel="1"/>
    <col min="65" max="65" width="16.44140625" hidden="1" customWidth="1" outlineLevel="1"/>
    <col min="66" max="67" width="3.109375" hidden="1" customWidth="1" outlineLevel="1"/>
    <col min="68" max="68" width="16.44140625" hidden="1" customWidth="1" outlineLevel="1"/>
    <col min="69" max="69" width="5.44140625" hidden="1" customWidth="1" outlineLevel="1"/>
    <col min="70" max="70" width="4.88671875" style="1" hidden="1" customWidth="1" outlineLevel="1"/>
    <col min="71" max="71" width="3.6640625" hidden="1" customWidth="1" outlineLevel="1"/>
    <col min="72" max="73" width="8.44140625" hidden="1" customWidth="1" outlineLevel="1"/>
    <col min="74" max="74" width="9.33203125" hidden="1" customWidth="1" outlineLevel="1"/>
    <col min="75" max="76" width="9.33203125" style="1" hidden="1" customWidth="1" outlineLevel="1"/>
    <col min="77" max="77" width="5.44140625" style="1" hidden="1" customWidth="1" outlineLevel="1"/>
    <col min="78" max="79" width="5.5546875" style="1" hidden="1" customWidth="1" outlineLevel="1"/>
    <col min="80" max="80" width="5.44140625" style="1" hidden="1" customWidth="1" outlineLevel="1"/>
    <col min="81" max="81" width="6" style="1" hidden="1" customWidth="1" outlineLevel="1"/>
    <col min="82" max="82" width="9" hidden="1" customWidth="1" outlineLevel="1"/>
    <col min="83" max="83" width="13.88671875" hidden="1" customWidth="1" outlineLevel="1"/>
    <col min="84" max="84" width="11" style="1" hidden="1" customWidth="1" outlineLevel="1"/>
    <col min="85" max="85" width="11" hidden="1" customWidth="1" outlineLevel="1"/>
    <col min="86" max="86" width="12" hidden="1" customWidth="1" outlineLevel="1"/>
    <col min="87" max="87" width="10" hidden="1" customWidth="1" outlineLevel="1"/>
    <col min="88" max="88" width="8.44140625" hidden="1" customWidth="1" outlineLevel="1"/>
    <col min="89" max="89" width="4.33203125" hidden="1" customWidth="1" outlineLevel="1"/>
    <col min="90" max="90" width="8.5546875" hidden="1" customWidth="1" outlineLevel="1"/>
    <col min="91" max="91" width="7" hidden="1" customWidth="1" outlineLevel="1"/>
    <col min="92" max="93" width="4.88671875" hidden="1" customWidth="1" outlineLevel="1"/>
    <col min="94" max="94" width="9.5546875" hidden="1" customWidth="1" outlineLevel="1"/>
    <col min="95" max="95" width="5.88671875" hidden="1" customWidth="1" outlineLevel="1"/>
    <col min="96" max="96" width="4.88671875" style="1" hidden="1" customWidth="1" outlineLevel="1"/>
    <col min="97" max="97" width="6.5546875" style="1" hidden="1" customWidth="1" outlineLevel="1"/>
    <col min="98" max="101" width="4.88671875" hidden="1" customWidth="1" outlineLevel="1"/>
    <col min="102" max="102" width="10.44140625" hidden="1" customWidth="1" outlineLevel="1"/>
    <col min="103" max="103" width="12.6640625" hidden="1" customWidth="1" outlineLevel="1"/>
    <col min="104" max="104" width="9.6640625" hidden="1" customWidth="1" outlineLevel="1"/>
    <col min="105" max="105" width="9.33203125" hidden="1" customWidth="1" outlineLevel="1"/>
    <col min="106" max="106" width="10.44140625" hidden="1" customWidth="1" outlineLevel="1"/>
    <col min="107" max="107" width="13.88671875" hidden="1" customWidth="1" outlineLevel="1"/>
    <col min="108" max="109" width="11.5546875" hidden="1" customWidth="1" outlineLevel="1"/>
    <col min="110" max="110" width="5.5546875" hidden="1" customWidth="1" outlineLevel="1"/>
    <col min="111" max="111" width="4.44140625" hidden="1" customWidth="1" outlineLevel="1"/>
    <col min="112" max="112" width="11.5546875" hidden="1" customWidth="1" outlineLevel="1"/>
    <col min="113" max="113" width="4.88671875" style="7" hidden="1" customWidth="1" outlineLevel="1"/>
    <col min="114" max="114" width="20.6640625" hidden="1" customWidth="1" outlineLevel="1"/>
    <col min="115" max="115" width="7" hidden="1" customWidth="1" outlineLevel="1"/>
    <col min="116" max="116" width="8.33203125" hidden="1" customWidth="1" outlineLevel="1"/>
    <col min="117" max="117" width="5" hidden="1" customWidth="1" outlineLevel="1"/>
    <col min="118" max="118" width="3.88671875" hidden="1" customWidth="1" outlineLevel="1"/>
    <col min="119" max="119" width="9.44140625" hidden="1" customWidth="1" outlineLevel="1"/>
    <col min="120" max="121" width="7.109375" hidden="1" customWidth="1" outlineLevel="1"/>
    <col min="122" max="122" width="14.88671875" hidden="1" customWidth="1" outlineLevel="1"/>
    <col min="123" max="123" width="8.33203125" hidden="1" customWidth="1" outlineLevel="1"/>
    <col min="124" max="124" width="12.44140625" hidden="1" customWidth="1" outlineLevel="1"/>
    <col min="125" max="125" width="3.6640625" hidden="1" customWidth="1" outlineLevel="1"/>
    <col min="126" max="126" width="12.6640625" hidden="1" customWidth="1" outlineLevel="1"/>
    <col min="127" max="128" width="11" hidden="1" customWidth="1" outlineLevel="1"/>
    <col min="129" max="129" width="6.5546875" hidden="1" customWidth="1" outlineLevel="1"/>
    <col min="130" max="130" width="5" hidden="1" customWidth="1" outlineLevel="1"/>
    <col min="131" max="131" width="6.5546875" hidden="1" customWidth="1" outlineLevel="1"/>
    <col min="132" max="138" width="16.33203125" hidden="1" customWidth="1" outlineLevel="1"/>
    <col min="139" max="139" width="13.6640625" hidden="1" customWidth="1" outlineLevel="1"/>
    <col min="140" max="140" width="12.109375" hidden="1" customWidth="1" outlineLevel="1"/>
    <col min="141" max="143" width="8.33203125" hidden="1" customWidth="1" outlineLevel="1"/>
    <col min="144" max="144" width="5" hidden="1" customWidth="1" outlineLevel="1"/>
    <col min="145" max="145" width="7.109375" hidden="1" customWidth="1" outlineLevel="1"/>
    <col min="146" max="146" width="6" hidden="1" customWidth="1" outlineLevel="1"/>
    <col min="147" max="147" width="3.6640625" hidden="1" customWidth="1" outlineLevel="1"/>
    <col min="148" max="150" width="3.109375" hidden="1" customWidth="1" outlineLevel="1"/>
    <col min="151" max="151" width="4.33203125" hidden="1" customWidth="1" outlineLevel="1"/>
    <col min="152" max="153" width="4.88671875" hidden="1" customWidth="1" outlineLevel="1"/>
    <col min="154" max="154" width="5.44140625" hidden="1" customWidth="1" outlineLevel="1"/>
    <col min="155" max="156" width="4.33203125" hidden="1" customWidth="1" outlineLevel="1"/>
    <col min="157" max="158" width="7.109375" hidden="1" customWidth="1" outlineLevel="1"/>
    <col min="159" max="159" width="35.33203125" hidden="1" customWidth="1" outlineLevel="1"/>
    <col min="160" max="160" width="3.6640625" hidden="1" customWidth="1" outlineLevel="1"/>
    <col min="161" max="161" width="12.6640625" hidden="1" customWidth="1" outlineLevel="1"/>
    <col min="162" max="163" width="8.5546875" hidden="1" customWidth="1" outlineLevel="1"/>
    <col min="164" max="164" width="30.6640625" hidden="1" customWidth="1" outlineLevel="1"/>
    <col min="165" max="165" width="8.5546875" hidden="1" customWidth="1" outlineLevel="1"/>
    <col min="166" max="168" width="8.44140625" hidden="1" customWidth="1" outlineLevel="1"/>
    <col min="169" max="169" width="11.88671875" customWidth="1" collapsed="1"/>
    <col min="170" max="170" width="12" bestFit="1" customWidth="1"/>
    <col min="171" max="175" width="4.88671875" customWidth="1"/>
    <col min="176" max="176" width="8.5546875" customWidth="1"/>
    <col min="179" max="198" width="4.88671875" customWidth="1"/>
    <col min="199" max="199" width="17.44140625" customWidth="1"/>
    <col min="200" max="200" width="17.6640625" customWidth="1"/>
    <col min="201" max="206" width="4.88671875" customWidth="1"/>
    <col min="207" max="208" width="4.88671875" style="1" customWidth="1"/>
    <col min="209" max="209" width="5.6640625" customWidth="1"/>
    <col min="210" max="213" width="4.88671875" style="1" customWidth="1"/>
    <col min="214" max="214" width="4.88671875" customWidth="1"/>
    <col min="215" max="217" width="4.88671875" style="1" customWidth="1"/>
    <col min="218" max="219" width="13.6640625" customWidth="1"/>
    <col min="220" max="220" width="9.109375" customWidth="1"/>
    <col min="221" max="221" width="8" customWidth="1"/>
    <col min="222" max="226" width="4.88671875" style="1" customWidth="1"/>
    <col min="227" max="229" width="4.88671875" customWidth="1"/>
    <col min="230" max="244" width="4.88671875" style="1" customWidth="1"/>
    <col min="245" max="245" width="6.88671875" customWidth="1"/>
    <col min="246" max="246" width="4.88671875" customWidth="1"/>
    <col min="247" max="247" width="8" customWidth="1"/>
    <col min="248" max="248" width="6.88671875" customWidth="1"/>
    <col min="249" max="249" width="4.88671875" customWidth="1"/>
    <col min="250" max="250" width="8" customWidth="1"/>
    <col min="251" max="251" width="9.109375" customWidth="1"/>
    <col min="252" max="254" width="5.6640625" customWidth="1"/>
    <col min="255" max="256" width="9.109375" customWidth="1"/>
    <col min="257" max="258" width="5.6640625" customWidth="1"/>
    <col min="259" max="260" width="8" customWidth="1"/>
    <col min="261" max="272" width="4.88671875" style="1" customWidth="1"/>
    <col min="273" max="274" width="4.88671875" customWidth="1"/>
    <col min="275" max="275" width="8" customWidth="1"/>
    <col min="276" max="277" width="4.88671875" customWidth="1"/>
    <col min="278" max="278" width="8" customWidth="1"/>
    <col min="279" max="279" width="4.88671875" style="1" customWidth="1"/>
    <col min="280" max="281" width="4.88671875" customWidth="1"/>
    <col min="282" max="282" width="5.6640625" customWidth="1"/>
    <col min="283" max="284" width="4.88671875" style="1" customWidth="1"/>
    <col min="285" max="286" width="4.88671875" customWidth="1"/>
    <col min="287" max="287" width="5.6640625" customWidth="1"/>
    <col min="288" max="291" width="4.88671875" style="1" customWidth="1"/>
    <col min="292" max="293" width="13.6640625" customWidth="1"/>
    <col min="294" max="294" width="11.44140625" customWidth="1"/>
    <col min="295" max="295" width="5.6640625" customWidth="1"/>
    <col min="296" max="299" width="4.88671875" customWidth="1"/>
    <col min="300" max="301" width="4.88671875" style="1" customWidth="1"/>
    <col min="302" max="303" width="13.6640625" customWidth="1"/>
    <col min="304" max="304" width="4.88671875" customWidth="1"/>
    <col min="305" max="305" width="11.44140625" customWidth="1"/>
    <col min="306" max="309" width="4.88671875" customWidth="1"/>
    <col min="310" max="367" width="4.88671875" style="1" customWidth="1"/>
  </cols>
  <sheetData>
    <row r="1" spans="1:367" s="84" customFormat="1" x14ac:dyDescent="0.3">
      <c r="A1" s="83" t="s">
        <v>411</v>
      </c>
      <c r="B1" s="83"/>
      <c r="K1" s="183" t="s">
        <v>371</v>
      </c>
      <c r="L1" s="183"/>
      <c r="M1" s="183"/>
      <c r="N1" s="183"/>
      <c r="O1" s="183"/>
      <c r="P1" s="183"/>
      <c r="Q1" s="183"/>
      <c r="R1" s="183"/>
      <c r="S1" s="183"/>
      <c r="T1" s="183"/>
      <c r="U1" s="150"/>
      <c r="V1" s="150" t="str">
        <f>IF(Header_Type="Tube",     CONCATENATE(IF(T_and_P_Span_Front=Wrapper_Span,"TS","TR"),Wrapper_Thk+T_and_P_Span_Front+Wrapper_Thk,"x",T_and_P_Thk+Wrapper_Span+T_and_P_Thk,"x",T_and_P_Thk), "")</f>
        <v/>
      </c>
      <c r="X1" s="182"/>
      <c r="Y1" s="182"/>
      <c r="AC1" s="191" t="s">
        <v>443</v>
      </c>
      <c r="AD1" s="191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R1" s="83"/>
      <c r="BW1" s="83"/>
      <c r="BX1" s="83"/>
      <c r="BY1" s="83"/>
      <c r="BZ1" s="83"/>
      <c r="CA1" s="83"/>
      <c r="CB1" s="83"/>
      <c r="CC1" s="83"/>
      <c r="CF1" s="83"/>
      <c r="CR1" s="83"/>
      <c r="CS1" s="83"/>
      <c r="DP1" s="107"/>
      <c r="GY1" s="83"/>
      <c r="GZ1" s="83"/>
      <c r="HB1" s="83"/>
      <c r="HC1" s="83"/>
      <c r="HD1" s="83"/>
      <c r="HE1" s="83"/>
      <c r="HG1" s="83"/>
      <c r="HH1" s="83"/>
      <c r="HI1" s="83"/>
      <c r="HN1" s="83"/>
      <c r="HO1" s="83"/>
      <c r="HP1" s="83"/>
      <c r="HQ1" s="83"/>
      <c r="HR1" s="83"/>
      <c r="HV1" s="83"/>
      <c r="HW1" s="83"/>
      <c r="HX1" s="83"/>
      <c r="HY1" s="83"/>
      <c r="HZ1" s="83"/>
      <c r="IA1" s="83"/>
      <c r="IB1" s="83"/>
      <c r="IC1" s="83"/>
      <c r="ID1" s="83"/>
      <c r="IE1" s="83"/>
      <c r="IF1" s="83"/>
      <c r="IG1" s="83"/>
      <c r="IH1" s="83"/>
      <c r="II1" s="83"/>
      <c r="IJ1" s="83"/>
      <c r="JA1" s="83"/>
      <c r="JB1" s="83"/>
      <c r="JC1" s="83"/>
      <c r="JD1" s="83"/>
      <c r="JE1" s="83"/>
      <c r="JF1" s="83"/>
      <c r="JG1" s="83"/>
      <c r="JH1" s="83"/>
      <c r="JI1" s="83"/>
      <c r="JJ1" s="83"/>
      <c r="JK1" s="83"/>
      <c r="JL1" s="83"/>
      <c r="JS1" s="83"/>
      <c r="JW1" s="83"/>
      <c r="JX1" s="83"/>
      <c r="KB1" s="83"/>
      <c r="KC1" s="83"/>
      <c r="KD1" s="83"/>
      <c r="KE1" s="83"/>
      <c r="KN1" s="83"/>
      <c r="KO1" s="83"/>
      <c r="KX1" s="83"/>
      <c r="KY1" s="83"/>
      <c r="KZ1" s="83"/>
      <c r="LA1" s="83"/>
      <c r="LB1" s="83"/>
      <c r="LC1" s="83"/>
      <c r="LD1" s="83"/>
      <c r="LE1" s="83"/>
      <c r="LF1" s="83"/>
      <c r="LG1" s="83"/>
      <c r="LH1" s="83"/>
      <c r="LI1" s="83"/>
      <c r="LJ1" s="83"/>
      <c r="LK1" s="83"/>
      <c r="LL1" s="83"/>
      <c r="LM1" s="83"/>
      <c r="LN1" s="83"/>
      <c r="LO1" s="83"/>
      <c r="LP1" s="83"/>
      <c r="LQ1" s="83"/>
      <c r="LR1" s="83"/>
      <c r="LS1" s="83"/>
      <c r="LT1" s="83"/>
      <c r="LU1" s="83"/>
      <c r="LV1" s="83"/>
      <c r="LW1" s="83"/>
      <c r="LX1" s="83"/>
      <c r="LY1" s="83"/>
      <c r="LZ1" s="83"/>
      <c r="MA1" s="83"/>
      <c r="MB1" s="83"/>
      <c r="MC1" s="83"/>
      <c r="MD1" s="83"/>
      <c r="ME1" s="83"/>
      <c r="MF1" s="83"/>
      <c r="MG1" s="83"/>
      <c r="MH1" s="83"/>
      <c r="MI1" s="83"/>
      <c r="MJ1" s="83"/>
      <c r="MK1" s="83"/>
      <c r="ML1" s="83"/>
      <c r="MM1" s="83"/>
      <c r="MN1" s="83"/>
      <c r="MO1" s="83"/>
      <c r="MP1" s="83"/>
      <c r="MQ1" s="83"/>
      <c r="MR1" s="83"/>
      <c r="MS1" s="83"/>
      <c r="MT1" s="83"/>
      <c r="MU1" s="83"/>
      <c r="MV1" s="83"/>
      <c r="MW1" s="83"/>
      <c r="MX1" s="83"/>
      <c r="MY1" s="83"/>
      <c r="MZ1" s="83"/>
      <c r="NA1" s="83"/>
      <c r="NB1" s="83"/>
      <c r="NC1" s="83"/>
    </row>
    <row r="2" spans="1:367" ht="18.600000000000001" thickBot="1" x14ac:dyDescent="0.4">
      <c r="A2" s="58" t="str">
        <f>UPPER(RIGHT($FC$5,LEN($FC$5)-FIND("@",$FC$5,1)))</f>
        <v>000000_S03-HEADERBOX</v>
      </c>
      <c r="B2" s="58" t="str">
        <f>IF(ISNUMBER(LEFT($A$2,1)+0), "", LEFT($A$2,MIN(FIND({0,1,2,3,4,5,6,7,8,9},A2&amp;"0123456789"))-1))</f>
        <v/>
      </c>
      <c r="C2" s="60">
        <f>MID($A$2,FIND("_",$A$2,1)+2,2)+0</f>
        <v>3</v>
      </c>
      <c r="D2" s="61" t="s">
        <v>123</v>
      </c>
      <c r="H2" s="61"/>
      <c r="I2" s="61"/>
      <c r="J2" s="61"/>
      <c r="K2" s="181" t="s">
        <v>372</v>
      </c>
      <c r="L2" s="181"/>
      <c r="M2" s="181"/>
      <c r="N2" s="181"/>
      <c r="O2" s="181">
        <f>(QTY_in_Long_Row_Pattern*QTY_of_Long_Rows_Actual)+(QTY_in_Short_Row_Pattern*QTY_of_Short_Rows_Actual)+IF(SS_1=0, 0, (QTY_in_Long_Row_SS_Pattern*CV6)+(QTY_in_Short_Row_SS_Pattern*CW6))</f>
        <v>78</v>
      </c>
      <c r="P2" s="181"/>
      <c r="Q2" s="181"/>
      <c r="R2" s="184" t="str">
        <f>IF(AND(Header_Type="tube",  Wrapper_Thk&lt;&gt;T_and_P_Thk),  "Thicknesses must match", "")</f>
        <v/>
      </c>
      <c r="S2" s="184"/>
      <c r="T2" s="184"/>
      <c r="U2" s="184" t="str">
        <f>IF(Header_Type&lt;&gt;"Tube", "", IF(ISERROR(VLOOKUP(V1,Structural_Tube_Size_List,1,FALSE)), "Invalid Structural tube size", "")  )</f>
        <v/>
      </c>
      <c r="V2" s="184"/>
      <c r="W2" s="153"/>
      <c r="X2" s="59"/>
      <c r="Y2" s="59"/>
      <c r="Z2" s="59"/>
      <c r="AA2" s="59"/>
      <c r="AB2" s="62"/>
      <c r="AC2" s="192"/>
      <c r="AD2" s="192"/>
      <c r="AE2" s="59"/>
      <c r="AF2" s="59"/>
      <c r="AG2" s="59"/>
      <c r="AH2" s="59"/>
      <c r="AI2" s="59"/>
      <c r="AJ2" s="59"/>
      <c r="AK2" s="59"/>
      <c r="AM2" s="1"/>
      <c r="AN2" s="1"/>
      <c r="BB2"/>
      <c r="BC2"/>
      <c r="BD2"/>
      <c r="BE2"/>
      <c r="BF2"/>
      <c r="BG2"/>
      <c r="BH2"/>
      <c r="BI2"/>
      <c r="BJ2"/>
      <c r="BR2"/>
      <c r="BS2" s="1"/>
      <c r="BT2" s="1"/>
      <c r="BU2" s="1"/>
      <c r="BW2"/>
      <c r="BX2"/>
      <c r="BY2"/>
      <c r="BZ2"/>
      <c r="CA2"/>
      <c r="CB2"/>
      <c r="CC2"/>
      <c r="CF2"/>
      <c r="CN2" s="1"/>
      <c r="CP2" s="1"/>
      <c r="CR2"/>
      <c r="CS2"/>
      <c r="DI2"/>
      <c r="FJ2" s="1"/>
      <c r="GY2"/>
      <c r="GZ2"/>
      <c r="HB2"/>
      <c r="HC2"/>
      <c r="HD2"/>
      <c r="HE2"/>
      <c r="HG2"/>
      <c r="HH2"/>
      <c r="HI2"/>
      <c r="HN2"/>
      <c r="HO2"/>
      <c r="HP2"/>
      <c r="HQ2"/>
      <c r="HR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JA2"/>
      <c r="JB2"/>
      <c r="JC2"/>
      <c r="JD2"/>
      <c r="JE2"/>
      <c r="JF2"/>
      <c r="JG2"/>
      <c r="JH2"/>
      <c r="JI2"/>
      <c r="JJ2"/>
      <c r="JK2"/>
      <c r="JL2"/>
      <c r="JS2"/>
      <c r="JW2"/>
      <c r="JX2"/>
      <c r="KB2"/>
      <c r="KC2"/>
      <c r="KD2"/>
      <c r="KE2"/>
      <c r="KN2"/>
      <c r="KO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</row>
    <row r="3" spans="1:367" s="14" customFormat="1" ht="39.75" customHeight="1" thickTop="1" thickBot="1" x14ac:dyDescent="0.35">
      <c r="A3" s="193"/>
      <c r="B3" s="194" t="s">
        <v>189</v>
      </c>
      <c r="C3" s="195"/>
      <c r="D3" s="195"/>
      <c r="E3" s="195"/>
      <c r="F3" s="195"/>
      <c r="G3" s="195"/>
      <c r="H3" s="195"/>
      <c r="I3" s="195"/>
      <c r="J3" s="196"/>
      <c r="K3" s="194" t="s">
        <v>253</v>
      </c>
      <c r="L3" s="195"/>
      <c r="M3" s="195"/>
      <c r="N3" s="195"/>
      <c r="O3" s="195"/>
      <c r="P3" s="195"/>
      <c r="Q3" s="196"/>
      <c r="R3" s="95"/>
      <c r="S3" s="213" t="s">
        <v>74</v>
      </c>
      <c r="T3" s="214"/>
      <c r="U3" s="214"/>
      <c r="V3" s="214"/>
      <c r="W3" s="215"/>
      <c r="X3" s="194" t="s">
        <v>133</v>
      </c>
      <c r="Y3" s="195"/>
      <c r="Z3" s="195"/>
      <c r="AA3" s="195"/>
      <c r="AB3" s="195"/>
      <c r="AC3" s="195"/>
      <c r="AD3" s="196"/>
      <c r="AE3" s="213" t="s">
        <v>188</v>
      </c>
      <c r="AF3" s="214"/>
      <c r="AG3" s="215"/>
      <c r="AH3" s="214" t="s">
        <v>111</v>
      </c>
      <c r="AI3" s="215"/>
      <c r="AJ3" s="197" t="s">
        <v>87</v>
      </c>
      <c r="AK3" s="198"/>
      <c r="AL3" s="198"/>
      <c r="AM3" s="198"/>
      <c r="AN3" s="198"/>
      <c r="AO3" s="198"/>
      <c r="AP3" s="198"/>
      <c r="AQ3" s="198"/>
      <c r="AR3" s="198"/>
      <c r="AS3" s="198"/>
      <c r="AT3" s="198"/>
      <c r="AU3" s="198"/>
      <c r="AV3" s="198"/>
      <c r="AW3" s="198"/>
      <c r="AX3" s="198"/>
      <c r="AY3" s="198"/>
      <c r="AZ3" s="198"/>
      <c r="BA3" s="198"/>
      <c r="BB3" s="198"/>
      <c r="BC3" s="198"/>
      <c r="BD3" s="198"/>
      <c r="BE3" s="198"/>
      <c r="BF3" s="198"/>
      <c r="BG3" s="198"/>
      <c r="BH3" s="198"/>
      <c r="BI3" s="198"/>
      <c r="BJ3" s="198"/>
      <c r="BK3" s="198"/>
      <c r="BL3" s="198"/>
      <c r="BM3" s="198"/>
      <c r="BN3" s="198"/>
      <c r="BO3" s="198"/>
      <c r="BP3" s="198"/>
      <c r="BQ3" s="198"/>
      <c r="BR3" s="199"/>
      <c r="BS3" s="218" t="s">
        <v>325</v>
      </c>
      <c r="BT3" s="198"/>
      <c r="BU3" s="199"/>
      <c r="BV3" s="217" t="s">
        <v>113</v>
      </c>
      <c r="BW3" s="180"/>
      <c r="BX3" s="180"/>
      <c r="BY3" s="180"/>
      <c r="BZ3" s="180"/>
      <c r="CA3" s="180"/>
      <c r="CB3" s="180"/>
      <c r="CC3" s="180"/>
      <c r="CD3" s="180"/>
      <c r="CE3" s="180"/>
      <c r="CF3" s="180"/>
      <c r="CG3" s="180"/>
      <c r="CH3" s="180"/>
      <c r="CI3" s="216"/>
      <c r="CJ3" s="145"/>
      <c r="CK3" s="144"/>
      <c r="CL3" s="180" t="s">
        <v>47</v>
      </c>
      <c r="CM3" s="180"/>
      <c r="CN3" s="180"/>
      <c r="CO3" s="180"/>
      <c r="CP3" s="180"/>
      <c r="CQ3" s="216"/>
      <c r="CR3" s="13"/>
      <c r="CS3" s="13"/>
      <c r="CT3" s="217" t="s">
        <v>52</v>
      </c>
      <c r="CU3" s="180"/>
      <c r="CV3" s="180"/>
      <c r="CW3" s="216"/>
      <c r="CX3" s="217" t="s">
        <v>112</v>
      </c>
      <c r="CY3" s="180"/>
      <c r="CZ3" s="180"/>
      <c r="DA3" s="180"/>
      <c r="DB3" s="216"/>
      <c r="DC3" s="46"/>
      <c r="DD3" s="217" t="s">
        <v>185</v>
      </c>
      <c r="DE3" s="180"/>
      <c r="DF3" s="180"/>
      <c r="DG3" s="180"/>
      <c r="DH3" s="180"/>
      <c r="DI3" s="15"/>
      <c r="DJ3" s="111" t="s">
        <v>88</v>
      </c>
      <c r="DK3" s="211" t="s">
        <v>114</v>
      </c>
      <c r="DL3" s="212"/>
      <c r="DM3" s="212"/>
      <c r="DR3" s="185" t="s">
        <v>310</v>
      </c>
      <c r="DS3" s="186"/>
      <c r="DT3" s="186"/>
      <c r="DU3" s="186"/>
      <c r="DV3" s="186"/>
      <c r="DW3" s="186"/>
      <c r="DX3" s="186"/>
      <c r="DY3" s="186"/>
      <c r="DZ3" s="187"/>
      <c r="EA3" s="121"/>
      <c r="EB3" s="188" t="s">
        <v>345</v>
      </c>
      <c r="EC3" s="189"/>
      <c r="ED3" s="189"/>
      <c r="EE3" s="189"/>
      <c r="EF3" s="189"/>
      <c r="EG3" s="189"/>
      <c r="EH3" s="189"/>
      <c r="EI3" s="189"/>
      <c r="EJ3" s="190"/>
      <c r="EK3" s="121"/>
      <c r="EL3" s="121"/>
      <c r="EM3" s="121"/>
      <c r="EN3" s="121"/>
      <c r="EO3" s="121"/>
      <c r="EU3" s="180" t="s">
        <v>379</v>
      </c>
      <c r="EV3" s="180"/>
      <c r="EW3" s="180"/>
      <c r="EX3" s="180"/>
      <c r="FD3" s="180" t="s">
        <v>214</v>
      </c>
      <c r="FE3" s="180"/>
      <c r="FF3" s="180"/>
      <c r="FG3" s="180"/>
      <c r="FH3" s="180"/>
      <c r="FI3" s="180"/>
      <c r="FJ3" s="115"/>
      <c r="FT3" s="46"/>
      <c r="GQ3" s="95"/>
      <c r="GR3" s="110"/>
      <c r="GY3" s="13"/>
      <c r="GZ3" s="13"/>
      <c r="HB3" s="13"/>
      <c r="HC3" s="13"/>
      <c r="HD3" s="13"/>
      <c r="HE3" s="13"/>
      <c r="HG3" s="13"/>
      <c r="HH3" s="13"/>
      <c r="HI3" s="13"/>
      <c r="HN3" s="13"/>
      <c r="HO3" s="13"/>
      <c r="HP3" s="13"/>
      <c r="HQ3" s="13"/>
      <c r="HR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JA3" s="13"/>
      <c r="JB3" s="13"/>
      <c r="JC3" s="13"/>
      <c r="JD3" s="13"/>
      <c r="JE3" s="13"/>
      <c r="JF3" s="13"/>
      <c r="JG3" s="13"/>
      <c r="JH3" s="13"/>
      <c r="JI3" s="13"/>
      <c r="JJ3" s="13"/>
      <c r="JK3" s="13"/>
      <c r="JL3" s="13"/>
      <c r="JS3" s="13"/>
      <c r="JW3" s="13"/>
      <c r="JX3" s="13"/>
      <c r="KB3" s="13"/>
      <c r="KC3" s="13"/>
      <c r="KD3" s="13"/>
      <c r="KE3" s="13"/>
      <c r="KN3" s="13"/>
      <c r="KO3" s="13"/>
      <c r="KX3" s="13"/>
      <c r="KY3" s="13"/>
      <c r="KZ3" s="13"/>
      <c r="LA3" s="13"/>
      <c r="LB3" s="13"/>
      <c r="LC3" s="13"/>
      <c r="LD3" s="13"/>
      <c r="LE3" s="13"/>
      <c r="LF3" s="13"/>
      <c r="LG3" s="13"/>
      <c r="LH3" s="13"/>
      <c r="LI3" s="13"/>
      <c r="LJ3" s="13"/>
      <c r="LK3" s="13"/>
      <c r="LL3" s="13"/>
      <c r="LM3" s="13"/>
      <c r="LN3" s="13"/>
      <c r="LO3" s="13"/>
      <c r="LP3" s="13"/>
      <c r="LQ3" s="13"/>
      <c r="LR3" s="13"/>
      <c r="LS3" s="13"/>
      <c r="LT3" s="13"/>
      <c r="LU3" s="13"/>
      <c r="LV3" s="13"/>
      <c r="LW3" s="13"/>
      <c r="LX3" s="13"/>
      <c r="LY3" s="13"/>
      <c r="LZ3" s="13"/>
      <c r="MA3" s="13"/>
      <c r="MB3" s="13"/>
      <c r="MC3" s="13"/>
      <c r="MD3" s="13"/>
      <c r="ME3" s="13"/>
      <c r="MF3" s="13"/>
      <c r="MG3" s="13"/>
      <c r="MH3" s="13"/>
      <c r="MI3" s="13"/>
      <c r="MJ3" s="13"/>
      <c r="MK3" s="13"/>
      <c r="ML3" s="13"/>
      <c r="MM3" s="13"/>
      <c r="MN3" s="13"/>
      <c r="MO3" s="13"/>
      <c r="MP3" s="13"/>
      <c r="MQ3" s="13"/>
      <c r="MR3" s="13"/>
      <c r="MS3" s="13"/>
      <c r="MT3" s="13"/>
      <c r="MU3" s="13"/>
      <c r="MV3" s="13"/>
      <c r="MW3" s="13"/>
      <c r="MX3" s="13"/>
      <c r="MY3" s="13"/>
      <c r="MZ3" s="13"/>
      <c r="NA3" s="13"/>
      <c r="NB3" s="13"/>
      <c r="NC3" s="13"/>
    </row>
    <row r="4" spans="1:367" s="4" customFormat="1" ht="213.75" customHeight="1" thickTop="1" x14ac:dyDescent="0.3">
      <c r="A4" s="193"/>
      <c r="B4" s="65" t="s">
        <v>193</v>
      </c>
      <c r="C4" s="78" t="s">
        <v>162</v>
      </c>
      <c r="D4" s="63" t="s">
        <v>128</v>
      </c>
      <c r="E4" s="63" t="s">
        <v>299</v>
      </c>
      <c r="F4" s="63" t="s">
        <v>318</v>
      </c>
      <c r="G4" s="63" t="s">
        <v>317</v>
      </c>
      <c r="H4" s="63" t="s">
        <v>163</v>
      </c>
      <c r="I4" s="63" t="s">
        <v>357</v>
      </c>
      <c r="J4" s="63" t="s">
        <v>334</v>
      </c>
      <c r="K4" s="65" t="s">
        <v>166</v>
      </c>
      <c r="L4" s="87" t="s">
        <v>414</v>
      </c>
      <c r="M4" s="89" t="s">
        <v>257</v>
      </c>
      <c r="N4" s="89" t="s">
        <v>256</v>
      </c>
      <c r="O4" s="92" t="s">
        <v>39</v>
      </c>
      <c r="P4" s="87" t="s">
        <v>40</v>
      </c>
      <c r="Q4" s="93" t="s">
        <v>138</v>
      </c>
      <c r="R4" s="89" t="s">
        <v>266</v>
      </c>
      <c r="S4" s="65" t="s">
        <v>34</v>
      </c>
      <c r="T4" s="63" t="s">
        <v>35</v>
      </c>
      <c r="U4" s="63" t="s">
        <v>186</v>
      </c>
      <c r="V4" s="63" t="s">
        <v>187</v>
      </c>
      <c r="W4" s="64" t="s">
        <v>36</v>
      </c>
      <c r="X4" s="65" t="s">
        <v>73</v>
      </c>
      <c r="Y4" s="63" t="s">
        <v>48</v>
      </c>
      <c r="Z4" s="63" t="s">
        <v>49</v>
      </c>
      <c r="AA4" s="173" t="s">
        <v>447</v>
      </c>
      <c r="AB4" s="159" t="s">
        <v>137</v>
      </c>
      <c r="AC4" s="166" t="s">
        <v>441</v>
      </c>
      <c r="AD4" s="167" t="s">
        <v>442</v>
      </c>
      <c r="AE4" s="66" t="s">
        <v>41</v>
      </c>
      <c r="AF4" s="67" t="s">
        <v>42</v>
      </c>
      <c r="AG4" s="68" t="s">
        <v>43</v>
      </c>
      <c r="AH4" s="67" t="s">
        <v>37</v>
      </c>
      <c r="AI4" s="69" t="s">
        <v>175</v>
      </c>
      <c r="AJ4" s="4" t="s">
        <v>129</v>
      </c>
      <c r="AK4" s="4" t="s">
        <v>130</v>
      </c>
      <c r="AL4" s="4" t="s">
        <v>131</v>
      </c>
      <c r="AM4" s="4" t="s">
        <v>78</v>
      </c>
      <c r="AN4" s="4" t="s">
        <v>128</v>
      </c>
      <c r="AO4" s="4" t="s">
        <v>81</v>
      </c>
      <c r="AP4" s="4" t="s">
        <v>80</v>
      </c>
      <c r="AQ4" s="4" t="s">
        <v>84</v>
      </c>
      <c r="AR4" s="4" t="s">
        <v>85</v>
      </c>
      <c r="AS4" s="4" t="s">
        <v>154</v>
      </c>
      <c r="AT4" s="135" t="s">
        <v>155</v>
      </c>
      <c r="AU4" s="4" t="s">
        <v>173</v>
      </c>
      <c r="AV4" s="135" t="s">
        <v>156</v>
      </c>
      <c r="AW4" s="4" t="s">
        <v>174</v>
      </c>
      <c r="AX4" s="4" t="s">
        <v>406</v>
      </c>
      <c r="AY4" s="135" t="s">
        <v>391</v>
      </c>
      <c r="AZ4" s="135" t="s">
        <v>395</v>
      </c>
      <c r="BA4" s="135" t="s">
        <v>394</v>
      </c>
      <c r="BB4" s="4" t="s">
        <v>158</v>
      </c>
      <c r="BC4" s="5" t="s">
        <v>288</v>
      </c>
      <c r="BD4" s="5" t="s">
        <v>288</v>
      </c>
      <c r="BE4" s="5" t="s">
        <v>287</v>
      </c>
      <c r="BF4" s="5" t="s">
        <v>287</v>
      </c>
      <c r="BG4" s="5" t="s">
        <v>296</v>
      </c>
      <c r="BH4" s="5" t="s">
        <v>296</v>
      </c>
      <c r="BI4" s="5" t="s">
        <v>296</v>
      </c>
      <c r="BJ4" s="5" t="s">
        <v>296</v>
      </c>
      <c r="BK4" s="4" t="s">
        <v>228</v>
      </c>
      <c r="BM4" s="4" t="s">
        <v>224</v>
      </c>
      <c r="BN4" s="4" t="s">
        <v>227</v>
      </c>
      <c r="BP4" s="4" t="s">
        <v>225</v>
      </c>
      <c r="BQ4" s="5" t="s">
        <v>297</v>
      </c>
      <c r="BR4" s="12"/>
      <c r="BS4" s="4" t="s">
        <v>323</v>
      </c>
      <c r="BT4" s="4" t="s">
        <v>319</v>
      </c>
      <c r="BU4" s="4" t="s">
        <v>321</v>
      </c>
      <c r="BV4" s="99" t="s">
        <v>71</v>
      </c>
      <c r="BW4" s="4" t="s">
        <v>275</v>
      </c>
      <c r="BX4" s="4" t="s">
        <v>276</v>
      </c>
      <c r="BY4" s="5" t="s">
        <v>274</v>
      </c>
      <c r="BZ4" s="5" t="s">
        <v>274</v>
      </c>
      <c r="CA4" s="5" t="s">
        <v>273</v>
      </c>
      <c r="CB4" s="5" t="s">
        <v>273</v>
      </c>
      <c r="CC4" s="4" t="s">
        <v>38</v>
      </c>
      <c r="CD4" s="4" t="s">
        <v>21</v>
      </c>
      <c r="CE4" s="4" t="s">
        <v>44</v>
      </c>
      <c r="CF4" s="4" t="s">
        <v>195</v>
      </c>
      <c r="CG4" s="4" t="s">
        <v>196</v>
      </c>
      <c r="CH4" s="4" t="s">
        <v>197</v>
      </c>
      <c r="CI4" s="12" t="s">
        <v>198</v>
      </c>
      <c r="CJ4" s="21" t="s">
        <v>410</v>
      </c>
      <c r="CK4" s="12" t="s">
        <v>370</v>
      </c>
      <c r="CL4" s="6" t="s">
        <v>59</v>
      </c>
      <c r="CM4" s="6" t="s">
        <v>60</v>
      </c>
      <c r="CN4" s="4" t="s">
        <v>61</v>
      </c>
      <c r="CO4" s="4" t="s">
        <v>62</v>
      </c>
      <c r="CP4" s="4" t="s">
        <v>53</v>
      </c>
      <c r="CQ4" s="12" t="s">
        <v>54</v>
      </c>
      <c r="CR4" s="4" t="s">
        <v>51</v>
      </c>
      <c r="CS4" s="4" t="s">
        <v>333</v>
      </c>
      <c r="CT4" s="21" t="s">
        <v>63</v>
      </c>
      <c r="CU4" s="6" t="s">
        <v>64</v>
      </c>
      <c r="CV4" s="4" t="s">
        <v>65</v>
      </c>
      <c r="CW4" s="12" t="s">
        <v>66</v>
      </c>
      <c r="CX4" s="4" t="s">
        <v>181</v>
      </c>
      <c r="CY4" s="4" t="s">
        <v>182</v>
      </c>
      <c r="CZ4" s="5" t="s">
        <v>67</v>
      </c>
      <c r="DA4" s="4" t="s">
        <v>58</v>
      </c>
      <c r="DB4" s="174" t="s">
        <v>444</v>
      </c>
      <c r="DC4" s="175" t="s">
        <v>46</v>
      </c>
      <c r="DD4" s="99" t="s">
        <v>178</v>
      </c>
      <c r="DE4" s="4" t="s">
        <v>179</v>
      </c>
      <c r="DF4" s="4" t="s">
        <v>184</v>
      </c>
      <c r="DG4" s="4" t="s">
        <v>183</v>
      </c>
      <c r="DH4" s="4" t="s">
        <v>180</v>
      </c>
      <c r="DI4" s="8"/>
      <c r="DJ4" s="16" t="s">
        <v>86</v>
      </c>
      <c r="DK4" s="17" t="s">
        <v>92</v>
      </c>
      <c r="DL4" s="6" t="s">
        <v>95</v>
      </c>
      <c r="DM4" s="22" t="s">
        <v>94</v>
      </c>
      <c r="DN4" s="6" t="s">
        <v>191</v>
      </c>
      <c r="DO4" s="135" t="s">
        <v>122</v>
      </c>
      <c r="DP4" s="134" t="s">
        <v>132</v>
      </c>
      <c r="DQ4" s="6" t="s">
        <v>132</v>
      </c>
      <c r="DR4" s="112" t="s">
        <v>309</v>
      </c>
      <c r="DS4" s="6" t="s">
        <v>315</v>
      </c>
      <c r="DT4" s="6" t="s">
        <v>304</v>
      </c>
      <c r="DU4" s="6" t="s">
        <v>303</v>
      </c>
      <c r="DV4" s="6" t="s">
        <v>316</v>
      </c>
      <c r="DW4" s="134" t="s">
        <v>305</v>
      </c>
      <c r="DX4" s="6" t="s">
        <v>308</v>
      </c>
      <c r="DY4" s="134" t="s">
        <v>314</v>
      </c>
      <c r="DZ4" s="113" t="s">
        <v>313</v>
      </c>
      <c r="EA4" s="143" t="s">
        <v>402</v>
      </c>
      <c r="EB4" s="6" t="s">
        <v>346</v>
      </c>
      <c r="EC4" s="6" t="s">
        <v>347</v>
      </c>
      <c r="ED4" s="6" t="s">
        <v>348</v>
      </c>
      <c r="EE4" s="6" t="s">
        <v>349</v>
      </c>
      <c r="EF4" s="6" t="s">
        <v>350</v>
      </c>
      <c r="EG4" s="6" t="s">
        <v>351</v>
      </c>
      <c r="EH4" s="6" t="s">
        <v>409</v>
      </c>
      <c r="EI4" s="6" t="s">
        <v>353</v>
      </c>
      <c r="EJ4" s="113" t="s">
        <v>368</v>
      </c>
      <c r="EK4" s="6" t="s">
        <v>365</v>
      </c>
      <c r="EL4" s="6" t="s">
        <v>366</v>
      </c>
      <c r="EM4" s="6" t="s">
        <v>373</v>
      </c>
      <c r="EN4" s="6" t="s">
        <v>403</v>
      </c>
      <c r="EO4" s="6" t="s">
        <v>355</v>
      </c>
      <c r="EP4" s="6" t="s">
        <v>169</v>
      </c>
      <c r="EQ4" s="6" t="s">
        <v>170</v>
      </c>
      <c r="ER4" s="6" t="s">
        <v>211</v>
      </c>
      <c r="ES4" s="6" t="s">
        <v>260</v>
      </c>
      <c r="ET4" s="6" t="s">
        <v>267</v>
      </c>
      <c r="EU4" s="4" t="s">
        <v>381</v>
      </c>
      <c r="EV4" s="4" t="s">
        <v>382</v>
      </c>
      <c r="EW4" s="4" t="s">
        <v>383</v>
      </c>
      <c r="EX4" s="4" t="s">
        <v>384</v>
      </c>
      <c r="FC4" s="4" t="s">
        <v>162</v>
      </c>
      <c r="FD4" s="4" t="s">
        <v>433</v>
      </c>
      <c r="FE4" s="4" t="s">
        <v>212</v>
      </c>
      <c r="FF4" s="4" t="s">
        <v>436</v>
      </c>
      <c r="FG4" s="4" t="s">
        <v>125</v>
      </c>
      <c r="FH4" s="4" t="s">
        <v>281</v>
      </c>
      <c r="FI4" s="4" t="s">
        <v>216</v>
      </c>
      <c r="FJ4" s="5" t="s">
        <v>388</v>
      </c>
      <c r="FK4" s="5" t="s">
        <v>389</v>
      </c>
      <c r="FL4" s="5" t="s">
        <v>445</v>
      </c>
      <c r="FM4" s="5" t="s">
        <v>446</v>
      </c>
      <c r="FT4" s="4" t="s">
        <v>435</v>
      </c>
      <c r="GQ4" s="82" t="s">
        <v>229</v>
      </c>
      <c r="GR4" s="82" t="s">
        <v>230</v>
      </c>
    </row>
    <row r="5" spans="1:367" s="6" customFormat="1" ht="179.25" hidden="1" customHeight="1" outlineLevel="1" x14ac:dyDescent="0.3">
      <c r="A5" s="4"/>
      <c r="B5" s="10" t="s">
        <v>45</v>
      </c>
      <c r="C5" s="6" t="s">
        <v>45</v>
      </c>
      <c r="D5" s="6" t="s">
        <v>45</v>
      </c>
      <c r="E5" s="6" t="s">
        <v>45</v>
      </c>
      <c r="F5" s="6" t="s">
        <v>45</v>
      </c>
      <c r="G5" s="6" t="s">
        <v>45</v>
      </c>
      <c r="H5" s="6" t="s">
        <v>45</v>
      </c>
      <c r="I5" s="6" t="s">
        <v>45</v>
      </c>
      <c r="J5" s="6" t="s">
        <v>45</v>
      </c>
      <c r="K5" s="10" t="s">
        <v>45</v>
      </c>
      <c r="L5" s="6" t="s">
        <v>45</v>
      </c>
      <c r="M5" s="6" t="s">
        <v>45</v>
      </c>
      <c r="N5" s="6" t="s">
        <v>255</v>
      </c>
      <c r="O5" s="21" t="s">
        <v>45</v>
      </c>
      <c r="P5" s="6" t="s">
        <v>8</v>
      </c>
      <c r="Q5" s="11" t="s">
        <v>45</v>
      </c>
      <c r="R5" s="94" t="s">
        <v>45</v>
      </c>
      <c r="S5" s="10" t="s">
        <v>30</v>
      </c>
      <c r="T5" s="6" t="s">
        <v>31</v>
      </c>
      <c r="U5" s="6" t="s">
        <v>32</v>
      </c>
      <c r="V5" s="6" t="s">
        <v>7</v>
      </c>
      <c r="W5" s="11" t="s">
        <v>45</v>
      </c>
      <c r="X5" s="10" t="s">
        <v>96</v>
      </c>
      <c r="Y5" s="6" t="s">
        <v>329</v>
      </c>
      <c r="Z5" s="6" t="s">
        <v>330</v>
      </c>
      <c r="AA5" s="6" t="s">
        <v>45</v>
      </c>
      <c r="AB5" s="160" t="s">
        <v>45</v>
      </c>
      <c r="AC5" s="168" t="s">
        <v>45</v>
      </c>
      <c r="AD5" s="11" t="s">
        <v>45</v>
      </c>
      <c r="AE5" s="53" t="s">
        <v>10</v>
      </c>
      <c r="AF5" s="54" t="s">
        <v>11</v>
      </c>
      <c r="AG5" s="55" t="s">
        <v>12</v>
      </c>
      <c r="AH5" s="6" t="s">
        <v>5</v>
      </c>
      <c r="AI5" s="43" t="s">
        <v>45</v>
      </c>
      <c r="AJ5" s="6" t="s">
        <v>2</v>
      </c>
      <c r="AK5" s="6" t="s">
        <v>4</v>
      </c>
      <c r="AL5" s="6" t="s">
        <v>6</v>
      </c>
      <c r="AM5" s="6" t="s">
        <v>79</v>
      </c>
      <c r="AN5" s="6" t="s">
        <v>327</v>
      </c>
      <c r="AO5" s="4" t="s">
        <v>76</v>
      </c>
      <c r="AP5" s="4" t="s">
        <v>77</v>
      </c>
      <c r="AQ5" s="4" t="s">
        <v>82</v>
      </c>
      <c r="AR5" s="4" t="s">
        <v>83</v>
      </c>
      <c r="AS5" s="4" t="s">
        <v>151</v>
      </c>
      <c r="AT5" s="135" t="s">
        <v>152</v>
      </c>
      <c r="AU5" s="4" t="s">
        <v>171</v>
      </c>
      <c r="AV5" s="135" t="s">
        <v>153</v>
      </c>
      <c r="AW5" s="4" t="s">
        <v>172</v>
      </c>
      <c r="AX5" s="4" t="s">
        <v>405</v>
      </c>
      <c r="AY5" s="135" t="s">
        <v>390</v>
      </c>
      <c r="AZ5" s="135" t="s">
        <v>392</v>
      </c>
      <c r="BA5" s="135" t="s">
        <v>393</v>
      </c>
      <c r="BB5" s="4" t="s">
        <v>157</v>
      </c>
      <c r="BC5" s="4" t="s">
        <v>286</v>
      </c>
      <c r="BD5" s="4" t="s">
        <v>289</v>
      </c>
      <c r="BE5" s="4" t="s">
        <v>290</v>
      </c>
      <c r="BF5" s="4" t="s">
        <v>291</v>
      </c>
      <c r="BG5" s="4" t="s">
        <v>292</v>
      </c>
      <c r="BH5" s="4" t="s">
        <v>293</v>
      </c>
      <c r="BI5" s="4" t="s">
        <v>294</v>
      </c>
      <c r="BJ5" s="4" t="s">
        <v>295</v>
      </c>
      <c r="BK5" s="6" t="s">
        <v>45</v>
      </c>
      <c r="BL5" s="6" t="s">
        <v>45</v>
      </c>
      <c r="BM5" s="6" t="s">
        <v>45</v>
      </c>
      <c r="BN5" s="6" t="s">
        <v>45</v>
      </c>
      <c r="BO5" s="6" t="s">
        <v>45</v>
      </c>
      <c r="BP5" s="6" t="s">
        <v>45</v>
      </c>
      <c r="BQ5" s="6" t="s">
        <v>45</v>
      </c>
      <c r="BR5" s="22" t="s">
        <v>45</v>
      </c>
      <c r="BS5" s="6" t="s">
        <v>322</v>
      </c>
      <c r="BT5" s="6" t="s">
        <v>33</v>
      </c>
      <c r="BU5" s="6" t="s">
        <v>320</v>
      </c>
      <c r="BV5" s="21" t="s">
        <v>68</v>
      </c>
      <c r="BW5" s="6" t="s">
        <v>164</v>
      </c>
      <c r="BX5" s="6" t="s">
        <v>165</v>
      </c>
      <c r="BY5" s="6" t="s">
        <v>269</v>
      </c>
      <c r="BZ5" s="6" t="s">
        <v>270</v>
      </c>
      <c r="CA5" s="6" t="s">
        <v>271</v>
      </c>
      <c r="CB5" s="6" t="s">
        <v>272</v>
      </c>
      <c r="CC5" s="6" t="s">
        <v>9</v>
      </c>
      <c r="CD5" s="6" t="s">
        <v>20</v>
      </c>
      <c r="CE5" s="6" t="s">
        <v>45</v>
      </c>
      <c r="CF5" s="6" t="s">
        <v>192</v>
      </c>
      <c r="CG5" s="6" t="str">
        <f>IF(Total_No_of_Rows&lt;=1,"$User_Notes","D2@Plug Holes Sketch")</f>
        <v>D2@Plug Holes Sketch</v>
      </c>
      <c r="CH5" s="6" t="s">
        <v>331</v>
      </c>
      <c r="CI5" s="22" t="s">
        <v>194</v>
      </c>
      <c r="CJ5" s="21" t="s">
        <v>356</v>
      </c>
      <c r="CK5" s="22" t="s">
        <v>369</v>
      </c>
      <c r="CL5" s="80" t="str">
        <f>IF(AND(ProductLine="HAMMCO",ISEVEN(Total_No_of_Rows)),"$Prp@QTY_in_Short_Row","$Prp@QTY_in_Long_Row")</f>
        <v>$Prp@QTY_in_Long_Row</v>
      </c>
      <c r="CM5" s="80" t="str">
        <f>IF(AND(ProductLine="HAMMCO",ISEVEN(Total_No_of_Rows)),"$Prp@QTY_in_Long_Row","$Prp@QTY_in_Short_Row")</f>
        <v>$Prp@QTY_in_Short_Row</v>
      </c>
      <c r="CN5" s="6" t="s">
        <v>159</v>
      </c>
      <c r="CO5" s="6" t="s">
        <v>160</v>
      </c>
      <c r="CP5" s="6" t="s">
        <v>45</v>
      </c>
      <c r="CQ5" s="22" t="s">
        <v>45</v>
      </c>
      <c r="CR5" s="4" t="s">
        <v>50</v>
      </c>
      <c r="CS5" s="4" t="s">
        <v>332</v>
      </c>
      <c r="CT5" s="80" t="str">
        <f>IF(AND(ProductLine="HAMMCO",ISEVEN(Total_No_of_Rows)),"$Prp@QTY_in_Short_Row_{SS}","$Prp@QTY_in_Long_Row_{SS}")</f>
        <v>$Prp@QTY_in_Long_Row_{SS}</v>
      </c>
      <c r="CU5" s="80" t="str">
        <f>IF(AND(ProductLine="HAMMCO",ISEVEN(Total_No_of_Rows)),"$Prp@QTY_in_Long_Row_{SS}","$Prp@QTY_in_Short_Row_{SS}")</f>
        <v>$Prp@QTY_in_Short_Row_{SS}</v>
      </c>
      <c r="CV5" s="6" t="s">
        <v>45</v>
      </c>
      <c r="CW5" s="22" t="s">
        <v>45</v>
      </c>
      <c r="CX5" s="6" t="s">
        <v>45</v>
      </c>
      <c r="CY5" s="6" t="s">
        <v>45</v>
      </c>
      <c r="CZ5" s="6" t="s">
        <v>45</v>
      </c>
      <c r="DA5" s="6" t="s">
        <v>55</v>
      </c>
      <c r="DB5" s="22" t="s">
        <v>56</v>
      </c>
      <c r="DC5" s="176" t="s">
        <v>57</v>
      </c>
      <c r="DD5" s="21" t="s">
        <v>45</v>
      </c>
      <c r="DE5" s="6" t="s">
        <v>45</v>
      </c>
      <c r="DF5" s="6" t="s">
        <v>176</v>
      </c>
      <c r="DG5" s="6" t="s">
        <v>177</v>
      </c>
      <c r="DH5" s="6" t="s">
        <v>72</v>
      </c>
      <c r="DI5" s="9" t="s">
        <v>45</v>
      </c>
      <c r="DJ5" s="6" t="s">
        <v>45</v>
      </c>
      <c r="DK5" s="17" t="s">
        <v>89</v>
      </c>
      <c r="DL5" s="6" t="s">
        <v>91</v>
      </c>
      <c r="DM5" s="22" t="s">
        <v>90</v>
      </c>
      <c r="DN5" s="6" t="s">
        <v>190</v>
      </c>
      <c r="DO5" s="134" t="s">
        <v>121</v>
      </c>
      <c r="DP5" s="134" t="s">
        <v>126</v>
      </c>
      <c r="DQ5" s="6" t="s">
        <v>127</v>
      </c>
      <c r="DR5" s="17" t="s">
        <v>306</v>
      </c>
      <c r="DS5" s="6" t="s">
        <v>141</v>
      </c>
      <c r="DT5" s="6" t="s">
        <v>142</v>
      </c>
      <c r="DU5" s="6" t="s">
        <v>300</v>
      </c>
      <c r="DV5" s="6" t="s">
        <v>301</v>
      </c>
      <c r="DW5" s="134" t="s">
        <v>302</v>
      </c>
      <c r="DX5" s="6" t="s">
        <v>307</v>
      </c>
      <c r="DY5" s="134" t="s">
        <v>311</v>
      </c>
      <c r="DZ5" s="113" t="s">
        <v>312</v>
      </c>
      <c r="EA5" s="134" t="s">
        <v>45</v>
      </c>
      <c r="EB5" s="6" t="s">
        <v>339</v>
      </c>
      <c r="EC5" s="6" t="s">
        <v>340</v>
      </c>
      <c r="ED5" s="6" t="s">
        <v>341</v>
      </c>
      <c r="EE5" s="6" t="s">
        <v>342</v>
      </c>
      <c r="EF5" s="6" t="s">
        <v>343</v>
      </c>
      <c r="EG5" s="6" t="s">
        <v>344</v>
      </c>
      <c r="EH5" s="6" t="s">
        <v>407</v>
      </c>
      <c r="EI5" s="6" t="s">
        <v>352</v>
      </c>
      <c r="EJ5" s="113" t="s">
        <v>367</v>
      </c>
      <c r="EK5" s="6" t="s">
        <v>363</v>
      </c>
      <c r="EL5" s="6" t="s">
        <v>364</v>
      </c>
      <c r="EM5" s="6" t="s">
        <v>374</v>
      </c>
      <c r="EN5" s="6" t="s">
        <v>404</v>
      </c>
      <c r="EO5" s="6" t="s">
        <v>354</v>
      </c>
      <c r="EP5" s="6" t="s">
        <v>167</v>
      </c>
      <c r="EQ5" s="6" t="s">
        <v>168</v>
      </c>
      <c r="ER5" s="6" t="s">
        <v>210</v>
      </c>
      <c r="ES5" s="6" t="s">
        <v>259</v>
      </c>
      <c r="ET5" s="6" t="s">
        <v>268</v>
      </c>
      <c r="EU5" s="6" t="s">
        <v>45</v>
      </c>
      <c r="EV5" s="6" t="s">
        <v>45</v>
      </c>
      <c r="EW5" s="6" t="s">
        <v>45</v>
      </c>
      <c r="EX5" s="6" t="s">
        <v>45</v>
      </c>
      <c r="EY5" s="6" t="s">
        <v>380</v>
      </c>
      <c r="EZ5" s="6" t="s">
        <v>385</v>
      </c>
      <c r="FA5" s="6" t="s">
        <v>386</v>
      </c>
      <c r="FB5" s="6" t="s">
        <v>387</v>
      </c>
      <c r="FC5" s="6" t="s">
        <v>412</v>
      </c>
      <c r="FD5" s="6" t="s">
        <v>434</v>
      </c>
      <c r="FE5" s="6" t="s">
        <v>213</v>
      </c>
      <c r="FF5" s="6" t="s">
        <v>438</v>
      </c>
      <c r="FG5" s="6" t="s">
        <v>124</v>
      </c>
      <c r="FH5" s="6" t="s">
        <v>280</v>
      </c>
      <c r="FI5" s="6" t="s">
        <v>215</v>
      </c>
      <c r="FJ5" s="134" t="s">
        <v>324</v>
      </c>
      <c r="FK5" s="134" t="s">
        <v>360</v>
      </c>
      <c r="FL5" s="6" t="s">
        <v>45</v>
      </c>
      <c r="FM5" s="6" t="s">
        <v>45</v>
      </c>
      <c r="FT5" s="6" t="s">
        <v>437</v>
      </c>
      <c r="GQ5" s="6" t="s">
        <v>45</v>
      </c>
      <c r="GR5" s="6" t="s">
        <v>45</v>
      </c>
    </row>
    <row r="6" spans="1:367" s="2" customFormat="1" ht="21" collapsed="1" x14ac:dyDescent="0.3">
      <c r="A6" s="77" t="s">
        <v>1</v>
      </c>
      <c r="B6" s="79" t="s">
        <v>432</v>
      </c>
      <c r="C6" s="2" t="s">
        <v>200</v>
      </c>
      <c r="D6" s="81" t="str">
        <f>VLOOKUP(C6,Material_Table,2,FALSE)</f>
        <v>Carbon</v>
      </c>
      <c r="E6" s="26" t="s">
        <v>115</v>
      </c>
      <c r="F6" s="26" t="s">
        <v>408</v>
      </c>
      <c r="G6" s="26" t="s">
        <v>134</v>
      </c>
      <c r="H6" s="26" t="s">
        <v>261</v>
      </c>
      <c r="I6" s="2" t="s">
        <v>261</v>
      </c>
      <c r="J6" s="118" t="str">
        <f>IF( AND( LEFT(Header_Type,5)="Plate", Bevel_Type="Jbevel", Header_Length&lt;=72),   "End to End Headers",   "Separate Headers")</f>
        <v>Separate Headers</v>
      </c>
      <c r="K6" s="19">
        <v>1.1559999999999999</v>
      </c>
      <c r="L6" s="28">
        <v>0.625</v>
      </c>
      <c r="M6" s="32">
        <f>VLOOKUP(Tube_Wall_Thk,BWG_Table,2,FALSE)</f>
        <v>16</v>
      </c>
      <c r="N6" s="88">
        <v>0.06</v>
      </c>
      <c r="O6" s="90">
        <v>20</v>
      </c>
      <c r="P6" s="28">
        <v>4</v>
      </c>
      <c r="Q6" s="38" t="s">
        <v>134</v>
      </c>
      <c r="R6" s="96" t="str">
        <f>IF(OR(AND(Tube_Dia=0.625,Tube_Wall_Thk&gt;0.085),AND(Tube_Dia=0.75,Tube_Wall_Thk&gt;0.11),AND(Tube_Dia=1,Tube_Wall_Thk&gt;0.134)),"Yes","No")</f>
        <v>No</v>
      </c>
      <c r="S6" s="19">
        <v>0.5</v>
      </c>
      <c r="T6" s="2">
        <v>1</v>
      </c>
      <c r="U6" s="30">
        <f>Top_Drill-Wrapper_Thk+(Vertical_Pitch*(Total_No_of_Rows-1))+(Tube_Dia/2)+0.25</f>
        <v>5.5846143170299722</v>
      </c>
      <c r="V6" s="2">
        <v>4</v>
      </c>
      <c r="W6" s="57">
        <v>0.84375</v>
      </c>
      <c r="X6" s="18">
        <v>0</v>
      </c>
      <c r="Y6" s="2">
        <v>6.0000000000000009</v>
      </c>
      <c r="Z6" s="2">
        <f>ROUND(Fan_Shaft_Angle_ShortLeg / Pitch,0)</f>
        <v>0</v>
      </c>
      <c r="AA6" s="23">
        <f>ROUND(Fan_Shaft_Angle_ShortLeg / Pitch,0)</f>
        <v>0</v>
      </c>
      <c r="AB6" s="161" t="s">
        <v>134</v>
      </c>
      <c r="AC6" s="169">
        <f>IF(Bottom_Row_Type="long Row",    QTY_in_Long_Row_Pattern,    QTY_in_Short_Row_Pattern) - Additional_Tubes_SS + SSS_After_Tube_Adjustment</f>
        <v>19</v>
      </c>
      <c r="AD6" s="170">
        <f>IF(Bottom_Row_Type="long Row",   QTY_in_Long_Row_SS_Pattern,  QTY_in_Short_Row_SS_Pattern) + SSS_After_Tube_Adjustment_SS</f>
        <v>5.0000000000000009</v>
      </c>
      <c r="AE6" s="156">
        <f>IF(End_Plate_Thk&gt;=1,End_Plate_Thk-1+(VLOOKUP(Tube_Size,Hole_Table,6,FALSE)),VLOOKUP(Tube_Size,Hole_Table,6,FALSE))</f>
        <v>1.4375</v>
      </c>
      <c r="AF6" s="30">
        <f>IF(Wrapper_Thk&gt;=1,Wrapper_Thk-1+(VLOOKUP(Tube_Size,Hole_Table,7,FALSE)),VLOOKUP(Tube_Size,Hole_Table,7,FALSE))</f>
        <v>1.625</v>
      </c>
      <c r="AG6" s="85">
        <f>VLOOKUP(Tube_Size,Hole_Table,4,FALSE)</f>
        <v>1.5</v>
      </c>
      <c r="AH6" s="23">
        <f xml:space="preserve"> End_Drill + (Pitch*(QTY_in_Long_Row_Pattern-1)) + IF(Half_Tube_Face="Yes",(Pitch/2),0)  + SS_1 + IF(SS_1=0,0,(Pitch*(QTY_in_Long_Row_SS_Pattern-Additional_Tubes_SS-0))) + End_Drill</f>
        <v>31.375</v>
      </c>
      <c r="AI6" s="44">
        <f>Header_Length+0.125</f>
        <v>31.5</v>
      </c>
      <c r="AJ6" s="23"/>
      <c r="AK6" s="23">
        <v>90</v>
      </c>
      <c r="AL6" s="23">
        <v>9.9999999999999995E-7</v>
      </c>
      <c r="AM6" s="23">
        <f>VLOOKUP(Header_Type,Header_Type_Table,2,FALSE)</f>
        <v>1</v>
      </c>
      <c r="AN6" s="23">
        <f>IF(Material_Type="Carbon",1,2)</f>
        <v>1</v>
      </c>
      <c r="AO6" s="23" t="str">
        <f>IF(LEFT(Header_Type_Number,1)+0=1,"U","S")</f>
        <v>U</v>
      </c>
      <c r="AP6" s="23" t="str">
        <f>IF(LEFT(Header_Type_Number,1)+0&lt;&gt;1,"U","S")</f>
        <v>S</v>
      </c>
      <c r="AQ6" s="23" t="str">
        <f>IF(LEFT(Header_Type_Number,1)+0&lt;&gt;1,"U","S")</f>
        <v>S</v>
      </c>
      <c r="AR6" s="23" t="str">
        <f>IF(LEFT(Header_Type_Number,1)+0&lt;&gt;1,"U","S")</f>
        <v>S</v>
      </c>
      <c r="AS6" s="23" t="str">
        <f>VLOOKUP(Header_Type,Header_Type_Table,3,FALSE)</f>
        <v>S</v>
      </c>
      <c r="AT6" s="23" t="str">
        <f>IF(OR(Lethal?="Yes",Bevel_Type="Beasley"),"S",VLOOKUP(Header_Type,Header_Type_Table,4,FALSE))</f>
        <v>U</v>
      </c>
      <c r="AU6" s="32" t="str">
        <f>IF(Lethal?="Yes","U",AT6)</f>
        <v>U</v>
      </c>
      <c r="AV6" s="23" t="str">
        <f>IF(Bevel_Type="Beasley",  "S",  VLOOKUP(Header_Type,Header_Type_Table,4,FALSE) )</f>
        <v>U</v>
      </c>
      <c r="AW6" s="32" t="str">
        <f>AV6</f>
        <v>U</v>
      </c>
      <c r="AX6" s="23" t="str">
        <f>IF(Bevel_Type="Jbevel",  "U",  "S")</f>
        <v>S</v>
      </c>
      <c r="AY6" s="23" t="str">
        <f>IF(Bevel_Type="Beasley", "S", "U")</f>
        <v>U</v>
      </c>
      <c r="AZ6" s="23" t="str">
        <f>IF(AND(Bevel_Type="Beasley", LEFT(Header_Type,5)="Plate"), "S", "S")</f>
        <v>S</v>
      </c>
      <c r="BA6" s="32" t="str">
        <f>AZ6</f>
        <v>S</v>
      </c>
      <c r="BB6" s="23">
        <f>IF(Header_Type="Tube",T_and_P_Thk*2,IF(AND(Header_Type="SQ Pipe",Wrapper_Span+2*T_and_P_Thk&gt;10),1.25,1))</f>
        <v>1</v>
      </c>
      <c r="BC6" s="23" t="str">
        <f>IF(SS_1=0,"U","S")</f>
        <v>U</v>
      </c>
      <c r="BD6" s="48" t="str">
        <f>BC6</f>
        <v>U</v>
      </c>
      <c r="BE6" s="23" t="str">
        <f>IF(SS_1&lt;&gt;0,"U","S")</f>
        <v>S</v>
      </c>
      <c r="BF6" s="48" t="str">
        <f>BE6</f>
        <v>S</v>
      </c>
      <c r="BG6" s="48" t="str">
        <f>"U"</f>
        <v>U</v>
      </c>
      <c r="BH6" s="48" t="str">
        <f t="shared" ref="BH6:BJ6" si="0">"U"</f>
        <v>U</v>
      </c>
      <c r="BI6" s="48" t="str">
        <f t="shared" si="0"/>
        <v>U</v>
      </c>
      <c r="BJ6" s="48" t="str">
        <f t="shared" si="0"/>
        <v>U</v>
      </c>
      <c r="BK6" s="23" t="str">
        <f>IF(OR(ProductLine="AXC",GQ6="None"),"S","U")</f>
        <v>S</v>
      </c>
      <c r="BL6" s="48" t="str">
        <f>BK6</f>
        <v>S</v>
      </c>
      <c r="BM6" s="23" t="str">
        <f>IF(BK6="S","Bar, 0.25 x 4 x 5.5",GQ6)</f>
        <v>Bar, 0.25 x 4 x 5.5</v>
      </c>
      <c r="BN6" s="23" t="str">
        <f>IF(OR(ProductLine="AXC",GR6="None"),"S","U")</f>
        <v>S</v>
      </c>
      <c r="BO6" s="48" t="str">
        <f>BN6</f>
        <v>S</v>
      </c>
      <c r="BP6" s="23" t="str">
        <f>IF(BN6="S","Bar, 0.25 x 4 x 5.5",GR6)</f>
        <v>Bar, 0.25 x 4 x 5.5</v>
      </c>
      <c r="BQ6" s="48" t="str">
        <f>BK6</f>
        <v>S</v>
      </c>
      <c r="BR6" s="20"/>
      <c r="BS6" s="23" t="str">
        <f>IF(Lethal?="Yes","U","S")</f>
        <v>S</v>
      </c>
      <c r="BT6" s="23">
        <f>IF(Lethal?="Yes",   End_Plate_Thk+0.125+0.5+DO6,   End_Plate_Thk)</f>
        <v>0.84375</v>
      </c>
      <c r="BU6" s="23">
        <f>End_Plate_Thk</f>
        <v>0.84375</v>
      </c>
      <c r="BV6" s="47">
        <f>VLOOKUP(Tube_Size,Hole_Table,8,FALSE)</f>
        <v>0.59375</v>
      </c>
      <c r="BW6" s="23">
        <f>IF(Tube_Connection_Type&lt;&gt;"Strength Weld",0.0625,(Tube_Hole_Chamfer_OD-PreDrill_Hole_Dia)/2)</f>
        <v>6.25E-2</v>
      </c>
      <c r="BX6" s="23">
        <f>BW$8</f>
        <v>6.25E-2</v>
      </c>
      <c r="BY6" s="23">
        <f>IF(AND(ProductLine="",Tube_Connection_Type="standard"),89.9,45)</f>
        <v>45</v>
      </c>
      <c r="BZ6" s="2">
        <v>45</v>
      </c>
      <c r="CA6" s="2">
        <v>45</v>
      </c>
      <c r="CB6" s="48">
        <f>BY6</f>
        <v>45</v>
      </c>
      <c r="CC6" s="23">
        <f>VLOOKUP(Tube_Size,Hole_Table,2,FALSE)</f>
        <v>0.625</v>
      </c>
      <c r="CD6" s="23">
        <f>VLOOKUP(Tube_Size,Hole_Table,3,FALSE)</f>
        <v>1.5</v>
      </c>
      <c r="CE6" s="23">
        <f>(Pitch/2)*(TAN(RADIANS(60)))</f>
        <v>1.2990381056766576</v>
      </c>
      <c r="CF6" s="23">
        <f>IF(AND(ProductLine="HAMMCO",ISEVEN(Total_No_of_Rows)),Pitch/2,0.000001)</f>
        <v>9.9999999999999995E-7</v>
      </c>
      <c r="CG6" s="48">
        <f>CF$6</f>
        <v>9.9999999999999995E-7</v>
      </c>
      <c r="CH6" s="48">
        <f>CG$6</f>
        <v>9.9999999999999995E-7</v>
      </c>
      <c r="CI6" s="100">
        <f>CH$6</f>
        <v>9.9999999999999995E-7</v>
      </c>
      <c r="CJ6" s="146" t="str">
        <f>"U"</f>
        <v>U</v>
      </c>
      <c r="CK6" s="100" t="str">
        <f>CJ6</f>
        <v>U</v>
      </c>
      <c r="CL6" s="23">
        <f>IF(CL11&lt;=0,1,CL11)</f>
        <v>20</v>
      </c>
      <c r="CM6" s="23">
        <f>IF(CM11&lt;=0,1,CM11)</f>
        <v>19</v>
      </c>
      <c r="CN6" s="23">
        <f>IF(ISODD(Total_No_of_Rows),INT(Total_No_of_Rows/2)+1,Total_No_of_Rows/2)</f>
        <v>2</v>
      </c>
      <c r="CO6" s="23">
        <f>Total_No_of_Rows-QTY_of_Long_Rows_Actual</f>
        <v>2</v>
      </c>
      <c r="CP6" s="23">
        <f>IF(QTY_of_Long_Rows_Actual&lt;=1,2,QTY_of_Long_Rows_Actual)</f>
        <v>2</v>
      </c>
      <c r="CQ6" s="24">
        <f>IF(QTY_of_Short_Rows_Actual&lt;=1,2,QTY_of_Short_Rows_Actual)</f>
        <v>2</v>
      </c>
      <c r="CR6" s="25" t="str">
        <f>IF(SS_1&gt;0,"U","S")</f>
        <v>S</v>
      </c>
      <c r="CS6" s="23">
        <f>Pitch</f>
        <v>1.5</v>
      </c>
      <c r="CT6" s="47">
        <f>IF(CT11&lt;=0,1,CT11)</f>
        <v>6.0000000000000009</v>
      </c>
      <c r="CU6" s="23">
        <f>IF(CU11&lt;=0,1,CU11)</f>
        <v>5.0000000000000009</v>
      </c>
      <c r="CV6" s="23">
        <f>CP6</f>
        <v>2</v>
      </c>
      <c r="CW6" s="24">
        <f>CQ6</f>
        <v>2</v>
      </c>
      <c r="CX6" s="23">
        <f>IF(CX11&lt;=0,0.00001,CX11)</f>
        <v>28.5</v>
      </c>
      <c r="CY6" s="23">
        <f>IF(CY11&lt;=0,0.00001,CY11)</f>
        <v>27</v>
      </c>
      <c r="CZ6" s="23" t="str">
        <f>IF(  OR(  AND(ISEVEN(Total_No_of_Rows),ProductLine="Hammco"),  AND(ISODD(Total_No_of_Rows), ProductLine&lt;&gt;"Hammco")  ),  "Long Row",  "Short Row")</f>
        <v>Short Row</v>
      </c>
      <c r="DA6" s="23">
        <f>IF(Bottom_Row_Type="Long Row",0.00001,Pitch/2)</f>
        <v>0.75</v>
      </c>
      <c r="DB6" s="24">
        <f>IF(DB11&lt;=0,0.00001,DB11)</f>
        <v>27</v>
      </c>
      <c r="DC6" s="177">
        <f>IF(DC11&lt;=0,0.00001,DC11)</f>
        <v>3.8971143170299727</v>
      </c>
      <c r="DD6" s="47">
        <f>IF(DD11&lt;=0,0.00001,DD11)</f>
        <v>7.5000000000000018</v>
      </c>
      <c r="DE6" s="23">
        <f>IF(DE11&lt;=0,0.00001,DE11)</f>
        <v>6.0000000000000018</v>
      </c>
      <c r="DF6" s="48">
        <f>$DA$6</f>
        <v>0.75</v>
      </c>
      <c r="DG6" s="23">
        <f>IF(DG11&lt;=0,0.00001,DG11)</f>
        <v>6.0000000000000018</v>
      </c>
      <c r="DH6" s="23">
        <f>IF(DH11&lt;=0,0.00001,DH11)</f>
        <v>1.0000000000000001E-5</v>
      </c>
      <c r="DI6" s="49"/>
      <c r="DJ6" s="50">
        <f>$DC$6+Top_Drill+(Fin_Dia/2)</f>
        <v>6.2721143170299722</v>
      </c>
      <c r="DK6" s="50">
        <f>VLOOKUP(Tube_Size,Hole_Table,10,FALSE)</f>
        <v>0.375</v>
      </c>
      <c r="DL6" s="23">
        <f>VLOOKUP(Tube_Size,Hole_Table,11,FALSE)</f>
        <v>3.7499999999999999E-2</v>
      </c>
      <c r="DM6" s="24">
        <f>VLOOKUP(Tube_Size,Hole_Table,12,FALSE)</f>
        <v>20</v>
      </c>
      <c r="DN6" s="23">
        <f>VLOOKUP(Tube_Size,Hole_Table,4,FALSE)</f>
        <v>1.5</v>
      </c>
      <c r="DO6" s="23">
        <f>IF(Header_Type="Tube",0.00001,IF(Bevel_Type="Beasley", 0.125,0.15625))</f>
        <v>0.15625</v>
      </c>
      <c r="DP6" s="23">
        <f>0</f>
        <v>0</v>
      </c>
      <c r="DQ6" s="32">
        <f>DP6</f>
        <v>0</v>
      </c>
      <c r="DR6" s="50" t="str">
        <f>IF(AND(Bevel_Type="Jbevel",LEFT(Header_Type,5)="Plate"),"U","S")</f>
        <v>S</v>
      </c>
      <c r="DS6" s="23">
        <f>IF(Material_Type="Stainless",0,0)</f>
        <v>0</v>
      </c>
      <c r="DT6" s="23">
        <f ca="1">IF(DR6="U",37.5,VLOOKUP(Wrapper_Thk,IF(Material_Type="Stainless",INDIRECT("TP_Chamfer_Angle_SS"),INDIRECT("TP_Chamfer_Angle")),3,TRUE))</f>
        <v>26.565509550648063</v>
      </c>
      <c r="DU6" s="23">
        <f>IF(DR6="U",20, 25)</f>
        <v>25</v>
      </c>
      <c r="DV6" s="23">
        <f>IF(DR6="U",0.281,0.00000001)</f>
        <v>1E-8</v>
      </c>
      <c r="DW6" s="23">
        <f>IF(DR6="U",0.06,0.00000001)</f>
        <v>1E-8</v>
      </c>
      <c r="DX6" s="23">
        <f>(DO6+DW6)*COS(RADIANS(DU6))</f>
        <v>0.14161060078755441</v>
      </c>
      <c r="DY6" s="23" t="str">
        <f>IF(OR(DR6="U",Bevel_Type="Beasley"),"U","S")</f>
        <v>S</v>
      </c>
      <c r="DZ6" s="114" t="str">
        <f>IF(DY6="U","S","U")</f>
        <v>U</v>
      </c>
      <c r="EA6" s="132" t="str">
        <f>"No"</f>
        <v>No</v>
      </c>
      <c r="EB6" s="132" t="str">
        <f>"S"</f>
        <v>S</v>
      </c>
      <c r="EC6" s="132" t="str">
        <f t="shared" ref="EC6:EJ9" si="1">"S"</f>
        <v>S</v>
      </c>
      <c r="ED6" s="132" t="str">
        <f t="shared" si="1"/>
        <v>S</v>
      </c>
      <c r="EE6" s="132" t="str">
        <f t="shared" si="1"/>
        <v>S</v>
      </c>
      <c r="EF6" s="132" t="str">
        <f t="shared" si="1"/>
        <v>S</v>
      </c>
      <c r="EG6" s="132" t="str">
        <f t="shared" si="1"/>
        <v>S</v>
      </c>
      <c r="EH6" s="132" t="str">
        <f t="shared" si="1"/>
        <v>S</v>
      </c>
      <c r="EI6" s="23" t="str">
        <f>IF(ErrorMSG1="","S","U")</f>
        <v>S</v>
      </c>
      <c r="EJ6" s="140" t="str">
        <f t="shared" si="1"/>
        <v>S</v>
      </c>
      <c r="EK6" s="23">
        <f>IF(Bevel_Type="JBevel", 0.0625, 0.00001)</f>
        <v>1.0000000000000001E-5</v>
      </c>
      <c r="EL6" s="23">
        <f>IF(Bevel_Type="JBevel",   DO6+EK6,  IF(ProductLine="Hammco", 0.09375, 0.00001))</f>
        <v>1.0000000000000001E-5</v>
      </c>
      <c r="EM6" s="23">
        <f xml:space="preserve"> IF(ProductLine="Hammco", 0.09375,0.00001)</f>
        <v>1.0000000000000001E-5</v>
      </c>
      <c r="EN6" s="2">
        <v>0.25</v>
      </c>
      <c r="EO6" s="23">
        <f>Header_Length+DP6+DQ6+EN6</f>
        <v>31.625</v>
      </c>
      <c r="EP6" s="23">
        <f>Pitch * (EQ6 - 1)</f>
        <v>28.5</v>
      </c>
      <c r="EQ6" s="23">
        <f>QTY_in_Long_Row_Pattern</f>
        <v>20</v>
      </c>
      <c r="ER6" s="23">
        <f>IF(ProductLine="AXC",1,2)</f>
        <v>1</v>
      </c>
      <c r="ES6" s="23">
        <f>VLOOKUP(Tube_Connection_Type,Tube_Connection_Type_Table,2,FALSE)</f>
        <v>1</v>
      </c>
      <c r="ET6" s="23">
        <f>IF(Tubes_Reamed?="No",1,2)</f>
        <v>1</v>
      </c>
      <c r="EU6" s="23" t="str">
        <f>IF(ProductLine="AXC","U","S")</f>
        <v>U</v>
      </c>
      <c r="EV6" s="32" t="str">
        <f>IF(EU6="U","S","U")</f>
        <v>S</v>
      </c>
      <c r="EW6" s="48" t="str">
        <f>EU6</f>
        <v>U</v>
      </c>
      <c r="EX6" s="48" t="str">
        <f>EV6</f>
        <v>S</v>
      </c>
      <c r="EY6" s="23">
        <f>IF(ProductLine="AXC", 0, 30)</f>
        <v>0</v>
      </c>
      <c r="EZ6" s="48">
        <f>$EY6</f>
        <v>0</v>
      </c>
      <c r="FA6" s="23">
        <f>IF($EY6&lt;1,0.001, EY6)</f>
        <v>1E-3</v>
      </c>
      <c r="FB6" s="48">
        <f>$FA6</f>
        <v>1E-3</v>
      </c>
      <c r="FC6" s="23" t="str">
        <f>CONCATENATE("AXC materials:",C6)</f>
        <v>AXC materials:SA516 70 (N)</v>
      </c>
      <c r="FD6" s="23" t="str">
        <f>CONCATENATE($B$2,$C$2)</f>
        <v>3</v>
      </c>
      <c r="FE6" s="23" t="str">
        <f>_xlfn.CONCAT(".",$FD6)</f>
        <v>.3</v>
      </c>
      <c r="FF6" s="23" t="str">
        <f>_xlfn.CONCAT($FD6,"-SEC")</f>
        <v>3-SEC</v>
      </c>
      <c r="FG6" s="23" t="str">
        <f>CONCATENATE(FD6,IF(ProductLine="AXC","-BOX-F","-PLT-F"))</f>
        <v>3-BOX-F</v>
      </c>
      <c r="FH6" s="23" t="str">
        <f>IF(ProductLine="AXC","HEADER BOX, FRONT","HEADER PLATE DETAILS, FRONT")</f>
        <v>HEADER BOX, FRONT</v>
      </c>
      <c r="FI6" s="23" t="str">
        <f>LEFT($A$2,FIND("_",$A$2,1)-1)</f>
        <v>000000</v>
      </c>
      <c r="FJ6" s="23">
        <f>IF(Lethal?="Yes", 20,   IF(OR(Welding_Method="TIG Root",T_and_P_Span_Front&gt;14), 27.5,   IF(Bevel_Type="Beasley", VLOOKUP(End_Plate_Thk, TPW_Cham_Ang_at_EndPlate,2,TRUE), 0 )  ) )</f>
        <v>0</v>
      </c>
      <c r="FK6" s="23">
        <f>IF(OR(Welding_Method="TIG Root",Bevel_Type="Beasley"),FJ6,0)</f>
        <v>0</v>
      </c>
      <c r="FL6" s="171">
        <f>IF(SS_1&gt;0,  22.619864954,  0)</f>
        <v>0</v>
      </c>
      <c r="FM6" s="171">
        <f>Height_of_all_Rows*TAN(RADIANS(Fan_Shaft_Angle))</f>
        <v>0</v>
      </c>
      <c r="FT6" s="23" t="str">
        <f>CONCATENATE(FD6,"-HDR-F")</f>
        <v>3-HDR-F</v>
      </c>
      <c r="GQ6" s="26" t="s">
        <v>220</v>
      </c>
      <c r="GR6" s="26" t="s">
        <v>220</v>
      </c>
      <c r="GY6" s="26"/>
      <c r="GZ6" s="26"/>
      <c r="HB6" s="26"/>
      <c r="HC6" s="26"/>
      <c r="HD6" s="26"/>
      <c r="HE6" s="26"/>
      <c r="HG6" s="26"/>
      <c r="HH6" s="26"/>
      <c r="HI6" s="26"/>
      <c r="HN6" s="26"/>
      <c r="HO6" s="26"/>
      <c r="HP6" s="26"/>
      <c r="HQ6" s="26"/>
      <c r="HR6" s="26"/>
      <c r="HV6" s="26"/>
      <c r="HW6" s="26"/>
      <c r="HX6" s="26"/>
      <c r="HY6" s="26"/>
      <c r="HZ6" s="26"/>
      <c r="IA6" s="26"/>
      <c r="IB6" s="26"/>
      <c r="IC6" s="26"/>
      <c r="ID6" s="26"/>
      <c r="IE6" s="26"/>
      <c r="IF6" s="26"/>
      <c r="IG6" s="26"/>
      <c r="IH6" s="26"/>
      <c r="II6" s="26"/>
      <c r="IJ6" s="26"/>
      <c r="JA6" s="26"/>
      <c r="JB6" s="26"/>
      <c r="JC6" s="26"/>
      <c r="JD6" s="26"/>
      <c r="JE6" s="26"/>
      <c r="JF6" s="26"/>
      <c r="JG6" s="26"/>
      <c r="JH6" s="26"/>
      <c r="JI6" s="26"/>
      <c r="JJ6" s="26"/>
      <c r="JK6" s="26"/>
      <c r="JL6" s="26"/>
      <c r="JS6" s="26"/>
      <c r="JW6" s="26"/>
      <c r="JX6" s="26"/>
      <c r="KB6" s="26"/>
      <c r="KC6" s="26"/>
      <c r="KD6" s="26"/>
      <c r="KE6" s="26"/>
      <c r="KN6" s="26"/>
      <c r="KO6" s="26"/>
      <c r="KX6" s="26"/>
      <c r="KY6" s="26"/>
      <c r="KZ6" s="26"/>
      <c r="LA6" s="26"/>
      <c r="LB6" s="26"/>
      <c r="LC6" s="26"/>
      <c r="LD6" s="26"/>
      <c r="LE6" s="26"/>
      <c r="LF6" s="26"/>
      <c r="LG6" s="26"/>
      <c r="LH6" s="26"/>
      <c r="LI6" s="26"/>
      <c r="LJ6" s="26"/>
      <c r="LK6" s="26"/>
      <c r="LL6" s="26"/>
      <c r="LM6" s="26"/>
      <c r="LN6" s="26"/>
      <c r="LO6" s="26"/>
      <c r="LP6" s="26"/>
      <c r="LQ6" s="26"/>
      <c r="LR6" s="26"/>
      <c r="LS6" s="26"/>
      <c r="LT6" s="26"/>
      <c r="LU6" s="26"/>
      <c r="LV6" s="26"/>
      <c r="LW6" s="26"/>
      <c r="LX6" s="26"/>
      <c r="LY6" s="26"/>
      <c r="LZ6" s="26"/>
      <c r="MA6" s="26"/>
      <c r="MB6" s="26"/>
      <c r="MC6" s="26"/>
      <c r="MD6" s="26"/>
      <c r="ME6" s="26"/>
      <c r="MF6" s="26"/>
      <c r="MG6" s="26"/>
      <c r="MH6" s="26"/>
      <c r="MI6" s="26"/>
      <c r="MJ6" s="26"/>
      <c r="MK6" s="26"/>
      <c r="ML6" s="26"/>
      <c r="MM6" s="26"/>
      <c r="MN6" s="26"/>
      <c r="MO6" s="26"/>
      <c r="MP6" s="26"/>
      <c r="MQ6" s="26"/>
      <c r="MR6" s="26"/>
      <c r="MS6" s="26"/>
      <c r="MT6" s="26"/>
      <c r="MU6" s="26"/>
      <c r="MV6" s="26"/>
      <c r="MW6" s="26"/>
      <c r="MX6" s="26"/>
      <c r="MY6" s="26"/>
      <c r="MZ6" s="26"/>
      <c r="NA6" s="26"/>
      <c r="NB6" s="26"/>
      <c r="NC6" s="26"/>
    </row>
    <row r="7" spans="1:367" s="2" customFormat="1" x14ac:dyDescent="0.3">
      <c r="A7" s="26" t="s">
        <v>139</v>
      </c>
      <c r="B7" s="33" t="str">
        <f t="shared" ref="B7:D8" si="2">B$6</f>
        <v>AXC</v>
      </c>
      <c r="C7" s="32" t="str">
        <f t="shared" si="2"/>
        <v>SA516 70 (N)</v>
      </c>
      <c r="D7" s="32" t="str">
        <f t="shared" si="2"/>
        <v>Carbon</v>
      </c>
      <c r="E7" s="32" t="str">
        <f t="shared" ref="E7:K8" si="3">E$6</f>
        <v>Plate</v>
      </c>
      <c r="F7" s="35" t="str">
        <f>F$6</f>
        <v>Regular</v>
      </c>
      <c r="G7" s="32" t="str">
        <f t="shared" si="3"/>
        <v>No</v>
      </c>
      <c r="H7" s="35" t="str">
        <f t="shared" ref="H7:J8" si="4">H$6</f>
        <v>Standard</v>
      </c>
      <c r="I7" s="35" t="str">
        <f t="shared" si="4"/>
        <v>Standard</v>
      </c>
      <c r="J7" s="35" t="str">
        <f t="shared" si="4"/>
        <v>Separate Headers</v>
      </c>
      <c r="K7" s="33">
        <f t="shared" si="3"/>
        <v>1.1559999999999999</v>
      </c>
      <c r="L7" s="32">
        <f t="shared" ref="L7:Q8" si="5">L$6</f>
        <v>0.625</v>
      </c>
      <c r="M7" s="32">
        <f>M$6</f>
        <v>16</v>
      </c>
      <c r="N7" s="32">
        <f t="shared" si="5"/>
        <v>0.06</v>
      </c>
      <c r="O7" s="51">
        <f t="shared" si="5"/>
        <v>20</v>
      </c>
      <c r="P7" s="32">
        <f t="shared" si="5"/>
        <v>4</v>
      </c>
      <c r="Q7" s="34" t="str">
        <f t="shared" si="5"/>
        <v>No</v>
      </c>
      <c r="R7" s="32" t="str">
        <f>R$6</f>
        <v>No</v>
      </c>
      <c r="S7" s="33">
        <f t="shared" ref="S7:S8" si="6">S$6</f>
        <v>0.5</v>
      </c>
      <c r="T7" s="32">
        <f t="shared" ref="T7:DF8" si="7">T$6</f>
        <v>1</v>
      </c>
      <c r="U7" s="32">
        <f t="shared" si="7"/>
        <v>5.5846143170299722</v>
      </c>
      <c r="V7" s="32">
        <f t="shared" si="7"/>
        <v>4</v>
      </c>
      <c r="W7" s="34">
        <f t="shared" ref="W7:AG8" si="8">W$6</f>
        <v>0.84375</v>
      </c>
      <c r="X7" s="33">
        <f t="shared" si="8"/>
        <v>0</v>
      </c>
      <c r="Y7" s="32">
        <f t="shared" si="8"/>
        <v>6.0000000000000009</v>
      </c>
      <c r="Z7" s="32">
        <f t="shared" si="8"/>
        <v>0</v>
      </c>
      <c r="AA7" s="32">
        <f t="shared" si="8"/>
        <v>0</v>
      </c>
      <c r="AB7" s="162" t="str">
        <f t="shared" si="8"/>
        <v>No</v>
      </c>
      <c r="AC7" s="163">
        <f t="shared" si="8"/>
        <v>19</v>
      </c>
      <c r="AD7" s="34">
        <f t="shared" si="8"/>
        <v>5.0000000000000009</v>
      </c>
      <c r="AE7" s="33">
        <f t="shared" si="8"/>
        <v>1.4375</v>
      </c>
      <c r="AF7" s="32">
        <f t="shared" si="8"/>
        <v>1.625</v>
      </c>
      <c r="AG7" s="34">
        <f t="shared" si="8"/>
        <v>1.5</v>
      </c>
      <c r="AH7" s="32">
        <f t="shared" ref="AH7:AI8" si="9">AH$6</f>
        <v>31.375</v>
      </c>
      <c r="AI7" s="45">
        <f t="shared" si="9"/>
        <v>31.5</v>
      </c>
      <c r="AJ7" s="23" t="s">
        <v>1</v>
      </c>
      <c r="AK7" s="23">
        <v>90</v>
      </c>
      <c r="AL7" s="23">
        <v>9.9999999999999995E-7</v>
      </c>
      <c r="AM7" s="32">
        <f t="shared" ref="AM7:AN8" si="10">AM$6</f>
        <v>1</v>
      </c>
      <c r="AN7" s="32">
        <f t="shared" si="10"/>
        <v>1</v>
      </c>
      <c r="AO7" s="35" t="str">
        <f t="shared" ref="AO7:BH8" si="11">AO$6</f>
        <v>U</v>
      </c>
      <c r="AP7" s="35" t="str">
        <f t="shared" si="11"/>
        <v>S</v>
      </c>
      <c r="AQ7" s="35" t="str">
        <f t="shared" si="11"/>
        <v>S</v>
      </c>
      <c r="AR7" s="35" t="str">
        <f t="shared" si="11"/>
        <v>S</v>
      </c>
      <c r="AS7" s="35" t="str">
        <f t="shared" si="11"/>
        <v>S</v>
      </c>
      <c r="AT7" s="35" t="str">
        <f t="shared" si="11"/>
        <v>U</v>
      </c>
      <c r="AU7" s="35" t="str">
        <f t="shared" si="11"/>
        <v>U</v>
      </c>
      <c r="AV7" s="35" t="str">
        <f t="shared" si="11"/>
        <v>U</v>
      </c>
      <c r="AW7" s="35" t="str">
        <f t="shared" si="11"/>
        <v>U</v>
      </c>
      <c r="AX7" s="32" t="str">
        <f>AX6</f>
        <v>S</v>
      </c>
      <c r="AY7" s="35" t="str">
        <f t="shared" si="11"/>
        <v>U</v>
      </c>
      <c r="AZ7" s="35" t="str">
        <f t="shared" si="11"/>
        <v>S</v>
      </c>
      <c r="BA7" s="35" t="str">
        <f t="shared" si="11"/>
        <v>S</v>
      </c>
      <c r="BB7" s="35">
        <f t="shared" si="11"/>
        <v>1</v>
      </c>
      <c r="BC7" s="35" t="str">
        <f t="shared" si="11"/>
        <v>U</v>
      </c>
      <c r="BD7" s="35" t="str">
        <f t="shared" si="11"/>
        <v>U</v>
      </c>
      <c r="BE7" s="35" t="str">
        <f t="shared" si="11"/>
        <v>S</v>
      </c>
      <c r="BF7" s="35" t="str">
        <f t="shared" si="11"/>
        <v>S</v>
      </c>
      <c r="BG7" s="35" t="str">
        <f t="shared" si="11"/>
        <v>U</v>
      </c>
      <c r="BH7" s="35" t="str">
        <f t="shared" si="11"/>
        <v>U</v>
      </c>
      <c r="BI7" s="35" t="str">
        <f t="shared" ref="BG7:BJ8" si="12">BI$6</f>
        <v>U</v>
      </c>
      <c r="BJ7" s="35" t="str">
        <f t="shared" si="12"/>
        <v>U</v>
      </c>
      <c r="BK7" s="32" t="str">
        <f>BK$6</f>
        <v>S</v>
      </c>
      <c r="BL7" s="48" t="str">
        <f t="shared" ref="BL7:BL9" si="13">BK7</f>
        <v>S</v>
      </c>
      <c r="BM7" s="32" t="str">
        <f>BM$6</f>
        <v>Bar, 0.25 x 4 x 5.5</v>
      </c>
      <c r="BN7" s="32" t="str">
        <f>BN$6</f>
        <v>S</v>
      </c>
      <c r="BO7" s="48" t="str">
        <f t="shared" ref="BO7:BO9" si="14">BN7</f>
        <v>S</v>
      </c>
      <c r="BP7" s="32" t="str">
        <f>BP$6</f>
        <v>Bar, 0.25 x 4 x 5.5</v>
      </c>
      <c r="BQ7" s="48" t="str">
        <f t="shared" ref="BQ7:BQ9" si="15">BK7</f>
        <v>S</v>
      </c>
      <c r="BR7" s="36"/>
      <c r="BS7" s="32" t="str">
        <f t="shared" ref="BS7:BU8" si="16">BS$6</f>
        <v>S</v>
      </c>
      <c r="BT7" s="32">
        <f t="shared" si="16"/>
        <v>0.84375</v>
      </c>
      <c r="BU7" s="32">
        <f t="shared" si="16"/>
        <v>0.84375</v>
      </c>
      <c r="BV7" s="51">
        <f t="shared" ref="BV7:CB8" si="17">BV$6</f>
        <v>0.59375</v>
      </c>
      <c r="BW7" s="32">
        <f t="shared" si="17"/>
        <v>6.25E-2</v>
      </c>
      <c r="BX7" s="32">
        <f t="shared" si="17"/>
        <v>6.25E-2</v>
      </c>
      <c r="BY7" s="32">
        <f t="shared" si="17"/>
        <v>45</v>
      </c>
      <c r="BZ7" s="32">
        <f t="shared" si="17"/>
        <v>45</v>
      </c>
      <c r="CA7" s="32">
        <f t="shared" si="17"/>
        <v>45</v>
      </c>
      <c r="CB7" s="32">
        <f t="shared" si="17"/>
        <v>45</v>
      </c>
      <c r="CC7" s="32">
        <f t="shared" si="7"/>
        <v>0.625</v>
      </c>
      <c r="CD7" s="32">
        <f t="shared" si="7"/>
        <v>1.5</v>
      </c>
      <c r="CE7" s="32">
        <f t="shared" si="7"/>
        <v>1.2990381056766576</v>
      </c>
      <c r="CF7" s="32">
        <f t="shared" ref="CF7:CI8" si="18">CF$6</f>
        <v>9.9999999999999995E-7</v>
      </c>
      <c r="CG7" s="32">
        <f t="shared" si="18"/>
        <v>9.9999999999999995E-7</v>
      </c>
      <c r="CH7" s="32">
        <f t="shared" si="18"/>
        <v>9.9999999999999995E-7</v>
      </c>
      <c r="CI7" s="37">
        <f t="shared" si="18"/>
        <v>9.9999999999999995E-7</v>
      </c>
      <c r="CJ7" s="47" t="str">
        <f>IF(Extra_length_4_Beasley_MFG?="Yes","S","U")</f>
        <v>U</v>
      </c>
      <c r="CK7" s="100" t="str">
        <f t="shared" ref="CK7:CK10" si="19">CJ7</f>
        <v>U</v>
      </c>
      <c r="CL7" s="32">
        <f t="shared" si="7"/>
        <v>20</v>
      </c>
      <c r="CM7" s="32">
        <f t="shared" si="7"/>
        <v>19</v>
      </c>
      <c r="CN7" s="32">
        <f t="shared" si="7"/>
        <v>2</v>
      </c>
      <c r="CO7" s="32">
        <f t="shared" si="7"/>
        <v>2</v>
      </c>
      <c r="CP7" s="32">
        <f>CP$6</f>
        <v>2</v>
      </c>
      <c r="CQ7" s="37">
        <f t="shared" si="7"/>
        <v>2</v>
      </c>
      <c r="CR7" s="47" t="str">
        <f>IF(CJ7="S","S",CR$6)</f>
        <v>S</v>
      </c>
      <c r="CS7" s="35">
        <f t="shared" si="7"/>
        <v>1.5</v>
      </c>
      <c r="CT7" s="51">
        <f t="shared" si="7"/>
        <v>6.0000000000000009</v>
      </c>
      <c r="CU7" s="32">
        <f t="shared" si="7"/>
        <v>5.0000000000000009</v>
      </c>
      <c r="CV7" s="32">
        <f t="shared" si="7"/>
        <v>2</v>
      </c>
      <c r="CW7" s="37">
        <f t="shared" si="7"/>
        <v>2</v>
      </c>
      <c r="CX7" s="32">
        <f t="shared" ref="CX7:CY8" si="20">CX$6</f>
        <v>28.5</v>
      </c>
      <c r="CY7" s="32">
        <f t="shared" si="20"/>
        <v>27</v>
      </c>
      <c r="CZ7" s="32" t="str">
        <f t="shared" si="7"/>
        <v>Short Row</v>
      </c>
      <c r="DA7" s="32">
        <f t="shared" si="7"/>
        <v>0.75</v>
      </c>
      <c r="DB7" s="37">
        <f>DB$6</f>
        <v>27</v>
      </c>
      <c r="DC7" s="178">
        <f t="shared" si="7"/>
        <v>3.8971143170299727</v>
      </c>
      <c r="DD7" s="51">
        <f t="shared" ref="DD7:DE8" si="21">DD$6</f>
        <v>7.5000000000000018</v>
      </c>
      <c r="DE7" s="32">
        <f t="shared" si="21"/>
        <v>6.0000000000000018</v>
      </c>
      <c r="DF7" s="32">
        <f t="shared" si="7"/>
        <v>0.75</v>
      </c>
      <c r="DG7" s="32">
        <f t="shared" ref="DF7:DG8" si="22">DG$6</f>
        <v>6.0000000000000018</v>
      </c>
      <c r="DH7" s="32">
        <f>DH$6</f>
        <v>1.0000000000000001E-5</v>
      </c>
      <c r="DI7" s="49"/>
      <c r="DJ7" s="52">
        <f t="shared" ref="DJ7:DJ8" si="23">DJ$6</f>
        <v>6.2721143170299722</v>
      </c>
      <c r="DK7" s="52">
        <f t="shared" ref="DK7:DO8" si="24">DK$6</f>
        <v>0.375</v>
      </c>
      <c r="DL7" s="32">
        <f t="shared" si="24"/>
        <v>3.7499999999999999E-2</v>
      </c>
      <c r="DM7" s="37">
        <f t="shared" si="24"/>
        <v>20</v>
      </c>
      <c r="DN7" s="32">
        <f t="shared" si="24"/>
        <v>1.5</v>
      </c>
      <c r="DO7" s="32">
        <f t="shared" si="24"/>
        <v>0.15625</v>
      </c>
      <c r="DP7" s="23">
        <f>IF(MFG_Method="End to End Headers", 0,     IF(OR( AND(Material_Type="Stainless",ProductLine="AXC",Bevel_Type&lt;&gt;"Beasley",Extra_length_4_Beasley_MFG?="No"), AND(ProductLine="Hammco",Total_No_of_Rows&gt;=3,Bevel_Type&lt;&gt;"Beasley",Extra_length_4_Beasley_MFG?="No") ), 0.125,     IF(AND(ProductLine="Hammco",Total_No_of_Rows&lt;=2,Bevel_Type&lt;&gt;"Beasley"),  0.25,     IF(AND(Material_Type="Stainless", OR(Bevel_Type="Beasley", Extra_length_4_Beasley_MFG?="Yes")),2,  IF(OR(Bevel_Type="Beasley", Extra_length_4_Beasley_MFG?="Yes"), 3,     0)))))</f>
        <v>0</v>
      </c>
      <c r="DQ7" s="32">
        <f>DP7</f>
        <v>0</v>
      </c>
      <c r="DR7" s="52" t="str">
        <f>DR$6</f>
        <v>S</v>
      </c>
      <c r="DS7" s="32">
        <f>DS$6</f>
        <v>0</v>
      </c>
      <c r="DT7" s="32">
        <f ca="1">DT$6</f>
        <v>26.565509550648063</v>
      </c>
      <c r="DU7" s="32">
        <f t="shared" ref="DU7:DZ7" si="25">DU$6</f>
        <v>25</v>
      </c>
      <c r="DV7" s="32">
        <f t="shared" si="25"/>
        <v>1E-8</v>
      </c>
      <c r="DW7" s="23">
        <f>IF(Bevel_Type="Beasley", 0.125, DW$6)</f>
        <v>1E-8</v>
      </c>
      <c r="DX7" s="32">
        <f t="shared" si="25"/>
        <v>0.14161060078755441</v>
      </c>
      <c r="DY7" s="32" t="str">
        <f t="shared" si="25"/>
        <v>S</v>
      </c>
      <c r="DZ7" s="114" t="str">
        <f t="shared" si="25"/>
        <v>U</v>
      </c>
      <c r="EA7" s="23" t="str">
        <f>IF(AND(Bevel_Type="Jbevel", LEFT(Header_Type,5)="Plate"),  "Yes",     "No" )</f>
        <v>No</v>
      </c>
      <c r="EB7" s="23" t="str">
        <f>IF(MFG_Method="End to End Headers","U","S")</f>
        <v>S</v>
      </c>
      <c r="EC7" s="48" t="str">
        <f>$EB7</f>
        <v>S</v>
      </c>
      <c r="ED7" s="48" t="str">
        <f>$EB7</f>
        <v>S</v>
      </c>
      <c r="EE7" s="48" t="str">
        <f>$EB7</f>
        <v>S</v>
      </c>
      <c r="EF7" s="48" t="str">
        <f>$EB7</f>
        <v>S</v>
      </c>
      <c r="EG7" s="48" t="str">
        <f>$EB7</f>
        <v>S</v>
      </c>
      <c r="EH7" s="23" t="str">
        <f>IF(OR(Extra_length_4_Beasley_MFG?="Yes",MFG_Method="End to End Headers"), "U", "S" )</f>
        <v>S</v>
      </c>
      <c r="EI7" s="48" t="str">
        <f>EI6</f>
        <v>S</v>
      </c>
      <c r="EJ7" s="141" t="str">
        <f>EB7</f>
        <v>S</v>
      </c>
      <c r="EK7" s="32">
        <f t="shared" ref="EK7:EN7" si="26">EK$6</f>
        <v>1.0000000000000001E-5</v>
      </c>
      <c r="EL7" s="32">
        <f t="shared" si="26"/>
        <v>1.0000000000000001E-5</v>
      </c>
      <c r="EM7" s="32">
        <f t="shared" si="26"/>
        <v>1.0000000000000001E-5</v>
      </c>
      <c r="EN7" s="32">
        <f t="shared" si="26"/>
        <v>0.25</v>
      </c>
      <c r="EO7" s="23">
        <f>Header_Length+DP7+DQ7+EN7</f>
        <v>31.625</v>
      </c>
      <c r="EP7" s="32">
        <f t="shared" ref="EP7:FI8" si="27">EP$6</f>
        <v>28.5</v>
      </c>
      <c r="EQ7" s="32">
        <f t="shared" si="27"/>
        <v>20</v>
      </c>
      <c r="ER7" s="32">
        <f t="shared" si="27"/>
        <v>1</v>
      </c>
      <c r="ES7" s="32">
        <f t="shared" si="27"/>
        <v>1</v>
      </c>
      <c r="ET7" s="32">
        <f t="shared" si="27"/>
        <v>1</v>
      </c>
      <c r="EU7" s="32" t="str">
        <f>EU$6</f>
        <v>U</v>
      </c>
      <c r="EV7" s="32" t="str">
        <f>EV$6</f>
        <v>S</v>
      </c>
      <c r="EW7" s="48" t="str">
        <f t="shared" ref="EW7:EW10" si="28">EU7</f>
        <v>U</v>
      </c>
      <c r="EX7" s="48" t="str">
        <f t="shared" ref="EX7:EX10" si="29">EV7</f>
        <v>S</v>
      </c>
      <c r="EY7" s="32">
        <f>EY$6</f>
        <v>0</v>
      </c>
      <c r="EZ7" s="48">
        <f t="shared" ref="EZ7:EZ10" si="30">$EY7</f>
        <v>0</v>
      </c>
      <c r="FA7" s="32">
        <f>FA$6</f>
        <v>1E-3</v>
      </c>
      <c r="FB7" s="48">
        <f t="shared" ref="FB7:FB10" si="31">$FA7</f>
        <v>1E-3</v>
      </c>
      <c r="FC7" s="32" t="str">
        <f t="shared" si="27"/>
        <v>AXC materials:SA516 70 (N)</v>
      </c>
      <c r="FD7" s="32" t="str">
        <f t="shared" si="27"/>
        <v>3</v>
      </c>
      <c r="FE7" s="32" t="str">
        <f>FE$6</f>
        <v>.3</v>
      </c>
      <c r="FF7" s="32" t="str">
        <f>FF$6</f>
        <v>3-SEC</v>
      </c>
      <c r="FG7" s="32" t="str">
        <f>FG$6</f>
        <v>3-BOX-F</v>
      </c>
      <c r="FH7" s="32" t="str">
        <f>FH$6</f>
        <v>HEADER BOX, FRONT</v>
      </c>
      <c r="FI7" s="32" t="str">
        <f t="shared" si="27"/>
        <v>000000</v>
      </c>
      <c r="FJ7" s="48">
        <f>FJ$6</f>
        <v>0</v>
      </c>
      <c r="FK7" s="48">
        <f>FK$6</f>
        <v>0</v>
      </c>
      <c r="FL7" s="32">
        <f t="shared" ref="FL7:FM8" si="32">FL$6</f>
        <v>0</v>
      </c>
      <c r="FM7" s="32">
        <f t="shared" si="32"/>
        <v>0</v>
      </c>
      <c r="FT7" s="32" t="str">
        <f>FT$6</f>
        <v>3-HDR-F</v>
      </c>
      <c r="GQ7" s="32" t="str">
        <f>GQ$6</f>
        <v>None</v>
      </c>
      <c r="GR7" s="32" t="str">
        <f>GR$6</f>
        <v>None</v>
      </c>
      <c r="GY7" s="26"/>
      <c r="GZ7" s="26"/>
      <c r="HB7" s="26"/>
      <c r="HC7" s="26"/>
      <c r="HD7" s="26"/>
      <c r="HE7" s="26"/>
      <c r="HG7" s="26"/>
      <c r="HH7" s="26"/>
      <c r="HI7" s="26"/>
      <c r="HN7" s="26"/>
      <c r="HO7" s="26"/>
      <c r="HP7" s="26"/>
      <c r="HQ7" s="26"/>
      <c r="HR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S7" s="26"/>
      <c r="JW7" s="26"/>
      <c r="JX7" s="26"/>
      <c r="KB7" s="26"/>
      <c r="KC7" s="26"/>
      <c r="KD7" s="26"/>
      <c r="KE7" s="26"/>
      <c r="KN7" s="26"/>
      <c r="KO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</row>
    <row r="8" spans="1:367" s="2" customFormat="1" x14ac:dyDescent="0.3">
      <c r="A8" s="26" t="s">
        <v>3</v>
      </c>
      <c r="B8" s="33" t="str">
        <f t="shared" si="2"/>
        <v>AXC</v>
      </c>
      <c r="C8" s="32" t="str">
        <f t="shared" si="2"/>
        <v>SA516 70 (N)</v>
      </c>
      <c r="D8" s="32" t="str">
        <f t="shared" si="2"/>
        <v>Carbon</v>
      </c>
      <c r="E8" s="32" t="str">
        <f>E$6</f>
        <v>Plate</v>
      </c>
      <c r="F8" s="32" t="str">
        <f>F$6</f>
        <v>Regular</v>
      </c>
      <c r="G8" s="32" t="str">
        <f>G$6</f>
        <v>No</v>
      </c>
      <c r="H8" s="32" t="str">
        <f t="shared" si="4"/>
        <v>Standard</v>
      </c>
      <c r="I8" s="32" t="str">
        <f t="shared" si="4"/>
        <v>Standard</v>
      </c>
      <c r="J8" s="32" t="str">
        <f t="shared" si="4"/>
        <v>Separate Headers</v>
      </c>
      <c r="K8" s="33">
        <f t="shared" si="3"/>
        <v>1.1559999999999999</v>
      </c>
      <c r="L8" s="32">
        <f t="shared" si="5"/>
        <v>0.625</v>
      </c>
      <c r="M8" s="32">
        <f>M$6</f>
        <v>16</v>
      </c>
      <c r="N8" s="32">
        <f t="shared" si="5"/>
        <v>0.06</v>
      </c>
      <c r="O8" s="51">
        <f t="shared" si="5"/>
        <v>20</v>
      </c>
      <c r="P8" s="75">
        <f t="shared" si="5"/>
        <v>4</v>
      </c>
      <c r="Q8" s="34" t="str">
        <f t="shared" si="5"/>
        <v>No</v>
      </c>
      <c r="R8" s="32" t="str">
        <f>R$6</f>
        <v>No</v>
      </c>
      <c r="S8" s="33">
        <f t="shared" si="6"/>
        <v>0.5</v>
      </c>
      <c r="T8" s="75">
        <f>T$6</f>
        <v>1</v>
      </c>
      <c r="U8" s="75">
        <f>T_and_P_Span_Front</f>
        <v>5.5846143170299722</v>
      </c>
      <c r="V8" s="75">
        <f t="shared" ref="V8:CL8" si="33">V$6</f>
        <v>4</v>
      </c>
      <c r="W8" s="75">
        <f t="shared" si="8"/>
        <v>0.84375</v>
      </c>
      <c r="X8" s="33">
        <f t="shared" si="8"/>
        <v>0</v>
      </c>
      <c r="Y8" s="32">
        <f t="shared" si="8"/>
        <v>6.0000000000000009</v>
      </c>
      <c r="Z8" s="32">
        <f t="shared" si="8"/>
        <v>0</v>
      </c>
      <c r="AA8" s="32">
        <f t="shared" si="8"/>
        <v>0</v>
      </c>
      <c r="AB8" s="162" t="str">
        <f t="shared" si="8"/>
        <v>No</v>
      </c>
      <c r="AC8" s="163">
        <f t="shared" si="8"/>
        <v>19</v>
      </c>
      <c r="AD8" s="34">
        <f t="shared" si="8"/>
        <v>5.0000000000000009</v>
      </c>
      <c r="AE8" s="33">
        <f t="shared" si="8"/>
        <v>1.4375</v>
      </c>
      <c r="AF8" s="32">
        <f t="shared" si="8"/>
        <v>1.625</v>
      </c>
      <c r="AG8" s="34">
        <f t="shared" si="8"/>
        <v>1.5</v>
      </c>
      <c r="AH8" s="32">
        <f t="shared" si="9"/>
        <v>31.375</v>
      </c>
      <c r="AI8" s="45">
        <f t="shared" si="9"/>
        <v>31.5</v>
      </c>
      <c r="AJ8" s="23"/>
      <c r="AK8" s="23">
        <v>270</v>
      </c>
      <c r="AL8" s="23">
        <f>V8/2</f>
        <v>2</v>
      </c>
      <c r="AM8" s="32">
        <f t="shared" si="10"/>
        <v>1</v>
      </c>
      <c r="AN8" s="32">
        <f t="shared" si="10"/>
        <v>1</v>
      </c>
      <c r="AO8" s="35" t="str">
        <f t="shared" si="11"/>
        <v>U</v>
      </c>
      <c r="AP8" s="35" t="str">
        <f t="shared" si="11"/>
        <v>S</v>
      </c>
      <c r="AQ8" s="35" t="str">
        <f t="shared" si="11"/>
        <v>S</v>
      </c>
      <c r="AR8" s="35" t="str">
        <f t="shared" si="11"/>
        <v>S</v>
      </c>
      <c r="AS8" s="35" t="str">
        <f t="shared" si="11"/>
        <v>S</v>
      </c>
      <c r="AT8" s="35" t="str">
        <f t="shared" si="11"/>
        <v>U</v>
      </c>
      <c r="AU8" s="35" t="str">
        <f t="shared" si="11"/>
        <v>U</v>
      </c>
      <c r="AV8" s="35" t="str">
        <f t="shared" si="11"/>
        <v>U</v>
      </c>
      <c r="AW8" s="35" t="str">
        <f t="shared" si="11"/>
        <v>U</v>
      </c>
      <c r="AX8" s="32" t="str">
        <f>AX6</f>
        <v>S</v>
      </c>
      <c r="AY8" s="35" t="str">
        <f t="shared" si="11"/>
        <v>U</v>
      </c>
      <c r="AZ8" s="35" t="str">
        <f t="shared" si="11"/>
        <v>S</v>
      </c>
      <c r="BA8" s="35" t="str">
        <f t="shared" si="11"/>
        <v>S</v>
      </c>
      <c r="BB8" s="35">
        <f t="shared" si="11"/>
        <v>1</v>
      </c>
      <c r="BC8" s="35" t="str">
        <f t="shared" si="11"/>
        <v>U</v>
      </c>
      <c r="BD8" s="35" t="str">
        <f t="shared" si="11"/>
        <v>U</v>
      </c>
      <c r="BE8" s="35" t="str">
        <f t="shared" si="11"/>
        <v>S</v>
      </c>
      <c r="BF8" s="35" t="str">
        <f t="shared" si="11"/>
        <v>S</v>
      </c>
      <c r="BG8" s="35" t="str">
        <f t="shared" si="12"/>
        <v>U</v>
      </c>
      <c r="BH8" s="35" t="str">
        <f t="shared" si="12"/>
        <v>U</v>
      </c>
      <c r="BI8" s="35" t="str">
        <f t="shared" si="12"/>
        <v>U</v>
      </c>
      <c r="BJ8" s="35" t="str">
        <f t="shared" si="12"/>
        <v>U</v>
      </c>
      <c r="BK8" s="23" t="str">
        <f>IF(OR(ProductLine="AXC",GQ8="None"),"S","U")</f>
        <v>S</v>
      </c>
      <c r="BL8" s="48" t="str">
        <f t="shared" si="13"/>
        <v>S</v>
      </c>
      <c r="BM8" s="23" t="str">
        <f>IF(BK8="S","Bar, 0.25 x 4 x 5.5",GQ8)</f>
        <v>Bar, 0.25 x 4 x 5.5</v>
      </c>
      <c r="BN8" s="23" t="str">
        <f>IF(OR(ProductLine="AXC",GR8="None"),"S","U")</f>
        <v>S</v>
      </c>
      <c r="BO8" s="48" t="str">
        <f t="shared" si="14"/>
        <v>S</v>
      </c>
      <c r="BP8" s="23" t="str">
        <f>IF(BN8="S","Bar, 0.25 x 4 x 5.5",GR8)</f>
        <v>Bar, 0.25 x 4 x 5.5</v>
      </c>
      <c r="BQ8" s="48" t="str">
        <f t="shared" si="15"/>
        <v>S</v>
      </c>
      <c r="BR8" s="36"/>
      <c r="BS8" s="32" t="str">
        <f t="shared" si="16"/>
        <v>S</v>
      </c>
      <c r="BT8" s="23">
        <f>IF(Lethal?="Yes",   End_Plate_Thk_Rear+0.125+0.5+DO6,   End_Plate_Thk_Rear)</f>
        <v>0.84375</v>
      </c>
      <c r="BU8" s="23">
        <f>End_Plate_Thk_Rear</f>
        <v>0.84375</v>
      </c>
      <c r="BV8" s="51">
        <f t="shared" si="17"/>
        <v>0.59375</v>
      </c>
      <c r="BW8" s="23">
        <f>0.0625</f>
        <v>6.25E-2</v>
      </c>
      <c r="BX8" s="23">
        <f>BW$6</f>
        <v>6.25E-2</v>
      </c>
      <c r="BY8" s="2">
        <v>45</v>
      </c>
      <c r="BZ8" s="48">
        <f>BY6</f>
        <v>45</v>
      </c>
      <c r="CA8" s="48">
        <f>BY6</f>
        <v>45</v>
      </c>
      <c r="CB8" s="2">
        <v>45</v>
      </c>
      <c r="CC8" s="32">
        <f t="shared" si="33"/>
        <v>0.625</v>
      </c>
      <c r="CD8" s="32">
        <f t="shared" si="33"/>
        <v>1.5</v>
      </c>
      <c r="CE8" s="32">
        <f t="shared" si="33"/>
        <v>1.2990381056766576</v>
      </c>
      <c r="CF8" s="32">
        <f t="shared" si="18"/>
        <v>9.9999999999999995E-7</v>
      </c>
      <c r="CG8" s="32">
        <f t="shared" si="18"/>
        <v>9.9999999999999995E-7</v>
      </c>
      <c r="CH8" s="32">
        <f t="shared" si="18"/>
        <v>9.9999999999999995E-7</v>
      </c>
      <c r="CI8" s="37">
        <f t="shared" si="18"/>
        <v>9.9999999999999995E-7</v>
      </c>
      <c r="CJ8" s="32" t="str">
        <f>CJ6</f>
        <v>U</v>
      </c>
      <c r="CK8" s="100" t="str">
        <f t="shared" si="19"/>
        <v>U</v>
      </c>
      <c r="CL8" s="32">
        <f t="shared" si="33"/>
        <v>20</v>
      </c>
      <c r="CM8" s="32">
        <f t="shared" si="7"/>
        <v>19</v>
      </c>
      <c r="CN8" s="32">
        <f t="shared" si="7"/>
        <v>2</v>
      </c>
      <c r="CO8" s="32">
        <f t="shared" si="7"/>
        <v>2</v>
      </c>
      <c r="CP8" s="32">
        <f>CP$6</f>
        <v>2</v>
      </c>
      <c r="CQ8" s="37">
        <f t="shared" si="7"/>
        <v>2</v>
      </c>
      <c r="CR8" s="35" t="str">
        <f t="shared" si="7"/>
        <v>S</v>
      </c>
      <c r="CS8" s="35">
        <f t="shared" si="7"/>
        <v>1.5</v>
      </c>
      <c r="CT8" s="51">
        <f t="shared" si="7"/>
        <v>6.0000000000000009</v>
      </c>
      <c r="CU8" s="32">
        <f t="shared" si="7"/>
        <v>5.0000000000000009</v>
      </c>
      <c r="CV8" s="32">
        <f t="shared" si="7"/>
        <v>2</v>
      </c>
      <c r="CW8" s="37">
        <f t="shared" si="7"/>
        <v>2</v>
      </c>
      <c r="CX8" s="32">
        <f t="shared" si="20"/>
        <v>28.5</v>
      </c>
      <c r="CY8" s="32">
        <f t="shared" si="20"/>
        <v>27</v>
      </c>
      <c r="CZ8" s="32" t="str">
        <f t="shared" si="7"/>
        <v>Short Row</v>
      </c>
      <c r="DA8" s="32">
        <f t="shared" si="7"/>
        <v>0.75</v>
      </c>
      <c r="DB8" s="37">
        <f>DB$6</f>
        <v>27</v>
      </c>
      <c r="DC8" s="178">
        <f t="shared" si="7"/>
        <v>3.8971143170299727</v>
      </c>
      <c r="DD8" s="51">
        <f t="shared" si="21"/>
        <v>7.5000000000000018</v>
      </c>
      <c r="DE8" s="32">
        <f t="shared" si="21"/>
        <v>6.0000000000000018</v>
      </c>
      <c r="DF8" s="32">
        <f t="shared" si="22"/>
        <v>0.75</v>
      </c>
      <c r="DG8" s="32">
        <f t="shared" si="22"/>
        <v>6.0000000000000018</v>
      </c>
      <c r="DH8" s="32">
        <f>DH$6</f>
        <v>1.0000000000000001E-5</v>
      </c>
      <c r="DI8" s="49"/>
      <c r="DJ8" s="52">
        <f t="shared" si="23"/>
        <v>6.2721143170299722</v>
      </c>
      <c r="DK8" s="52">
        <f t="shared" si="24"/>
        <v>0.375</v>
      </c>
      <c r="DL8" s="32">
        <f t="shared" si="24"/>
        <v>3.7499999999999999E-2</v>
      </c>
      <c r="DM8" s="37">
        <f t="shared" si="24"/>
        <v>20</v>
      </c>
      <c r="DN8" s="32">
        <f t="shared" si="24"/>
        <v>1.5</v>
      </c>
      <c r="DO8" s="32">
        <f t="shared" si="24"/>
        <v>0.15625</v>
      </c>
      <c r="DP8" s="32">
        <f>DP6</f>
        <v>0</v>
      </c>
      <c r="DQ8" s="32">
        <f>DP8</f>
        <v>0</v>
      </c>
      <c r="DR8" s="52" t="str">
        <f>DR$6</f>
        <v>S</v>
      </c>
      <c r="DS8" s="32">
        <f t="shared" ref="DS8:FI8" si="34">DS$6</f>
        <v>0</v>
      </c>
      <c r="DT8" s="32">
        <f t="shared" ca="1" si="34"/>
        <v>26.565509550648063</v>
      </c>
      <c r="DU8" s="32">
        <f t="shared" si="34"/>
        <v>25</v>
      </c>
      <c r="DV8" s="32">
        <f t="shared" si="34"/>
        <v>1E-8</v>
      </c>
      <c r="DW8" s="32">
        <f t="shared" si="34"/>
        <v>1E-8</v>
      </c>
      <c r="DX8" s="32">
        <f t="shared" si="34"/>
        <v>0.14161060078755441</v>
      </c>
      <c r="DY8" s="32" t="str">
        <f t="shared" si="34"/>
        <v>S</v>
      </c>
      <c r="DZ8" s="114" t="str">
        <f t="shared" si="34"/>
        <v>U</v>
      </c>
      <c r="EA8" s="48" t="str">
        <f>EA6</f>
        <v>No</v>
      </c>
      <c r="EB8" s="48" t="str">
        <f>EB6</f>
        <v>S</v>
      </c>
      <c r="EC8" s="48" t="str">
        <f t="shared" ref="EC8:EI8" si="35">EC6</f>
        <v>S</v>
      </c>
      <c r="ED8" s="48" t="str">
        <f t="shared" si="35"/>
        <v>S</v>
      </c>
      <c r="EE8" s="48" t="str">
        <f t="shared" si="35"/>
        <v>S</v>
      </c>
      <c r="EF8" s="48" t="str">
        <f t="shared" si="35"/>
        <v>S</v>
      </c>
      <c r="EG8" s="48" t="str">
        <f t="shared" si="35"/>
        <v>S</v>
      </c>
      <c r="EH8" s="133" t="str">
        <f>EH6</f>
        <v>S</v>
      </c>
      <c r="EI8" s="48" t="str">
        <f t="shared" si="35"/>
        <v>S</v>
      </c>
      <c r="EJ8" s="142" t="str">
        <f>$EJ$6</f>
        <v>S</v>
      </c>
      <c r="EK8" s="32">
        <f t="shared" si="34"/>
        <v>1.0000000000000001E-5</v>
      </c>
      <c r="EL8" s="32">
        <f t="shared" si="34"/>
        <v>1.0000000000000001E-5</v>
      </c>
      <c r="EM8" s="32">
        <f t="shared" si="34"/>
        <v>1.0000000000000001E-5</v>
      </c>
      <c r="EN8" s="32">
        <f t="shared" si="34"/>
        <v>0.25</v>
      </c>
      <c r="EO8" s="23">
        <f>Header_Length+DP8+DQ8+EN8</f>
        <v>31.625</v>
      </c>
      <c r="EP8" s="32">
        <f t="shared" si="34"/>
        <v>28.5</v>
      </c>
      <c r="EQ8" s="32">
        <f t="shared" si="34"/>
        <v>20</v>
      </c>
      <c r="ER8" s="32">
        <f t="shared" si="34"/>
        <v>1</v>
      </c>
      <c r="ES8" s="32">
        <f t="shared" si="34"/>
        <v>1</v>
      </c>
      <c r="ET8" s="32">
        <f t="shared" si="34"/>
        <v>1</v>
      </c>
      <c r="EU8" s="32" t="str">
        <f>EU$6</f>
        <v>U</v>
      </c>
      <c r="EV8" s="32" t="str">
        <f>EV$6</f>
        <v>S</v>
      </c>
      <c r="EW8" s="48" t="str">
        <f t="shared" si="28"/>
        <v>U</v>
      </c>
      <c r="EX8" s="48" t="str">
        <f t="shared" si="29"/>
        <v>S</v>
      </c>
      <c r="EY8" s="32">
        <f>EY$6</f>
        <v>0</v>
      </c>
      <c r="EZ8" s="48">
        <f t="shared" si="30"/>
        <v>0</v>
      </c>
      <c r="FA8" s="32">
        <f>FA$6</f>
        <v>1E-3</v>
      </c>
      <c r="FB8" s="48">
        <f t="shared" si="31"/>
        <v>1E-3</v>
      </c>
      <c r="FC8" s="32" t="str">
        <f t="shared" si="34"/>
        <v>AXC materials:SA516 70 (N)</v>
      </c>
      <c r="FD8" s="32" t="str">
        <f t="shared" si="27"/>
        <v>3</v>
      </c>
      <c r="FE8" s="23" t="str">
        <f>_xlfn.CONCAT(".",$FD8)</f>
        <v>.3</v>
      </c>
      <c r="FF8" s="23" t="str">
        <f>_xlfn.CONCAT($FD8,"-SEC")</f>
        <v>3-SEC</v>
      </c>
      <c r="FG8" s="23" t="str">
        <f>CONCATENATE(FD8,IF(ProductLine="AXC","-BOX-R","-PLT-R"))</f>
        <v>3-BOX-R</v>
      </c>
      <c r="FH8" s="23" t="str">
        <f>IF(ProductLine="AXC","HEADER BOX, REAR","HEADER PLATE DETAILS, REAR")</f>
        <v>HEADER BOX, REAR</v>
      </c>
      <c r="FI8" s="32" t="str">
        <f t="shared" si="34"/>
        <v>000000</v>
      </c>
      <c r="FJ8" s="23">
        <f>IF(Lethal?="Yes", 20,   IF(OR(Welding_Method="TIG Root",T_and_P_Span_Rear&gt;14), 27.5,    IF(Bevel_Type="Beasley", VLOOKUP(End_Plate_Thk_Rear, TPW_Cham_Ang_at_EndPlate,2,TRUE), 0 ) )  )</f>
        <v>0</v>
      </c>
      <c r="FK8" s="23">
        <f>IF(OR(Welding_Method="TIG Root",Bevel_Type="Beasley"),FJ8,0)</f>
        <v>0</v>
      </c>
      <c r="FL8" s="32">
        <f t="shared" si="32"/>
        <v>0</v>
      </c>
      <c r="FM8" s="32">
        <f t="shared" si="32"/>
        <v>0</v>
      </c>
      <c r="FT8" s="23" t="str">
        <f>CONCATENATE(FD8,"-HDR-R")</f>
        <v>3-HDR-R</v>
      </c>
      <c r="GQ8" s="81" t="str">
        <f>GQ6</f>
        <v>None</v>
      </c>
      <c r="GR8" s="81" t="str">
        <f>GR6</f>
        <v>None</v>
      </c>
      <c r="GY8" s="26"/>
      <c r="GZ8" s="26"/>
      <c r="HB8" s="26"/>
      <c r="HC8" s="26"/>
      <c r="HD8" s="26"/>
      <c r="HE8" s="26"/>
      <c r="HG8" s="26"/>
      <c r="HH8" s="26"/>
      <c r="HI8" s="26"/>
      <c r="HN8" s="26"/>
      <c r="HO8" s="26"/>
      <c r="HP8" s="26"/>
      <c r="HQ8" s="26"/>
      <c r="HR8" s="26"/>
      <c r="HV8" s="26"/>
      <c r="HW8" s="26"/>
      <c r="HX8" s="26"/>
      <c r="HY8" s="26"/>
      <c r="HZ8" s="26"/>
      <c r="IA8" s="26"/>
      <c r="IB8" s="26"/>
      <c r="IC8" s="26"/>
      <c r="ID8" s="26"/>
      <c r="IE8" s="26"/>
      <c r="IF8" s="26"/>
      <c r="IG8" s="26"/>
      <c r="IH8" s="26"/>
      <c r="II8" s="26"/>
      <c r="IJ8" s="26"/>
      <c r="JA8" s="26"/>
      <c r="JB8" s="26"/>
      <c r="JC8" s="26"/>
      <c r="JD8" s="26"/>
      <c r="JE8" s="26"/>
      <c r="JF8" s="26"/>
      <c r="JG8" s="26"/>
      <c r="JH8" s="26"/>
      <c r="JI8" s="26"/>
      <c r="JJ8" s="26"/>
      <c r="JK8" s="26"/>
      <c r="JL8" s="26"/>
      <c r="JS8" s="26"/>
      <c r="JW8" s="26"/>
      <c r="JX8" s="26"/>
      <c r="KB8" s="26"/>
      <c r="KC8" s="26"/>
      <c r="KD8" s="26"/>
      <c r="KE8" s="26"/>
      <c r="KN8" s="26"/>
      <c r="KO8" s="26"/>
      <c r="KX8" s="26"/>
      <c r="KY8" s="26"/>
      <c r="KZ8" s="26"/>
      <c r="LA8" s="26"/>
      <c r="LB8" s="26"/>
      <c r="LC8" s="26"/>
      <c r="LD8" s="26"/>
      <c r="LE8" s="26"/>
      <c r="LF8" s="26"/>
      <c r="LG8" s="26"/>
      <c r="LH8" s="26"/>
      <c r="LI8" s="26"/>
      <c r="LJ8" s="26"/>
      <c r="LK8" s="26"/>
      <c r="LL8" s="26"/>
      <c r="LM8" s="26"/>
      <c r="LN8" s="26"/>
      <c r="LO8" s="26"/>
      <c r="LP8" s="26"/>
      <c r="LQ8" s="26"/>
      <c r="LR8" s="26"/>
      <c r="LS8" s="26"/>
      <c r="LT8" s="26"/>
      <c r="LU8" s="26"/>
      <c r="LV8" s="26"/>
      <c r="LW8" s="26"/>
      <c r="LX8" s="26"/>
      <c r="LY8" s="26"/>
      <c r="LZ8" s="26"/>
      <c r="MA8" s="26"/>
      <c r="MB8" s="26"/>
      <c r="MC8" s="26"/>
      <c r="MD8" s="26"/>
      <c r="ME8" s="26"/>
      <c r="MF8" s="26"/>
      <c r="MG8" s="26"/>
      <c r="MH8" s="26"/>
      <c r="MI8" s="26"/>
      <c r="MJ8" s="26"/>
      <c r="MK8" s="26"/>
      <c r="ML8" s="26"/>
      <c r="MM8" s="26"/>
      <c r="MN8" s="26"/>
      <c r="MO8" s="26"/>
      <c r="MP8" s="26"/>
      <c r="MQ8" s="26"/>
      <c r="MR8" s="26"/>
      <c r="MS8" s="26"/>
      <c r="MT8" s="26"/>
      <c r="MU8" s="26"/>
      <c r="MV8" s="26"/>
      <c r="MW8" s="26"/>
      <c r="MX8" s="26"/>
      <c r="MY8" s="26"/>
      <c r="MZ8" s="26"/>
      <c r="NA8" s="26"/>
      <c r="NB8" s="26"/>
      <c r="NC8" s="26"/>
    </row>
    <row r="9" spans="1:367" s="2" customFormat="1" x14ac:dyDescent="0.3">
      <c r="A9" s="26" t="s">
        <v>140</v>
      </c>
      <c r="B9" s="33" t="str">
        <f t="shared" ref="B9:AI9" si="36">B$8</f>
        <v>AXC</v>
      </c>
      <c r="C9" s="32" t="str">
        <f t="shared" si="36"/>
        <v>SA516 70 (N)</v>
      </c>
      <c r="D9" s="32" t="str">
        <f t="shared" si="36"/>
        <v>Carbon</v>
      </c>
      <c r="E9" s="32" t="str">
        <f t="shared" si="36"/>
        <v>Plate</v>
      </c>
      <c r="F9" s="32" t="str">
        <f>F$8</f>
        <v>Regular</v>
      </c>
      <c r="G9" s="32" t="str">
        <f t="shared" si="36"/>
        <v>No</v>
      </c>
      <c r="H9" s="32" t="str">
        <f>H$8</f>
        <v>Standard</v>
      </c>
      <c r="I9" s="32" t="str">
        <f>I$8</f>
        <v>Standard</v>
      </c>
      <c r="J9" s="32" t="str">
        <f>J$8</f>
        <v>Separate Headers</v>
      </c>
      <c r="K9" s="33">
        <f t="shared" si="36"/>
        <v>1.1559999999999999</v>
      </c>
      <c r="L9" s="32">
        <f t="shared" si="36"/>
        <v>0.625</v>
      </c>
      <c r="M9" s="32">
        <f>M$8</f>
        <v>16</v>
      </c>
      <c r="N9" s="32">
        <f t="shared" si="36"/>
        <v>0.06</v>
      </c>
      <c r="O9" s="51">
        <f t="shared" si="36"/>
        <v>20</v>
      </c>
      <c r="P9" s="32">
        <f t="shared" si="36"/>
        <v>4</v>
      </c>
      <c r="Q9" s="34" t="str">
        <f t="shared" si="36"/>
        <v>No</v>
      </c>
      <c r="R9" s="32" t="str">
        <f>R$8</f>
        <v>No</v>
      </c>
      <c r="S9" s="33">
        <f t="shared" si="36"/>
        <v>0.5</v>
      </c>
      <c r="T9" s="32">
        <f t="shared" si="36"/>
        <v>1</v>
      </c>
      <c r="U9" s="32">
        <f t="shared" si="36"/>
        <v>5.5846143170299722</v>
      </c>
      <c r="V9" s="32">
        <f t="shared" si="36"/>
        <v>4</v>
      </c>
      <c r="W9" s="34">
        <f t="shared" si="36"/>
        <v>0.84375</v>
      </c>
      <c r="X9" s="33">
        <f t="shared" si="36"/>
        <v>0</v>
      </c>
      <c r="Y9" s="32">
        <f t="shared" si="36"/>
        <v>6.0000000000000009</v>
      </c>
      <c r="Z9" s="32">
        <f t="shared" si="36"/>
        <v>0</v>
      </c>
      <c r="AA9" s="32">
        <f t="shared" si="36"/>
        <v>0</v>
      </c>
      <c r="AB9" s="162" t="str">
        <f t="shared" si="36"/>
        <v>No</v>
      </c>
      <c r="AC9" s="163">
        <f t="shared" si="36"/>
        <v>19</v>
      </c>
      <c r="AD9" s="34">
        <f t="shared" si="36"/>
        <v>5.0000000000000009</v>
      </c>
      <c r="AE9" s="33">
        <f t="shared" si="36"/>
        <v>1.4375</v>
      </c>
      <c r="AF9" s="32">
        <f t="shared" si="36"/>
        <v>1.625</v>
      </c>
      <c r="AG9" s="34">
        <f t="shared" si="36"/>
        <v>1.5</v>
      </c>
      <c r="AH9" s="32">
        <f t="shared" si="36"/>
        <v>31.375</v>
      </c>
      <c r="AI9" s="45">
        <f t="shared" si="36"/>
        <v>31.5</v>
      </c>
      <c r="AJ9" s="23" t="s">
        <v>3</v>
      </c>
      <c r="AK9" s="23">
        <v>270</v>
      </c>
      <c r="AL9" s="23">
        <f>V9/2</f>
        <v>2</v>
      </c>
      <c r="AM9" s="32">
        <f t="shared" ref="AM9:BJ9" si="37">AM$8</f>
        <v>1</v>
      </c>
      <c r="AN9" s="32">
        <f t="shared" si="37"/>
        <v>1</v>
      </c>
      <c r="AO9" s="35" t="str">
        <f t="shared" si="37"/>
        <v>U</v>
      </c>
      <c r="AP9" s="35" t="str">
        <f t="shared" si="37"/>
        <v>S</v>
      </c>
      <c r="AQ9" s="35" t="str">
        <f t="shared" si="37"/>
        <v>S</v>
      </c>
      <c r="AR9" s="35" t="str">
        <f t="shared" si="37"/>
        <v>S</v>
      </c>
      <c r="AS9" s="35" t="str">
        <f t="shared" si="37"/>
        <v>S</v>
      </c>
      <c r="AT9" s="35" t="str">
        <f t="shared" si="37"/>
        <v>U</v>
      </c>
      <c r="AU9" s="35" t="str">
        <f t="shared" si="37"/>
        <v>U</v>
      </c>
      <c r="AV9" s="35" t="str">
        <f t="shared" si="37"/>
        <v>U</v>
      </c>
      <c r="AW9" s="35" t="str">
        <f t="shared" si="37"/>
        <v>U</v>
      </c>
      <c r="AX9" s="32" t="str">
        <f>AX8</f>
        <v>S</v>
      </c>
      <c r="AY9" s="35" t="str">
        <f t="shared" si="37"/>
        <v>U</v>
      </c>
      <c r="AZ9" s="35" t="str">
        <f t="shared" si="37"/>
        <v>S</v>
      </c>
      <c r="BA9" s="35" t="str">
        <f t="shared" si="37"/>
        <v>S</v>
      </c>
      <c r="BB9" s="35">
        <f t="shared" si="37"/>
        <v>1</v>
      </c>
      <c r="BC9" s="35" t="str">
        <f t="shared" si="37"/>
        <v>U</v>
      </c>
      <c r="BD9" s="35" t="str">
        <f t="shared" si="37"/>
        <v>U</v>
      </c>
      <c r="BE9" s="35" t="str">
        <f t="shared" si="37"/>
        <v>S</v>
      </c>
      <c r="BF9" s="35" t="str">
        <f t="shared" si="37"/>
        <v>S</v>
      </c>
      <c r="BG9" s="35" t="str">
        <f t="shared" si="37"/>
        <v>U</v>
      </c>
      <c r="BH9" s="35" t="str">
        <f t="shared" si="37"/>
        <v>U</v>
      </c>
      <c r="BI9" s="35" t="str">
        <f t="shared" si="37"/>
        <v>U</v>
      </c>
      <c r="BJ9" s="35" t="str">
        <f t="shared" si="37"/>
        <v>U</v>
      </c>
      <c r="BK9" s="32" t="str">
        <f>BK$8</f>
        <v>S</v>
      </c>
      <c r="BL9" s="48" t="str">
        <f t="shared" si="13"/>
        <v>S</v>
      </c>
      <c r="BM9" s="32" t="str">
        <f>BM$8</f>
        <v>Bar, 0.25 x 4 x 5.5</v>
      </c>
      <c r="BN9" s="32" t="str">
        <f>BN$8</f>
        <v>S</v>
      </c>
      <c r="BO9" s="48" t="str">
        <f t="shared" si="14"/>
        <v>S</v>
      </c>
      <c r="BP9" s="32" t="str">
        <f>BP$8</f>
        <v>Bar, 0.25 x 4 x 5.5</v>
      </c>
      <c r="BQ9" s="48" t="str">
        <f t="shared" si="15"/>
        <v>S</v>
      </c>
      <c r="BR9" s="36"/>
      <c r="BS9" s="32" t="str">
        <f>BS$8</f>
        <v>S</v>
      </c>
      <c r="BT9" s="32">
        <f>BT$8</f>
        <v>0.84375</v>
      </c>
      <c r="BU9" s="32">
        <f>BU$8</f>
        <v>0.84375</v>
      </c>
      <c r="BV9" s="51">
        <f t="shared" ref="BV9:DH9" si="38">BV$8</f>
        <v>0.59375</v>
      </c>
      <c r="BW9" s="32">
        <f t="shared" si="38"/>
        <v>6.25E-2</v>
      </c>
      <c r="BX9" s="32">
        <f t="shared" si="38"/>
        <v>6.25E-2</v>
      </c>
      <c r="BY9" s="32">
        <f t="shared" si="38"/>
        <v>45</v>
      </c>
      <c r="BZ9" s="32">
        <f t="shared" si="38"/>
        <v>45</v>
      </c>
      <c r="CA9" s="32">
        <f t="shared" si="38"/>
        <v>45</v>
      </c>
      <c r="CB9" s="32">
        <f t="shared" si="38"/>
        <v>45</v>
      </c>
      <c r="CC9" s="32">
        <f t="shared" si="38"/>
        <v>0.625</v>
      </c>
      <c r="CD9" s="32">
        <f t="shared" si="38"/>
        <v>1.5</v>
      </c>
      <c r="CE9" s="32">
        <f t="shared" si="38"/>
        <v>1.2990381056766576</v>
      </c>
      <c r="CF9" s="32">
        <f>CF$8</f>
        <v>9.9999999999999995E-7</v>
      </c>
      <c r="CG9" s="32">
        <f>CG$8</f>
        <v>9.9999999999999995E-7</v>
      </c>
      <c r="CH9" s="32">
        <f>CH$8</f>
        <v>9.9999999999999995E-7</v>
      </c>
      <c r="CI9" s="37">
        <f>CI$8</f>
        <v>9.9999999999999995E-7</v>
      </c>
      <c r="CJ9" s="32" t="str">
        <f>CJ7</f>
        <v>U</v>
      </c>
      <c r="CK9" s="100" t="str">
        <f t="shared" si="19"/>
        <v>U</v>
      </c>
      <c r="CL9" s="32">
        <f t="shared" si="38"/>
        <v>20</v>
      </c>
      <c r="CM9" s="32">
        <f t="shared" si="38"/>
        <v>19</v>
      </c>
      <c r="CN9" s="32">
        <f t="shared" si="38"/>
        <v>2</v>
      </c>
      <c r="CO9" s="32">
        <f t="shared" si="38"/>
        <v>2</v>
      </c>
      <c r="CP9" s="32">
        <f t="shared" si="38"/>
        <v>2</v>
      </c>
      <c r="CQ9" s="37">
        <f t="shared" si="38"/>
        <v>2</v>
      </c>
      <c r="CR9" s="32" t="str">
        <f>CR$7</f>
        <v>S</v>
      </c>
      <c r="CS9" s="35">
        <f t="shared" si="38"/>
        <v>1.5</v>
      </c>
      <c r="CT9" s="51">
        <f t="shared" si="38"/>
        <v>6.0000000000000009</v>
      </c>
      <c r="CU9" s="32">
        <f t="shared" si="38"/>
        <v>5.0000000000000009</v>
      </c>
      <c r="CV9" s="32">
        <f t="shared" si="38"/>
        <v>2</v>
      </c>
      <c r="CW9" s="37">
        <f t="shared" si="38"/>
        <v>2</v>
      </c>
      <c r="CX9" s="32">
        <f t="shared" si="38"/>
        <v>28.5</v>
      </c>
      <c r="CY9" s="32">
        <f t="shared" si="38"/>
        <v>27</v>
      </c>
      <c r="CZ9" s="32" t="str">
        <f t="shared" si="38"/>
        <v>Short Row</v>
      </c>
      <c r="DA9" s="32">
        <f t="shared" si="38"/>
        <v>0.75</v>
      </c>
      <c r="DB9" s="37">
        <f t="shared" si="38"/>
        <v>27</v>
      </c>
      <c r="DC9" s="178">
        <f t="shared" si="38"/>
        <v>3.8971143170299727</v>
      </c>
      <c r="DD9" s="51">
        <f t="shared" si="38"/>
        <v>7.5000000000000018</v>
      </c>
      <c r="DE9" s="32">
        <f t="shared" si="38"/>
        <v>6.0000000000000018</v>
      </c>
      <c r="DF9" s="32">
        <f t="shared" si="38"/>
        <v>0.75</v>
      </c>
      <c r="DG9" s="32">
        <f t="shared" si="38"/>
        <v>6.0000000000000018</v>
      </c>
      <c r="DH9" s="32">
        <f t="shared" si="38"/>
        <v>1.0000000000000001E-5</v>
      </c>
      <c r="DI9" s="49"/>
      <c r="DJ9" s="52">
        <f t="shared" ref="DJ9:DO9" si="39">DJ$8</f>
        <v>6.2721143170299722</v>
      </c>
      <c r="DK9" s="52">
        <f t="shared" si="39"/>
        <v>0.375</v>
      </c>
      <c r="DL9" s="32">
        <f t="shared" si="39"/>
        <v>3.7499999999999999E-2</v>
      </c>
      <c r="DM9" s="37">
        <f t="shared" si="39"/>
        <v>20</v>
      </c>
      <c r="DN9" s="32">
        <f t="shared" si="39"/>
        <v>1.5</v>
      </c>
      <c r="DO9" s="32">
        <f t="shared" si="39"/>
        <v>0.15625</v>
      </c>
      <c r="DP9" s="32">
        <f>DP7</f>
        <v>0</v>
      </c>
      <c r="DQ9" s="32">
        <f>DP9</f>
        <v>0</v>
      </c>
      <c r="DR9" s="52" t="str">
        <f>DR$8</f>
        <v>S</v>
      </c>
      <c r="DS9" s="32">
        <f t="shared" ref="DS9:FI9" si="40">DS$8</f>
        <v>0</v>
      </c>
      <c r="DT9" s="32">
        <f t="shared" ca="1" si="40"/>
        <v>26.565509550648063</v>
      </c>
      <c r="DU9" s="32">
        <f t="shared" si="40"/>
        <v>25</v>
      </c>
      <c r="DV9" s="32">
        <f t="shared" si="40"/>
        <v>1E-8</v>
      </c>
      <c r="DW9" s="32">
        <f>DW7</f>
        <v>1E-8</v>
      </c>
      <c r="DX9" s="32">
        <f t="shared" si="40"/>
        <v>0.14161060078755441</v>
      </c>
      <c r="DY9" s="32" t="str">
        <f t="shared" si="40"/>
        <v>S</v>
      </c>
      <c r="DZ9" s="114" t="str">
        <f t="shared" si="40"/>
        <v>U</v>
      </c>
      <c r="EA9" s="48" t="str">
        <f>EA7</f>
        <v>No</v>
      </c>
      <c r="EB9" s="48" t="str">
        <f>EB7</f>
        <v>S</v>
      </c>
      <c r="EC9" s="132" t="str">
        <f t="shared" si="1"/>
        <v>S</v>
      </c>
      <c r="ED9" s="132" t="str">
        <f t="shared" si="1"/>
        <v>S</v>
      </c>
      <c r="EE9" s="132" t="str">
        <f t="shared" si="1"/>
        <v>S</v>
      </c>
      <c r="EF9" s="132" t="str">
        <f t="shared" si="1"/>
        <v>S</v>
      </c>
      <c r="EG9" s="132" t="str">
        <f t="shared" si="1"/>
        <v>S</v>
      </c>
      <c r="EH9" s="48" t="str">
        <f>EH7</f>
        <v>S</v>
      </c>
      <c r="EI9" s="23" t="str">
        <f>IF(EI6="U","U",EB7)</f>
        <v>S</v>
      </c>
      <c r="EJ9" s="142" t="str">
        <f t="shared" ref="EJ9:EJ10" si="41">$EJ$6</f>
        <v>S</v>
      </c>
      <c r="EK9" s="32">
        <f t="shared" si="40"/>
        <v>1.0000000000000001E-5</v>
      </c>
      <c r="EL9" s="32">
        <f t="shared" si="40"/>
        <v>1.0000000000000001E-5</v>
      </c>
      <c r="EM9" s="32">
        <f t="shared" si="40"/>
        <v>1.0000000000000001E-5</v>
      </c>
      <c r="EN9" s="32">
        <f t="shared" si="40"/>
        <v>0.25</v>
      </c>
      <c r="EO9" s="23">
        <f>Header_Length+DP9+DQ9+EN9</f>
        <v>31.625</v>
      </c>
      <c r="EP9" s="32">
        <f>EP$8</f>
        <v>28.5</v>
      </c>
      <c r="EQ9" s="32">
        <f t="shared" si="40"/>
        <v>20</v>
      </c>
      <c r="ER9" s="32">
        <f t="shared" si="40"/>
        <v>1</v>
      </c>
      <c r="ES9" s="32">
        <f t="shared" si="40"/>
        <v>1</v>
      </c>
      <c r="ET9" s="32">
        <f t="shared" si="40"/>
        <v>1</v>
      </c>
      <c r="EU9" s="32" t="str">
        <f>EU$8</f>
        <v>U</v>
      </c>
      <c r="EV9" s="32" t="str">
        <f>EV$8</f>
        <v>S</v>
      </c>
      <c r="EW9" s="48" t="str">
        <f t="shared" si="28"/>
        <v>U</v>
      </c>
      <c r="EX9" s="48" t="str">
        <f t="shared" si="29"/>
        <v>S</v>
      </c>
      <c r="EY9" s="32">
        <f>EY$8</f>
        <v>0</v>
      </c>
      <c r="EZ9" s="48">
        <f t="shared" si="30"/>
        <v>0</v>
      </c>
      <c r="FA9" s="32">
        <f>FA$8</f>
        <v>1E-3</v>
      </c>
      <c r="FB9" s="48">
        <f t="shared" si="31"/>
        <v>1E-3</v>
      </c>
      <c r="FC9" s="32" t="str">
        <f t="shared" si="40"/>
        <v>AXC materials:SA516 70 (N)</v>
      </c>
      <c r="FD9" s="32" t="str">
        <f t="shared" si="40"/>
        <v>3</v>
      </c>
      <c r="FE9" s="32" t="str">
        <f>FE$8</f>
        <v>.3</v>
      </c>
      <c r="FF9" s="32" t="str">
        <f>FF$8</f>
        <v>3-SEC</v>
      </c>
      <c r="FG9" s="32" t="str">
        <f>FG$8</f>
        <v>3-BOX-R</v>
      </c>
      <c r="FH9" s="32" t="str">
        <f>FH$8</f>
        <v>HEADER BOX, REAR</v>
      </c>
      <c r="FI9" s="32" t="str">
        <f t="shared" si="40"/>
        <v>000000</v>
      </c>
      <c r="FJ9" s="48">
        <f>FJ$8</f>
        <v>0</v>
      </c>
      <c r="FK9" s="48">
        <f>FK$8</f>
        <v>0</v>
      </c>
      <c r="FL9" s="32">
        <f t="shared" ref="FL9:FM9" si="42">FL$8</f>
        <v>0</v>
      </c>
      <c r="FM9" s="32">
        <f t="shared" si="42"/>
        <v>0</v>
      </c>
      <c r="FT9" s="32" t="str">
        <f>FT$8</f>
        <v>3-HDR-R</v>
      </c>
      <c r="GQ9" s="71" t="str">
        <f>GQ$8</f>
        <v>None</v>
      </c>
      <c r="GR9" s="71" t="str">
        <f>GR$8</f>
        <v>None</v>
      </c>
      <c r="GY9" s="26"/>
      <c r="GZ9" s="26"/>
      <c r="HB9" s="26"/>
      <c r="HC9" s="26"/>
      <c r="HD9" s="26"/>
      <c r="HE9" s="26"/>
      <c r="HG9" s="26"/>
      <c r="HH9" s="26"/>
      <c r="HI9" s="26"/>
      <c r="HN9" s="26"/>
      <c r="HO9" s="26"/>
      <c r="HP9" s="26"/>
      <c r="HQ9" s="26"/>
      <c r="HR9" s="26"/>
      <c r="HV9" s="26"/>
      <c r="HW9" s="26"/>
      <c r="HX9" s="26"/>
      <c r="HY9" s="26"/>
      <c r="HZ9" s="26"/>
      <c r="IA9" s="26"/>
      <c r="IB9" s="26"/>
      <c r="IC9" s="26"/>
      <c r="ID9" s="26"/>
      <c r="IE9" s="26"/>
      <c r="IF9" s="26"/>
      <c r="IG9" s="26"/>
      <c r="IH9" s="26"/>
      <c r="II9" s="26"/>
      <c r="IJ9" s="26"/>
      <c r="JA9" s="26"/>
      <c r="JB9" s="26"/>
      <c r="JC9" s="26"/>
      <c r="JD9" s="26"/>
      <c r="JE9" s="26"/>
      <c r="JF9" s="26"/>
      <c r="JG9" s="26"/>
      <c r="JH9" s="26"/>
      <c r="JI9" s="26"/>
      <c r="JJ9" s="26"/>
      <c r="JK9" s="26"/>
      <c r="JL9" s="26"/>
      <c r="JS9" s="26"/>
      <c r="JW9" s="26"/>
      <c r="JX9" s="26"/>
      <c r="KB9" s="26"/>
      <c r="KC9" s="26"/>
      <c r="KD9" s="26"/>
      <c r="KE9" s="26"/>
      <c r="KN9" s="26"/>
      <c r="KO9" s="26"/>
      <c r="KX9" s="26"/>
      <c r="KY9" s="26"/>
      <c r="KZ9" s="26"/>
      <c r="LA9" s="26"/>
      <c r="LB9" s="26"/>
      <c r="LC9" s="26"/>
      <c r="LD9" s="26"/>
      <c r="LE9" s="26"/>
      <c r="LF9" s="26"/>
      <c r="LG9" s="26"/>
      <c r="LH9" s="26"/>
      <c r="LI9" s="26"/>
      <c r="LJ9" s="26"/>
      <c r="LK9" s="26"/>
      <c r="LL9" s="26"/>
      <c r="LM9" s="26"/>
      <c r="LN9" s="26"/>
      <c r="LO9" s="26"/>
      <c r="LP9" s="26"/>
      <c r="LQ9" s="26"/>
      <c r="LR9" s="26"/>
      <c r="LS9" s="26"/>
      <c r="LT9" s="26"/>
      <c r="LU9" s="26"/>
      <c r="LV9" s="26"/>
      <c r="LW9" s="26"/>
      <c r="LX9" s="26"/>
      <c r="LY9" s="26"/>
      <c r="LZ9" s="26"/>
      <c r="MA9" s="26"/>
      <c r="MB9" s="26"/>
      <c r="MC9" s="26"/>
      <c r="MD9" s="26"/>
      <c r="ME9" s="26"/>
      <c r="MF9" s="26"/>
      <c r="MG9" s="26"/>
      <c r="MH9" s="26"/>
      <c r="MI9" s="26"/>
      <c r="MJ9" s="26"/>
      <c r="MK9" s="26"/>
      <c r="ML9" s="26"/>
      <c r="MM9" s="26"/>
      <c r="MN9" s="26"/>
      <c r="MO9" s="26"/>
      <c r="MP9" s="26"/>
      <c r="MQ9" s="26"/>
      <c r="MR9" s="26"/>
      <c r="MS9" s="26"/>
      <c r="MT9" s="26"/>
      <c r="MU9" s="26"/>
      <c r="MV9" s="26"/>
      <c r="MW9" s="26"/>
      <c r="MX9" s="26"/>
      <c r="MY9" s="26"/>
      <c r="MZ9" s="26"/>
      <c r="NA9" s="26"/>
      <c r="NB9" s="26"/>
      <c r="NC9" s="26"/>
    </row>
    <row r="10" spans="1:367" s="2" customFormat="1" x14ac:dyDescent="0.3">
      <c r="A10" s="130" t="str">
        <f>IF( OR(MFG_Method="End to End Headers", Extra_length_4_Beasley_MFG?="Yes"),  "Port City Plate","$User_Notes")</f>
        <v>$User_Notes</v>
      </c>
      <c r="B10" s="70" t="str">
        <f>B7</f>
        <v>AXC</v>
      </c>
      <c r="C10" s="71" t="str">
        <f t="shared" ref="C10:BU10" si="43">C7</f>
        <v>SA516 70 (N)</v>
      </c>
      <c r="D10" s="71" t="str">
        <f t="shared" si="43"/>
        <v>Carbon</v>
      </c>
      <c r="E10" s="71" t="str">
        <f t="shared" si="43"/>
        <v>Plate</v>
      </c>
      <c r="F10" s="71" t="str">
        <f t="shared" si="43"/>
        <v>Regular</v>
      </c>
      <c r="G10" s="71" t="str">
        <f t="shared" si="43"/>
        <v>No</v>
      </c>
      <c r="H10" s="71" t="str">
        <f t="shared" si="43"/>
        <v>Standard</v>
      </c>
      <c r="I10" s="71" t="str">
        <f t="shared" ref="I10" si="44">I7</f>
        <v>Standard</v>
      </c>
      <c r="J10" s="71" t="str">
        <f t="shared" si="43"/>
        <v>Separate Headers</v>
      </c>
      <c r="K10" s="70">
        <f t="shared" si="43"/>
        <v>1.1559999999999999</v>
      </c>
      <c r="L10" s="71">
        <f t="shared" si="43"/>
        <v>0.625</v>
      </c>
      <c r="M10" s="71">
        <f t="shared" si="43"/>
        <v>16</v>
      </c>
      <c r="N10" s="71">
        <f t="shared" si="43"/>
        <v>0.06</v>
      </c>
      <c r="O10" s="91">
        <f t="shared" si="43"/>
        <v>20</v>
      </c>
      <c r="P10" s="71">
        <f t="shared" si="43"/>
        <v>4</v>
      </c>
      <c r="Q10" s="72" t="str">
        <f t="shared" si="43"/>
        <v>No</v>
      </c>
      <c r="R10" s="71" t="str">
        <f t="shared" si="43"/>
        <v>No</v>
      </c>
      <c r="S10" s="70">
        <f t="shared" si="43"/>
        <v>0.5</v>
      </c>
      <c r="T10" s="71">
        <f t="shared" si="43"/>
        <v>1</v>
      </c>
      <c r="U10" s="71">
        <f t="shared" si="43"/>
        <v>5.5846143170299722</v>
      </c>
      <c r="V10" s="71">
        <f t="shared" si="43"/>
        <v>4</v>
      </c>
      <c r="W10" s="72">
        <f t="shared" si="43"/>
        <v>0.84375</v>
      </c>
      <c r="X10" s="70">
        <f t="shared" si="43"/>
        <v>0</v>
      </c>
      <c r="Y10" s="71">
        <f t="shared" si="43"/>
        <v>6.0000000000000009</v>
      </c>
      <c r="Z10" s="71">
        <f t="shared" si="43"/>
        <v>0</v>
      </c>
      <c r="AA10" s="71">
        <f t="shared" ref="AA10" si="45">AA7</f>
        <v>0</v>
      </c>
      <c r="AB10" s="164" t="str">
        <f t="shared" si="43"/>
        <v>No</v>
      </c>
      <c r="AC10" s="165">
        <f t="shared" si="43"/>
        <v>19</v>
      </c>
      <c r="AD10" s="34">
        <f t="shared" si="43"/>
        <v>5.0000000000000009</v>
      </c>
      <c r="AE10" s="70">
        <f t="shared" si="43"/>
        <v>1.4375</v>
      </c>
      <c r="AF10" s="71">
        <f t="shared" si="43"/>
        <v>1.625</v>
      </c>
      <c r="AG10" s="72">
        <f t="shared" si="43"/>
        <v>1.5</v>
      </c>
      <c r="AH10" s="71">
        <f t="shared" si="43"/>
        <v>31.375</v>
      </c>
      <c r="AI10" s="73">
        <f t="shared" si="43"/>
        <v>31.5</v>
      </c>
      <c r="AJ10" s="122"/>
      <c r="AK10" s="122">
        <f t="shared" si="43"/>
        <v>90</v>
      </c>
      <c r="AL10" s="122">
        <f t="shared" si="43"/>
        <v>9.9999999999999995E-7</v>
      </c>
      <c r="AM10" s="71">
        <f t="shared" si="43"/>
        <v>1</v>
      </c>
      <c r="AN10" s="71">
        <f t="shared" si="43"/>
        <v>1</v>
      </c>
      <c r="AO10" s="123" t="str">
        <f t="shared" si="43"/>
        <v>U</v>
      </c>
      <c r="AP10" s="123" t="str">
        <f t="shared" si="43"/>
        <v>S</v>
      </c>
      <c r="AQ10" s="123" t="str">
        <f t="shared" si="43"/>
        <v>S</v>
      </c>
      <c r="AR10" s="123" t="str">
        <f t="shared" si="43"/>
        <v>S</v>
      </c>
      <c r="AS10" s="123" t="str">
        <f t="shared" si="43"/>
        <v>S</v>
      </c>
      <c r="AT10" s="123" t="str">
        <f t="shared" si="43"/>
        <v>U</v>
      </c>
      <c r="AU10" s="123" t="str">
        <f t="shared" si="43"/>
        <v>U</v>
      </c>
      <c r="AV10" s="123" t="str">
        <f t="shared" si="43"/>
        <v>U</v>
      </c>
      <c r="AW10" s="123" t="str">
        <f t="shared" si="43"/>
        <v>U</v>
      </c>
      <c r="AX10" s="71" t="str">
        <f>AX7</f>
        <v>S</v>
      </c>
      <c r="AY10" s="123" t="str">
        <f t="shared" ref="AY10:BA10" si="46">AY7</f>
        <v>U</v>
      </c>
      <c r="AZ10" s="123" t="str">
        <f t="shared" si="46"/>
        <v>S</v>
      </c>
      <c r="BA10" s="123" t="str">
        <f t="shared" si="46"/>
        <v>S</v>
      </c>
      <c r="BB10" s="123">
        <f t="shared" si="43"/>
        <v>1</v>
      </c>
      <c r="BC10" s="123" t="str">
        <f t="shared" si="43"/>
        <v>U</v>
      </c>
      <c r="BD10" s="123" t="str">
        <f t="shared" si="43"/>
        <v>U</v>
      </c>
      <c r="BE10" s="123" t="str">
        <f t="shared" si="43"/>
        <v>S</v>
      </c>
      <c r="BF10" s="123" t="str">
        <f t="shared" si="43"/>
        <v>S</v>
      </c>
      <c r="BG10" s="123" t="str">
        <f t="shared" si="43"/>
        <v>U</v>
      </c>
      <c r="BH10" s="123" t="str">
        <f t="shared" si="43"/>
        <v>U</v>
      </c>
      <c r="BI10" s="123" t="str">
        <f t="shared" si="43"/>
        <v>U</v>
      </c>
      <c r="BJ10" s="123" t="str">
        <f t="shared" si="43"/>
        <v>U</v>
      </c>
      <c r="BK10" s="71" t="str">
        <f t="shared" si="43"/>
        <v>S</v>
      </c>
      <c r="BL10" s="124" t="str">
        <f t="shared" si="43"/>
        <v>S</v>
      </c>
      <c r="BM10" s="71" t="str">
        <f t="shared" si="43"/>
        <v>Bar, 0.25 x 4 x 5.5</v>
      </c>
      <c r="BN10" s="71" t="str">
        <f t="shared" si="43"/>
        <v>S</v>
      </c>
      <c r="BO10" s="124" t="str">
        <f t="shared" si="43"/>
        <v>S</v>
      </c>
      <c r="BP10" s="71" t="str">
        <f t="shared" si="43"/>
        <v>Bar, 0.25 x 4 x 5.5</v>
      </c>
      <c r="BQ10" s="124" t="str">
        <f t="shared" si="43"/>
        <v>S</v>
      </c>
      <c r="BR10" s="126"/>
      <c r="BS10" s="71" t="str">
        <f t="shared" si="43"/>
        <v>S</v>
      </c>
      <c r="BT10" s="71">
        <f t="shared" si="43"/>
        <v>0.84375</v>
      </c>
      <c r="BU10" s="71">
        <f t="shared" si="43"/>
        <v>0.84375</v>
      </c>
      <c r="BV10" s="91">
        <f t="shared" ref="BV10:EL10" si="47">BV7</f>
        <v>0.59375</v>
      </c>
      <c r="BW10" s="71">
        <f t="shared" si="47"/>
        <v>6.25E-2</v>
      </c>
      <c r="BX10" s="71">
        <f t="shared" si="47"/>
        <v>6.25E-2</v>
      </c>
      <c r="BY10" s="71">
        <f t="shared" si="47"/>
        <v>45</v>
      </c>
      <c r="BZ10" s="71">
        <f t="shared" si="47"/>
        <v>45</v>
      </c>
      <c r="CA10" s="71">
        <f t="shared" si="47"/>
        <v>45</v>
      </c>
      <c r="CB10" s="71">
        <f t="shared" si="47"/>
        <v>45</v>
      </c>
      <c r="CC10" s="71">
        <f t="shared" ref="CC10" si="48">CC7</f>
        <v>0.625</v>
      </c>
      <c r="CD10" s="71">
        <f t="shared" si="47"/>
        <v>1.5</v>
      </c>
      <c r="CE10" s="71">
        <f t="shared" si="47"/>
        <v>1.2990381056766576</v>
      </c>
      <c r="CF10" s="71">
        <f t="shared" si="47"/>
        <v>9.9999999999999995E-7</v>
      </c>
      <c r="CG10" s="71">
        <f t="shared" si="47"/>
        <v>9.9999999999999995E-7</v>
      </c>
      <c r="CH10" s="71">
        <f t="shared" si="47"/>
        <v>9.9999999999999995E-7</v>
      </c>
      <c r="CI10" s="127">
        <f t="shared" si="47"/>
        <v>9.9999999999999995E-7</v>
      </c>
      <c r="CJ10" s="146" t="str">
        <f>"S"</f>
        <v>S</v>
      </c>
      <c r="CK10" s="100" t="str">
        <f t="shared" si="19"/>
        <v>S</v>
      </c>
      <c r="CL10" s="71">
        <f t="shared" si="47"/>
        <v>20</v>
      </c>
      <c r="CM10" s="71">
        <f t="shared" si="47"/>
        <v>19</v>
      </c>
      <c r="CN10" s="71">
        <f t="shared" si="47"/>
        <v>2</v>
      </c>
      <c r="CO10" s="71">
        <f t="shared" si="47"/>
        <v>2</v>
      </c>
      <c r="CP10" s="71">
        <f t="shared" si="47"/>
        <v>2</v>
      </c>
      <c r="CQ10" s="127">
        <f t="shared" si="47"/>
        <v>2</v>
      </c>
      <c r="CR10" s="71" t="str">
        <f>CR7</f>
        <v>S</v>
      </c>
      <c r="CS10" s="123">
        <f t="shared" si="47"/>
        <v>1.5</v>
      </c>
      <c r="CT10" s="91">
        <f t="shared" si="47"/>
        <v>6.0000000000000009</v>
      </c>
      <c r="CU10" s="71">
        <f t="shared" si="47"/>
        <v>5.0000000000000009</v>
      </c>
      <c r="CV10" s="71">
        <f t="shared" si="47"/>
        <v>2</v>
      </c>
      <c r="CW10" s="127">
        <f t="shared" si="47"/>
        <v>2</v>
      </c>
      <c r="CX10" s="71">
        <f t="shared" si="47"/>
        <v>28.5</v>
      </c>
      <c r="CY10" s="71">
        <f t="shared" si="47"/>
        <v>27</v>
      </c>
      <c r="CZ10" s="71" t="str">
        <f t="shared" si="47"/>
        <v>Short Row</v>
      </c>
      <c r="DA10" s="71">
        <f t="shared" si="47"/>
        <v>0.75</v>
      </c>
      <c r="DB10" s="127">
        <f t="shared" si="47"/>
        <v>27</v>
      </c>
      <c r="DC10" s="179">
        <f t="shared" si="47"/>
        <v>3.8971143170299727</v>
      </c>
      <c r="DD10" s="91">
        <f t="shared" si="47"/>
        <v>7.5000000000000018</v>
      </c>
      <c r="DE10" s="71">
        <f t="shared" si="47"/>
        <v>6.0000000000000018</v>
      </c>
      <c r="DF10" s="71">
        <f t="shared" si="47"/>
        <v>0.75</v>
      </c>
      <c r="DG10" s="71">
        <f t="shared" si="47"/>
        <v>6.0000000000000018</v>
      </c>
      <c r="DH10" s="71">
        <f t="shared" si="47"/>
        <v>1.0000000000000001E-5</v>
      </c>
      <c r="DI10" s="125"/>
      <c r="DJ10" s="128">
        <f t="shared" si="47"/>
        <v>6.2721143170299722</v>
      </c>
      <c r="DK10" s="128">
        <f t="shared" si="47"/>
        <v>0.375</v>
      </c>
      <c r="DL10" s="71">
        <f t="shared" si="47"/>
        <v>3.7499999999999999E-2</v>
      </c>
      <c r="DM10" s="127">
        <f t="shared" si="47"/>
        <v>20</v>
      </c>
      <c r="DN10" s="71">
        <f t="shared" si="47"/>
        <v>1.5</v>
      </c>
      <c r="DO10" s="71">
        <f t="shared" si="47"/>
        <v>0.15625</v>
      </c>
      <c r="DP10" s="71">
        <f>DP7</f>
        <v>0</v>
      </c>
      <c r="DQ10" s="71">
        <f>DQ7</f>
        <v>0</v>
      </c>
      <c r="DR10" s="128" t="str">
        <f t="shared" si="47"/>
        <v>S</v>
      </c>
      <c r="DS10" s="71">
        <f t="shared" si="47"/>
        <v>0</v>
      </c>
      <c r="DT10" s="71">
        <f t="shared" ca="1" si="47"/>
        <v>26.565509550648063</v>
      </c>
      <c r="DU10" s="71">
        <f t="shared" si="47"/>
        <v>25</v>
      </c>
      <c r="DV10" s="71">
        <f t="shared" si="47"/>
        <v>1E-8</v>
      </c>
      <c r="DW10" s="71">
        <f t="shared" si="47"/>
        <v>1E-8</v>
      </c>
      <c r="DX10" s="71">
        <f t="shared" si="47"/>
        <v>0.14161060078755441</v>
      </c>
      <c r="DY10" s="71" t="str">
        <f t="shared" si="47"/>
        <v>S</v>
      </c>
      <c r="DZ10" s="129" t="str">
        <f t="shared" si="47"/>
        <v>U</v>
      </c>
      <c r="EA10" s="131" t="str">
        <f t="shared" ref="EA10" si="49">EA7</f>
        <v>No</v>
      </c>
      <c r="EB10" s="131" t="str">
        <f t="shared" si="47"/>
        <v>S</v>
      </c>
      <c r="EC10" s="131" t="str">
        <f t="shared" si="47"/>
        <v>S</v>
      </c>
      <c r="ED10" s="131" t="str">
        <f t="shared" si="47"/>
        <v>S</v>
      </c>
      <c r="EE10" s="131" t="str">
        <f t="shared" si="47"/>
        <v>S</v>
      </c>
      <c r="EF10" s="131" t="str">
        <f>EF7</f>
        <v>S</v>
      </c>
      <c r="EG10" s="131" t="str">
        <f>EG7</f>
        <v>S</v>
      </c>
      <c r="EH10" s="131" t="str">
        <f t="shared" ref="EH10" si="50">EH7</f>
        <v>S</v>
      </c>
      <c r="EI10" s="131" t="str">
        <f>EI7</f>
        <v>S</v>
      </c>
      <c r="EJ10" s="142" t="str">
        <f t="shared" si="41"/>
        <v>S</v>
      </c>
      <c r="EK10" s="71">
        <f t="shared" si="47"/>
        <v>1.0000000000000001E-5</v>
      </c>
      <c r="EL10" s="71">
        <f t="shared" si="47"/>
        <v>1.0000000000000001E-5</v>
      </c>
      <c r="EM10" s="71">
        <f t="shared" ref="EM10:EN10" si="51">EM7</f>
        <v>1.0000000000000001E-5</v>
      </c>
      <c r="EN10" s="71">
        <f t="shared" si="51"/>
        <v>0.25</v>
      </c>
      <c r="EO10" s="23">
        <f>Header_Length+DP10+DQ10+EN10</f>
        <v>31.625</v>
      </c>
      <c r="EP10" s="71">
        <f t="shared" ref="EP10:FI10" si="52">EP7</f>
        <v>28.5</v>
      </c>
      <c r="EQ10" s="71">
        <f t="shared" si="52"/>
        <v>20</v>
      </c>
      <c r="ER10" s="71">
        <f t="shared" si="52"/>
        <v>1</v>
      </c>
      <c r="ES10" s="71">
        <f t="shared" si="52"/>
        <v>1</v>
      </c>
      <c r="ET10" s="71">
        <f t="shared" si="52"/>
        <v>1</v>
      </c>
      <c r="EU10" s="71" t="str">
        <f t="shared" ref="EU10:EV10" si="53">EU7</f>
        <v>U</v>
      </c>
      <c r="EV10" s="71" t="str">
        <f t="shared" si="53"/>
        <v>S</v>
      </c>
      <c r="EW10" s="48" t="str">
        <f t="shared" si="28"/>
        <v>U</v>
      </c>
      <c r="EX10" s="48" t="str">
        <f t="shared" si="29"/>
        <v>S</v>
      </c>
      <c r="EY10" s="71">
        <f t="shared" ref="EY10:FA10" si="54">EY7</f>
        <v>0</v>
      </c>
      <c r="EZ10" s="48">
        <f t="shared" si="30"/>
        <v>0</v>
      </c>
      <c r="FA10" s="71">
        <f t="shared" si="54"/>
        <v>1E-3</v>
      </c>
      <c r="FB10" s="48">
        <f t="shared" si="31"/>
        <v>1E-3</v>
      </c>
      <c r="FC10" s="71" t="str">
        <f t="shared" si="52"/>
        <v>AXC materials:SA516 70 (N)</v>
      </c>
      <c r="FD10" s="71" t="str">
        <f t="shared" si="52"/>
        <v>3</v>
      </c>
      <c r="FE10" s="71" t="str">
        <f t="shared" si="52"/>
        <v>.3</v>
      </c>
      <c r="FF10" s="71" t="str">
        <f t="shared" ref="FF10" si="55">FF7</f>
        <v>3-SEC</v>
      </c>
      <c r="FG10" s="71" t="str">
        <f t="shared" ref="FG10" si="56">FG7</f>
        <v>3-BOX-F</v>
      </c>
      <c r="FH10" s="71" t="str">
        <f t="shared" si="52"/>
        <v>HEADER BOX, FRONT</v>
      </c>
      <c r="FI10" s="71" t="str">
        <f t="shared" si="52"/>
        <v>000000</v>
      </c>
      <c r="FJ10" s="124">
        <f>FJ7</f>
        <v>0</v>
      </c>
      <c r="FK10" s="48">
        <f t="shared" ref="FK10:FM10" si="57">FK7</f>
        <v>0</v>
      </c>
      <c r="FL10" s="71">
        <f t="shared" si="57"/>
        <v>0</v>
      </c>
      <c r="FM10" s="71">
        <f t="shared" si="57"/>
        <v>0</v>
      </c>
      <c r="FT10" s="71" t="str">
        <f>FT7</f>
        <v>3-HDR-F</v>
      </c>
      <c r="GQ10" s="32"/>
      <c r="GR10" s="32"/>
      <c r="GY10" s="26"/>
      <c r="GZ10" s="26"/>
      <c r="HB10" s="26"/>
      <c r="HC10" s="26"/>
      <c r="HD10" s="26"/>
      <c r="HE10" s="26"/>
      <c r="HG10" s="26"/>
      <c r="HH10" s="26"/>
      <c r="HI10" s="26"/>
      <c r="HN10" s="26"/>
      <c r="HO10" s="26"/>
      <c r="HP10" s="26"/>
      <c r="HQ10" s="26"/>
      <c r="HR10" s="26"/>
      <c r="HV10" s="26"/>
      <c r="HW10" s="26"/>
      <c r="HX10" s="26"/>
      <c r="HY10" s="26"/>
      <c r="HZ10" s="26"/>
      <c r="IA10" s="26"/>
      <c r="IB10" s="26"/>
      <c r="IC10" s="26"/>
      <c r="ID10" s="26"/>
      <c r="IE10" s="26"/>
      <c r="IF10" s="26"/>
      <c r="IG10" s="26"/>
      <c r="IH10" s="26"/>
      <c r="II10" s="26"/>
      <c r="IJ10" s="26"/>
      <c r="JA10" s="26"/>
      <c r="JB10" s="26"/>
      <c r="JC10" s="26"/>
      <c r="JD10" s="26"/>
      <c r="JE10" s="26"/>
      <c r="JF10" s="26"/>
      <c r="JG10" s="26"/>
      <c r="JH10" s="26"/>
      <c r="JI10" s="26"/>
      <c r="JJ10" s="26"/>
      <c r="JK10" s="26"/>
      <c r="JL10" s="26"/>
      <c r="JS10" s="26"/>
      <c r="JW10" s="26"/>
      <c r="JX10" s="26"/>
      <c r="KB10" s="26"/>
      <c r="KC10" s="26"/>
      <c r="KD10" s="26"/>
      <c r="KE10" s="26"/>
      <c r="KN10" s="26"/>
      <c r="KO10" s="26"/>
      <c r="KX10" s="26"/>
      <c r="KY10" s="26"/>
      <c r="KZ10" s="26"/>
      <c r="LA10" s="26"/>
      <c r="LB10" s="26"/>
      <c r="LC10" s="26"/>
      <c r="LD10" s="26"/>
      <c r="LE10" s="26"/>
      <c r="LF10" s="26"/>
      <c r="LG10" s="26"/>
      <c r="LH10" s="26"/>
      <c r="LI10" s="26"/>
      <c r="LJ10" s="26"/>
      <c r="LK10" s="26"/>
      <c r="LL10" s="26"/>
      <c r="LM10" s="26"/>
      <c r="LN10" s="26"/>
      <c r="LO10" s="26"/>
      <c r="LP10" s="26"/>
      <c r="LQ10" s="26"/>
      <c r="LR10" s="26"/>
      <c r="LS10" s="26"/>
      <c r="LT10" s="26"/>
      <c r="LU10" s="26"/>
      <c r="LV10" s="26"/>
      <c r="LW10" s="26"/>
      <c r="LX10" s="26"/>
      <c r="LY10" s="26"/>
      <c r="LZ10" s="26"/>
      <c r="MA10" s="26"/>
      <c r="MB10" s="26"/>
      <c r="MC10" s="26"/>
      <c r="MD10" s="26"/>
      <c r="ME10" s="26"/>
      <c r="MF10" s="26"/>
      <c r="MG10" s="26"/>
      <c r="MH10" s="26"/>
      <c r="MI10" s="26"/>
      <c r="MJ10" s="26"/>
      <c r="MK10" s="26"/>
      <c r="ML10" s="26"/>
      <c r="MM10" s="26"/>
      <c r="MN10" s="26"/>
      <c r="MO10" s="26"/>
      <c r="MP10" s="26"/>
      <c r="MQ10" s="26"/>
      <c r="MR10" s="26"/>
      <c r="MS10" s="26"/>
      <c r="MT10" s="26"/>
      <c r="MU10" s="26"/>
      <c r="MV10" s="26"/>
      <c r="MW10" s="26"/>
      <c r="MX10" s="26"/>
      <c r="MY10" s="26"/>
      <c r="MZ10" s="26"/>
      <c r="NA10" s="26"/>
      <c r="NB10" s="26"/>
      <c r="NC10" s="26"/>
    </row>
    <row r="11" spans="1:367" ht="30" x14ac:dyDescent="0.4">
      <c r="A11" s="1" t="s">
        <v>0</v>
      </c>
      <c r="B11" s="116" t="s">
        <v>326</v>
      </c>
      <c r="F11" s="206" t="str">
        <f>IF(AND(Bevel_Type="Jbevel",Header_Length&gt;=149),"Port City MFG limit is 12'-5'' [149''] Must change Bevel Type or shorten header", "")</f>
        <v/>
      </c>
      <c r="G11" s="206"/>
      <c r="H11" s="206"/>
      <c r="J11" s="119" t="s">
        <v>135</v>
      </c>
      <c r="K11" s="108">
        <f>BW6</f>
        <v>6.25E-2</v>
      </c>
      <c r="L11" s="203" t="str">
        <f>IF(Tube_Connection_Type="strength weld","←Ref chamfer size from Drilled Hole","")</f>
        <v/>
      </c>
      <c r="M11" s="204"/>
      <c r="N11" s="204"/>
      <c r="O11" s="204"/>
      <c r="P11" s="204"/>
      <c r="Q11" s="204"/>
      <c r="R11" s="205" t="str">
        <f ca="1">IF(TP_Land&lt;0.25,"T&amp;P Land→"&amp;CHAR(10)&amp;"(Below 0.25Min)","T&amp;P Land→"&amp;CHAR(10)&amp;"(0.25min)")</f>
        <v>T&amp;P Land→
(0.25min)</v>
      </c>
      <c r="S11" s="205"/>
      <c r="T11" s="14">
        <f ca="1">T_and_P_Thk - JBevel_Land - (Wrapper_Thk*TAN(RADIANS(Bevel_Angle)))</f>
        <v>0.74999498989999802</v>
      </c>
      <c r="U11" s="119" t="s">
        <v>135</v>
      </c>
      <c r="V11" s="31"/>
      <c r="AA11" s="14">
        <f>Fan_Shaft_Angle_ShortLeg / Pitch</f>
        <v>0</v>
      </c>
      <c r="AC11" s="157">
        <v>0</v>
      </c>
      <c r="AD11" s="158">
        <v>0</v>
      </c>
      <c r="AE11" s="120" t="s">
        <v>135</v>
      </c>
      <c r="AF11" s="120" t="s">
        <v>135</v>
      </c>
      <c r="AG11" s="120" t="s">
        <v>135</v>
      </c>
      <c r="AT11" s="138" t="s">
        <v>400</v>
      </c>
      <c r="AV11" s="138" t="s">
        <v>400</v>
      </c>
      <c r="AY11" s="138" t="s">
        <v>400</v>
      </c>
      <c r="AZ11" s="138" t="s">
        <v>401</v>
      </c>
      <c r="BA11" s="138"/>
      <c r="BW11"/>
      <c r="BX11"/>
      <c r="BY11">
        <f>IF(AND(ProductLine="Hammco",Tube_Connection_Type="standard"),89.9,45)</f>
        <v>45</v>
      </c>
      <c r="BZ11"/>
      <c r="CA11"/>
      <c r="CB11"/>
      <c r="CC11"/>
      <c r="CD11" s="3"/>
      <c r="CL11" s="23">
        <f>IF(SS_1&gt;0,   QTY_in_Long_Row - QTY_in_Long_Row_SS,   QTY_in_Long_Row)</f>
        <v>20</v>
      </c>
      <c r="CM11" s="23">
        <f>IF(Half_Tube_Face="No",   QTY_in_Long_Row_Pattern-1,   QTY_in_Long_Row_Pattern)</f>
        <v>19</v>
      </c>
      <c r="CR11" s="26"/>
      <c r="CS11" s="26"/>
      <c r="CT11" s="23">
        <f>QTY_in_Long_Row_SS+Additional_Tubes_SS</f>
        <v>6.0000000000000009</v>
      </c>
      <c r="CU11" s="23">
        <f>IF(Half_Tube_Face_SS="No",   QTY_in_Long_Row_SS_Pattern-1,   QTY_in_Long_Row_SS_Pattern)</f>
        <v>5.0000000000000009</v>
      </c>
      <c r="CX11" s="23">
        <f>Pitch*(QTY_in_Long_Row_Pattern-1)</f>
        <v>28.5</v>
      </c>
      <c r="CY11" s="23">
        <f>Pitch*(QTY_in_Short_Row_Pattern-1)</f>
        <v>27</v>
      </c>
      <c r="DB11" s="24">
        <f>Pitch*(SSS_After_Tube-1)</f>
        <v>27</v>
      </c>
      <c r="DC11" s="177">
        <f>IF(Vertical_Pitch*(Total_No_of_Rows-1)=0,Vertical_Pitch*(Total_No_of_Rows-1)+0.000001,Vertical_Pitch*(Total_No_of_Rows-1))</f>
        <v>3.8971143170299727</v>
      </c>
      <c r="DD11" s="47">
        <f>Pitch*(QTY_in_Long_Row_SS_Pattern-1)</f>
        <v>7.5000000000000018</v>
      </c>
      <c r="DE11" s="23">
        <f>Pitch*(QTY_in_Short_Row_SS_Pattern-1)</f>
        <v>6.0000000000000018</v>
      </c>
      <c r="DG11" s="23">
        <f>Pitch*(SSS_After_Tube_SS-1)</f>
        <v>6.0000000000000018</v>
      </c>
      <c r="DH11" s="23">
        <f>IF(SS_1&gt;0,   Pitch*(QTY_in_Long_Row_SS_Pattern-Additional_Tubes_SS-1),   0.00001)</f>
        <v>1.0000000000000001E-5</v>
      </c>
      <c r="DO11" s="139" t="s">
        <v>400</v>
      </c>
      <c r="DP11" s="139" t="s">
        <v>400</v>
      </c>
      <c r="DW11" s="139" t="s">
        <v>400</v>
      </c>
      <c r="DY11" s="139" t="s">
        <v>400</v>
      </c>
      <c r="EA11" s="139" t="s">
        <v>400</v>
      </c>
      <c r="EL11" s="7"/>
      <c r="EM11" s="7"/>
      <c r="FI11" s="2"/>
      <c r="FJ11" t="s">
        <v>400</v>
      </c>
      <c r="FK11" t="s">
        <v>400</v>
      </c>
    </row>
    <row r="12" spans="1:367" s="3" customFormat="1" ht="33.75" customHeight="1" x14ac:dyDescent="0.35">
      <c r="A12" s="41" t="str">
        <f>IF(CN6&lt;1,"Delete 1 LONG row","")</f>
        <v/>
      </c>
      <c r="B12" s="116" t="s">
        <v>326</v>
      </c>
      <c r="C12" s="56"/>
      <c r="D12"/>
      <c r="F12" s="207"/>
      <c r="G12" s="207"/>
      <c r="H12" s="207"/>
      <c r="J12" s="172" t="s">
        <v>361</v>
      </c>
      <c r="K12" s="109">
        <f>(Tube_Hole_Chamfer_OD-VLOOKUP(Tube_Size,Hole_Table,9,FALSE))/2</f>
        <v>0.26199999999999996</v>
      </c>
      <c r="L12" s="202" t="str">
        <f>IF(Tube_Connection_Type="strength weld","←Ref chamfer size from Reamed Hole","")</f>
        <v/>
      </c>
      <c r="M12" s="202"/>
      <c r="N12" s="202"/>
      <c r="O12" s="202"/>
      <c r="P12" s="202"/>
      <c r="Q12" s="202"/>
      <c r="R12" s="205" t="str">
        <f ca="1">IF(TP_Land_Rear&lt;0.25,"T&amp;P Land rear→"&amp;CHAR(10)&amp;"(Below 0.25Min)","T&amp;P Land Rear→"&amp;CHAR(10)&amp;"(0.25Min)")</f>
        <v>T&amp;P Land Rear→
(0.25Min)</v>
      </c>
      <c r="S12" s="205"/>
      <c r="T12" s="14">
        <f ca="1">T_and_P_Thk_Rear - JBevel_Land - (Wrapper_Thk*TAN(RADIANS(Bevel_Angle)))</f>
        <v>0.74999498989999802</v>
      </c>
      <c r="U12" s="208" t="s">
        <v>362</v>
      </c>
      <c r="V12" s="200"/>
      <c r="W12" s="201"/>
      <c r="Z12" s="56"/>
      <c r="AA12" s="56"/>
      <c r="AC12" s="219" t="s">
        <v>439</v>
      </c>
      <c r="AD12" s="220"/>
      <c r="AE12" s="200" t="s">
        <v>136</v>
      </c>
      <c r="AF12" s="200"/>
      <c r="AG12" s="201"/>
      <c r="AH12"/>
      <c r="AM12" s="56"/>
      <c r="AN12" s="56"/>
      <c r="BS12" s="56"/>
      <c r="BT12" s="56"/>
      <c r="BU12" s="56"/>
      <c r="CD12" s="29"/>
      <c r="CP12" s="6"/>
      <c r="CQ12" s="6"/>
      <c r="CV12" s="6"/>
      <c r="CW12" s="6"/>
      <c r="CX12" s="56">
        <f>IF(SS_1&gt;0,Pitch*(QTY_in_Long_Row_Pattern-Additional_Tubes_SS-1),Pitch*(QTY_in_Long_Row_Pattern-1))</f>
        <v>28.5</v>
      </c>
      <c r="CY12" s="56">
        <f>IF(SS_1&gt;0,Pitch*(QTY_in_Short_Row_Pattern-Additional_Tubes_SS - IF(Bottom_Row_Type="Short Row",0,1)),Pitch*(QTY_in_Short_Row_Pattern-1))</f>
        <v>27</v>
      </c>
      <c r="DB12" s="56">
        <f>IF(Bottom_Row_Type="Long Row",Length_of_Long_Row,Length_of_Short_Row)</f>
        <v>27</v>
      </c>
      <c r="DE12"/>
      <c r="DF12"/>
      <c r="DG12">
        <f>IF(Bottom_Row_Type="Long Row",Length_of_Long_Row_SS,Length_of_Short_Row_SS)</f>
        <v>6.0000000000000018</v>
      </c>
      <c r="DH12"/>
      <c r="DI12" s="74"/>
      <c r="DK12" s="56"/>
      <c r="DO12" s="2"/>
      <c r="DR12" s="56"/>
      <c r="DT12" s="56"/>
      <c r="DU12" s="56"/>
      <c r="DV12" s="56"/>
      <c r="DW12" s="56"/>
      <c r="DX12" s="56"/>
      <c r="DY12" s="56"/>
      <c r="DZ12" s="56"/>
      <c r="EA12" s="56"/>
      <c r="EP12" s="56"/>
      <c r="EQ12" s="56"/>
      <c r="ER12" s="56"/>
      <c r="ES12" s="56"/>
      <c r="ET12" s="56"/>
      <c r="EU12" s="6" t="s">
        <v>375</v>
      </c>
      <c r="EV12" s="6" t="s">
        <v>376</v>
      </c>
      <c r="EW12" s="6" t="s">
        <v>377</v>
      </c>
      <c r="EX12" s="6" t="s">
        <v>378</v>
      </c>
      <c r="FJ12" s="56"/>
      <c r="FM12"/>
    </row>
    <row r="13" spans="1:367" ht="51.75" customHeight="1" x14ac:dyDescent="0.35">
      <c r="A13" s="41" t="str">
        <f>IF(CO6&lt;1,"Delete 1 SHORT row","")</f>
        <v/>
      </c>
      <c r="B13" s="76"/>
      <c r="J13" s="155" t="str">
        <f>IF(MFG_Method="End to End Headers","Ensure all pass plates from Front &amp; Rear are in ''Port City Plate'' config!","")</f>
        <v/>
      </c>
      <c r="K13" s="109" t="str">
        <f>IF(ProductLine="hammco",K11+((PreDrill_Hole_Dia-Tube_Dia)/2),"")</f>
        <v/>
      </c>
      <c r="L13" s="210" t="str">
        <f>IF(AND(Tube_Connection_Type="strength weld",ProductLine="Hammco"),"←AG - Chamfer dim from Tube OD","")</f>
        <v/>
      </c>
      <c r="M13" s="210"/>
      <c r="N13" s="210"/>
      <c r="O13" s="210"/>
      <c r="P13" s="210"/>
      <c r="Q13" s="210"/>
      <c r="U13" s="30">
        <f>Top_Drill-Wrapper_Thk+(Vertical_Pitch*(Total_No_of_Rows-1))+(Tube_Dia/2)+0.25</f>
        <v>5.5846143170299722</v>
      </c>
      <c r="AB13" s="208" t="s">
        <v>440</v>
      </c>
      <c r="AC13" s="200"/>
      <c r="AD13" s="209"/>
      <c r="AE13" s="29">
        <f>IF(End_Plate_Thk&gt;=1,End_Plate_Thk-1+(VLOOKUP(Tube_Size,Hole_Table,6,FALSE)),VLOOKUP(Tube_Size,Hole_Table,6,FALSE))</f>
        <v>1.4375</v>
      </c>
      <c r="AF13" s="29">
        <f>IF(Wrapper_Thk&gt;=1,Wrapper_Thk-1+(VLOOKUP(Tube_Size,Hole_Table,7,FALSE)),VLOOKUP(Tube_Size,Hole_Table,7,FALSE))</f>
        <v>1.625</v>
      </c>
      <c r="AG13" s="29">
        <f>VLOOKUP(Tube_Dia,Hole_Table,4,FALSE)</f>
        <v>1.5</v>
      </c>
      <c r="BW13"/>
      <c r="BX13"/>
      <c r="BY13"/>
      <c r="BZ13"/>
      <c r="CA13"/>
      <c r="CB13"/>
      <c r="CC13"/>
      <c r="CL13" s="21"/>
      <c r="CM13" s="6"/>
      <c r="CT13" s="21"/>
      <c r="CU13" s="6"/>
      <c r="FF13" s="2"/>
      <c r="FG13" s="2"/>
      <c r="FH13" s="2"/>
      <c r="FI13" s="2"/>
      <c r="FT13" s="2"/>
    </row>
    <row r="14" spans="1:367" ht="210" x14ac:dyDescent="0.3">
      <c r="D14" t="str">
        <f>VLOOKUP(C6,Material_Table,2,FALSE)</f>
        <v>Carbon</v>
      </c>
      <c r="J14" s="118" t="str">
        <f>IF( AND( LEFT(Header_Type,5)="Plate", Bevel_Type="Jbevel", Header_Length&lt;72),   "End to End Headers",   "Separate Headers")</f>
        <v>Separate Headers</v>
      </c>
      <c r="U14" s="117">
        <f>CEILING(U13,0.0625)</f>
        <v>5.625</v>
      </c>
      <c r="Y14" s="27"/>
      <c r="BK14" s="6" t="s">
        <v>222</v>
      </c>
      <c r="BL14" s="6" t="s">
        <v>231</v>
      </c>
      <c r="BM14" s="6" t="s">
        <v>217</v>
      </c>
      <c r="BN14" s="6" t="s">
        <v>223</v>
      </c>
      <c r="BO14" s="6" t="s">
        <v>232</v>
      </c>
      <c r="BP14" s="6" t="s">
        <v>221</v>
      </c>
      <c r="BQ14" s="6" t="s">
        <v>298</v>
      </c>
      <c r="BW14"/>
      <c r="BX14"/>
      <c r="BY14"/>
      <c r="BZ14"/>
      <c r="CA14"/>
      <c r="CB14"/>
      <c r="CC14"/>
      <c r="DJ14" s="3" t="s">
        <v>75</v>
      </c>
      <c r="DS14" s="56" t="s">
        <v>278</v>
      </c>
      <c r="FF14" s="2"/>
      <c r="FG14" s="2"/>
      <c r="FH14" s="2"/>
      <c r="FI14" s="2"/>
      <c r="FL14" s="40"/>
      <c r="FM14" s="40"/>
      <c r="FT14" s="2"/>
    </row>
    <row r="15" spans="1:367" x14ac:dyDescent="0.3">
      <c r="A15"/>
      <c r="B15"/>
      <c r="X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R15"/>
      <c r="BW15"/>
      <c r="BX15"/>
      <c r="BY15"/>
      <c r="BZ15"/>
      <c r="CA15"/>
      <c r="CB15"/>
      <c r="CC15"/>
      <c r="CF15"/>
      <c r="CR15"/>
      <c r="CS15"/>
      <c r="DI15"/>
      <c r="GY15"/>
      <c r="GZ15"/>
      <c r="HB15"/>
      <c r="HC15"/>
      <c r="HD15"/>
      <c r="HE15"/>
      <c r="HG15"/>
      <c r="HH15"/>
      <c r="HI15"/>
      <c r="HN15"/>
      <c r="HO15"/>
      <c r="HP15"/>
      <c r="HQ15"/>
      <c r="HR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JA15"/>
      <c r="JB15"/>
      <c r="JC15"/>
      <c r="JD15"/>
      <c r="JE15"/>
      <c r="JF15"/>
      <c r="JG15"/>
      <c r="JH15"/>
      <c r="JI15"/>
      <c r="JJ15"/>
      <c r="JK15"/>
      <c r="JL15"/>
      <c r="JS15"/>
      <c r="JW15"/>
      <c r="JX15"/>
      <c r="KB15"/>
      <c r="KC15"/>
      <c r="KD15"/>
      <c r="KE15"/>
      <c r="KN15"/>
      <c r="KO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</row>
    <row r="16" spans="1:367" x14ac:dyDescent="0.3">
      <c r="A16"/>
      <c r="B16"/>
      <c r="X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R16"/>
      <c r="BW16"/>
      <c r="BX16"/>
      <c r="BY16"/>
      <c r="BZ16"/>
      <c r="CA16"/>
      <c r="CB16"/>
      <c r="CC16"/>
      <c r="CF16"/>
      <c r="CR16"/>
      <c r="CS16"/>
      <c r="DI16"/>
      <c r="GY16"/>
      <c r="GZ16"/>
      <c r="HB16"/>
      <c r="HC16"/>
      <c r="HD16"/>
      <c r="HE16"/>
      <c r="HG16"/>
      <c r="HH16"/>
      <c r="HI16"/>
      <c r="HN16"/>
      <c r="HO16"/>
      <c r="HP16"/>
      <c r="HQ16"/>
      <c r="HR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JA16"/>
      <c r="JB16"/>
      <c r="JC16"/>
      <c r="JD16"/>
      <c r="JE16"/>
      <c r="JF16"/>
      <c r="JG16"/>
      <c r="JH16"/>
      <c r="JI16"/>
      <c r="JJ16"/>
      <c r="JK16"/>
      <c r="JL16"/>
      <c r="JS16"/>
      <c r="JW16"/>
      <c r="JX16"/>
      <c r="KB16"/>
      <c r="KC16"/>
      <c r="KD16"/>
      <c r="KE16"/>
      <c r="KN16"/>
      <c r="KO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</row>
    <row r="17" spans="1:367" x14ac:dyDescent="0.3">
      <c r="A17" t="s">
        <v>430</v>
      </c>
      <c r="B17" t="s">
        <v>431</v>
      </c>
      <c r="X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R17"/>
      <c r="BW17"/>
      <c r="BX17"/>
      <c r="BY17"/>
      <c r="BZ17"/>
      <c r="CA17"/>
      <c r="CB17"/>
      <c r="CC17"/>
      <c r="CF17"/>
      <c r="CR17"/>
      <c r="CS17"/>
      <c r="DI17"/>
      <c r="GY17"/>
      <c r="GZ17"/>
      <c r="HB17"/>
      <c r="HC17"/>
      <c r="HD17"/>
      <c r="HE17"/>
      <c r="HG17"/>
      <c r="HH17"/>
      <c r="HI17"/>
      <c r="HN17"/>
      <c r="HO17"/>
      <c r="HP17"/>
      <c r="HQ17"/>
      <c r="HR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JA17"/>
      <c r="JB17"/>
      <c r="JC17"/>
      <c r="JD17"/>
      <c r="JE17"/>
      <c r="JF17"/>
      <c r="JG17"/>
      <c r="JH17"/>
      <c r="JI17"/>
      <c r="JJ17"/>
      <c r="JK17"/>
      <c r="JL17"/>
      <c r="JS17"/>
      <c r="JW17"/>
      <c r="JX17"/>
      <c r="KB17"/>
      <c r="KC17"/>
      <c r="KD17"/>
      <c r="KE17"/>
      <c r="KN17"/>
      <c r="KO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</row>
    <row r="18" spans="1:367" x14ac:dyDescent="0.3">
      <c r="A18"/>
      <c r="B18"/>
      <c r="X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R18"/>
      <c r="BW18"/>
      <c r="BX18"/>
      <c r="BY18"/>
      <c r="BZ18"/>
      <c r="CA18"/>
      <c r="CB18"/>
      <c r="CC18"/>
      <c r="CF18"/>
      <c r="CR18"/>
      <c r="CS18"/>
      <c r="DI18"/>
      <c r="GY18"/>
      <c r="GZ18"/>
      <c r="HB18"/>
      <c r="HC18"/>
      <c r="HD18"/>
      <c r="HE18"/>
      <c r="HG18"/>
      <c r="HH18"/>
      <c r="HI18"/>
      <c r="HN18"/>
      <c r="HO18"/>
      <c r="HP18"/>
      <c r="HQ18"/>
      <c r="HR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JA18"/>
      <c r="JB18"/>
      <c r="JC18"/>
      <c r="JD18"/>
      <c r="JE18"/>
      <c r="JF18"/>
      <c r="JG18"/>
      <c r="JH18"/>
      <c r="JI18"/>
      <c r="JJ18"/>
      <c r="JK18"/>
      <c r="JL18"/>
      <c r="JS18"/>
      <c r="JW18"/>
      <c r="JX18"/>
      <c r="KB18"/>
      <c r="KC18"/>
      <c r="KD18"/>
      <c r="KE18"/>
      <c r="KN18"/>
      <c r="KO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</row>
    <row r="19" spans="1:367" x14ac:dyDescent="0.3">
      <c r="A19"/>
      <c r="B19"/>
      <c r="X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R19"/>
      <c r="BW19"/>
      <c r="BX19"/>
      <c r="BY19"/>
      <c r="BZ19"/>
      <c r="CA19"/>
      <c r="CB19"/>
      <c r="CC19"/>
      <c r="CF19"/>
      <c r="CR19"/>
      <c r="CS19"/>
      <c r="DI19"/>
      <c r="GY19"/>
      <c r="GZ19"/>
      <c r="HB19"/>
      <c r="HC19"/>
      <c r="HD19"/>
      <c r="HE19"/>
      <c r="HG19"/>
      <c r="HH19"/>
      <c r="HI19"/>
      <c r="HN19"/>
      <c r="HO19"/>
      <c r="HP19"/>
      <c r="HQ19"/>
      <c r="HR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JA19"/>
      <c r="JB19"/>
      <c r="JC19"/>
      <c r="JD19"/>
      <c r="JE19"/>
      <c r="JF19"/>
      <c r="JG19"/>
      <c r="JH19"/>
      <c r="JI19"/>
      <c r="JJ19"/>
      <c r="JK19"/>
      <c r="JL19"/>
      <c r="JS19"/>
      <c r="JW19"/>
      <c r="JX19"/>
      <c r="KB19"/>
      <c r="KC19"/>
      <c r="KD19"/>
      <c r="KE19"/>
      <c r="KN19"/>
      <c r="KO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</row>
    <row r="20" spans="1:367" x14ac:dyDescent="0.3">
      <c r="A20"/>
      <c r="B20"/>
      <c r="X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R20"/>
      <c r="BW20"/>
      <c r="BX20"/>
      <c r="BY20"/>
      <c r="BZ20"/>
      <c r="CA20"/>
      <c r="CB20"/>
      <c r="CC20"/>
      <c r="CF20"/>
      <c r="CR20"/>
      <c r="CS20"/>
      <c r="DI20"/>
      <c r="GY20"/>
      <c r="GZ20"/>
      <c r="HB20"/>
      <c r="HC20"/>
      <c r="HD20"/>
      <c r="HE20"/>
      <c r="HG20"/>
      <c r="HH20"/>
      <c r="HI20"/>
      <c r="HN20"/>
      <c r="HO20"/>
      <c r="HP20"/>
      <c r="HQ20"/>
      <c r="HR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JA20"/>
      <c r="JB20"/>
      <c r="JC20"/>
      <c r="JD20"/>
      <c r="JE20"/>
      <c r="JF20"/>
      <c r="JG20"/>
      <c r="JH20"/>
      <c r="JI20"/>
      <c r="JJ20"/>
      <c r="JK20"/>
      <c r="JL20"/>
      <c r="JS20"/>
      <c r="JW20"/>
      <c r="JX20"/>
      <c r="KB20"/>
      <c r="KC20"/>
      <c r="KD20"/>
      <c r="KE20"/>
      <c r="KN20"/>
      <c r="KO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</row>
    <row r="21" spans="1:367" x14ac:dyDescent="0.3">
      <c r="A21"/>
      <c r="B21"/>
      <c r="X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R21"/>
      <c r="BW21"/>
      <c r="BX21"/>
      <c r="BY21"/>
      <c r="BZ21"/>
      <c r="CA21"/>
      <c r="CB21"/>
      <c r="CC21"/>
      <c r="CF21"/>
      <c r="CR21"/>
      <c r="CS21"/>
      <c r="DI21"/>
      <c r="GY21"/>
      <c r="GZ21"/>
      <c r="HB21"/>
      <c r="HC21"/>
      <c r="HD21"/>
      <c r="HE21"/>
      <c r="HG21"/>
      <c r="HH21"/>
      <c r="HI21"/>
      <c r="HN21"/>
      <c r="HO21"/>
      <c r="HP21"/>
      <c r="HQ21"/>
      <c r="HR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JA21"/>
      <c r="JB21"/>
      <c r="JC21"/>
      <c r="JD21"/>
      <c r="JE21"/>
      <c r="JF21"/>
      <c r="JG21"/>
      <c r="JH21"/>
      <c r="JI21"/>
      <c r="JJ21"/>
      <c r="JK21"/>
      <c r="JL21"/>
      <c r="JS21"/>
      <c r="JW21"/>
      <c r="JX21"/>
      <c r="KB21"/>
      <c r="KC21"/>
      <c r="KD21"/>
      <c r="KE21"/>
      <c r="KN21"/>
      <c r="KO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</row>
    <row r="22" spans="1:367" x14ac:dyDescent="0.3">
      <c r="A22"/>
      <c r="B22"/>
      <c r="X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R22"/>
      <c r="BW22"/>
      <c r="BX22"/>
      <c r="BY22"/>
      <c r="BZ22"/>
      <c r="CA22"/>
      <c r="CB22"/>
      <c r="CC22"/>
      <c r="CF22"/>
      <c r="CR22"/>
      <c r="CS22"/>
      <c r="DI22"/>
      <c r="GY22"/>
      <c r="GZ22"/>
      <c r="HB22"/>
      <c r="HC22"/>
      <c r="HD22"/>
      <c r="HE22"/>
      <c r="HG22"/>
      <c r="HH22"/>
      <c r="HI22"/>
      <c r="HN22"/>
      <c r="HO22"/>
      <c r="HP22"/>
      <c r="HQ22"/>
      <c r="HR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JA22"/>
      <c r="JB22"/>
      <c r="JC22"/>
      <c r="JD22"/>
      <c r="JE22"/>
      <c r="JF22"/>
      <c r="JG22"/>
      <c r="JH22"/>
      <c r="JI22"/>
      <c r="JJ22"/>
      <c r="JK22"/>
      <c r="JL22"/>
      <c r="JS22"/>
      <c r="JW22"/>
      <c r="JX22"/>
      <c r="KB22"/>
      <c r="KC22"/>
      <c r="KD22"/>
      <c r="KE22"/>
      <c r="KN22"/>
      <c r="KO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</row>
    <row r="23" spans="1:367" x14ac:dyDescent="0.3">
      <c r="A23"/>
      <c r="B23"/>
      <c r="X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R23"/>
      <c r="BW23"/>
      <c r="BX23"/>
      <c r="BY23"/>
      <c r="BZ23"/>
      <c r="CA23"/>
      <c r="CB23"/>
      <c r="CC23"/>
      <c r="CF23"/>
      <c r="CR23"/>
      <c r="CS23"/>
      <c r="DI23"/>
      <c r="GY23"/>
      <c r="GZ23"/>
      <c r="HB23"/>
      <c r="HC23"/>
      <c r="HD23"/>
      <c r="HE23"/>
      <c r="HG23"/>
      <c r="HH23"/>
      <c r="HI23"/>
      <c r="HN23"/>
      <c r="HO23"/>
      <c r="HP23"/>
      <c r="HQ23"/>
      <c r="HR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JA23"/>
      <c r="JB23"/>
      <c r="JC23"/>
      <c r="JD23"/>
      <c r="JE23"/>
      <c r="JF23"/>
      <c r="JG23"/>
      <c r="JH23"/>
      <c r="JI23"/>
      <c r="JJ23"/>
      <c r="JK23"/>
      <c r="JL23"/>
      <c r="JS23"/>
      <c r="JW23"/>
      <c r="JX23"/>
      <c r="KB23"/>
      <c r="KC23"/>
      <c r="KD23"/>
      <c r="KE23"/>
      <c r="KN23"/>
      <c r="KO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</row>
    <row r="24" spans="1:367" x14ac:dyDescent="0.3">
      <c r="A24"/>
      <c r="B24"/>
      <c r="X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R24"/>
      <c r="BW24"/>
      <c r="BX24"/>
      <c r="BY24"/>
      <c r="BZ24"/>
      <c r="CA24"/>
      <c r="CB24"/>
      <c r="CC24"/>
      <c r="CF24"/>
      <c r="CR24"/>
      <c r="CS24"/>
      <c r="DI24"/>
      <c r="GY24"/>
      <c r="GZ24"/>
      <c r="HB24"/>
      <c r="HC24"/>
      <c r="HD24"/>
      <c r="HE24"/>
      <c r="HG24"/>
      <c r="HH24"/>
      <c r="HI24"/>
      <c r="HN24"/>
      <c r="HO24"/>
      <c r="HP24"/>
      <c r="HQ24"/>
      <c r="HR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JA24"/>
      <c r="JB24"/>
      <c r="JC24"/>
      <c r="JD24"/>
      <c r="JE24"/>
      <c r="JF24"/>
      <c r="JG24"/>
      <c r="JH24"/>
      <c r="JI24"/>
      <c r="JJ24"/>
      <c r="JK24"/>
      <c r="JL24"/>
      <c r="JS24"/>
      <c r="JW24"/>
      <c r="JX24"/>
      <c r="KB24"/>
      <c r="KC24"/>
      <c r="KD24"/>
      <c r="KE24"/>
      <c r="KN24"/>
      <c r="KO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</row>
    <row r="25" spans="1:367" x14ac:dyDescent="0.3">
      <c r="A25"/>
      <c r="B25"/>
      <c r="X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R25"/>
      <c r="BW25"/>
      <c r="BX25"/>
      <c r="BY25"/>
      <c r="BZ25"/>
      <c r="CA25"/>
      <c r="CB25"/>
      <c r="CC25"/>
      <c r="CF25"/>
      <c r="CR25"/>
      <c r="CS25"/>
      <c r="DI25"/>
      <c r="GY25"/>
      <c r="GZ25"/>
      <c r="HB25"/>
      <c r="HC25"/>
      <c r="HD25"/>
      <c r="HE25"/>
      <c r="HG25"/>
      <c r="HH25"/>
      <c r="HI25"/>
      <c r="HN25"/>
      <c r="HO25"/>
      <c r="HP25"/>
      <c r="HQ25"/>
      <c r="HR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JA25"/>
      <c r="JB25"/>
      <c r="JC25"/>
      <c r="JD25"/>
      <c r="JE25"/>
      <c r="JF25"/>
      <c r="JG25"/>
      <c r="JH25"/>
      <c r="JI25"/>
      <c r="JJ25"/>
      <c r="JK25"/>
      <c r="JL25"/>
      <c r="JS25"/>
      <c r="JW25"/>
      <c r="JX25"/>
      <c r="KB25"/>
      <c r="KC25"/>
      <c r="KD25"/>
      <c r="KE25"/>
      <c r="KN25"/>
      <c r="KO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</row>
    <row r="26" spans="1:367" x14ac:dyDescent="0.3">
      <c r="A26"/>
      <c r="B26"/>
      <c r="X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R26"/>
      <c r="BW26"/>
      <c r="BX26"/>
      <c r="BY26"/>
      <c r="BZ26"/>
      <c r="CA26"/>
      <c r="CB26"/>
      <c r="CC26"/>
      <c r="CF26"/>
      <c r="CR26"/>
      <c r="CS26"/>
      <c r="DI26"/>
      <c r="GY26"/>
      <c r="GZ26"/>
      <c r="HB26"/>
      <c r="HC26"/>
      <c r="HD26"/>
      <c r="HE26"/>
      <c r="HG26"/>
      <c r="HH26"/>
      <c r="HI26"/>
      <c r="HN26"/>
      <c r="HO26"/>
      <c r="HP26"/>
      <c r="HQ26"/>
      <c r="HR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JA26"/>
      <c r="JB26"/>
      <c r="JC26"/>
      <c r="JD26"/>
      <c r="JE26"/>
      <c r="JF26"/>
      <c r="JG26"/>
      <c r="JH26"/>
      <c r="JI26"/>
      <c r="JJ26"/>
      <c r="JK26"/>
      <c r="JL26"/>
      <c r="JS26"/>
      <c r="JW26"/>
      <c r="JX26"/>
      <c r="KB26"/>
      <c r="KC26"/>
      <c r="KD26"/>
      <c r="KE26"/>
      <c r="KN26"/>
      <c r="KO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</row>
    <row r="27" spans="1:367" x14ac:dyDescent="0.3">
      <c r="A27"/>
      <c r="B27"/>
      <c r="X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R27"/>
      <c r="BW27"/>
      <c r="BX27"/>
      <c r="BY27"/>
      <c r="BZ27"/>
      <c r="CA27"/>
      <c r="CB27"/>
      <c r="CC27"/>
      <c r="CF27"/>
      <c r="CR27"/>
      <c r="CS27"/>
      <c r="DI27"/>
      <c r="GY27"/>
      <c r="GZ27"/>
      <c r="HB27"/>
      <c r="HC27"/>
      <c r="HD27"/>
      <c r="HE27"/>
      <c r="HG27"/>
      <c r="HH27"/>
      <c r="HI27"/>
      <c r="HN27"/>
      <c r="HO27"/>
      <c r="HP27"/>
      <c r="HQ27"/>
      <c r="HR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JA27"/>
      <c r="JB27"/>
      <c r="JC27"/>
      <c r="JD27"/>
      <c r="JE27"/>
      <c r="JF27"/>
      <c r="JG27"/>
      <c r="JH27"/>
      <c r="JI27"/>
      <c r="JJ27"/>
      <c r="JK27"/>
      <c r="JL27"/>
      <c r="JS27"/>
      <c r="JW27"/>
      <c r="JX27"/>
      <c r="KB27"/>
      <c r="KC27"/>
      <c r="KD27"/>
      <c r="KE27"/>
      <c r="KN27"/>
      <c r="KO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</row>
    <row r="28" spans="1:367" x14ac:dyDescent="0.3">
      <c r="A28"/>
      <c r="B28"/>
      <c r="X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R28"/>
      <c r="BW28"/>
      <c r="BX28"/>
      <c r="BY28"/>
      <c r="BZ28"/>
      <c r="CA28"/>
      <c r="CB28"/>
      <c r="CC28"/>
      <c r="CF28"/>
      <c r="CR28"/>
      <c r="CS28"/>
      <c r="DI28"/>
      <c r="GY28"/>
      <c r="GZ28"/>
      <c r="HB28"/>
      <c r="HC28"/>
      <c r="HD28"/>
      <c r="HE28"/>
      <c r="HG28"/>
      <c r="HH28"/>
      <c r="HI28"/>
      <c r="HN28"/>
      <c r="HO28"/>
      <c r="HP28"/>
      <c r="HQ28"/>
      <c r="HR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JA28"/>
      <c r="JB28"/>
      <c r="JC28"/>
      <c r="JD28"/>
      <c r="JE28"/>
      <c r="JF28"/>
      <c r="JG28"/>
      <c r="JH28"/>
      <c r="JI28"/>
      <c r="JJ28"/>
      <c r="JK28"/>
      <c r="JL28"/>
      <c r="JS28"/>
      <c r="JW28"/>
      <c r="JX28"/>
      <c r="KB28"/>
      <c r="KC28"/>
      <c r="KD28"/>
      <c r="KE28"/>
      <c r="KN28"/>
      <c r="KO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</row>
    <row r="29" spans="1:367" x14ac:dyDescent="0.3">
      <c r="A29"/>
      <c r="B29"/>
      <c r="X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R29"/>
      <c r="BW29"/>
      <c r="BX29"/>
      <c r="BY29"/>
      <c r="BZ29"/>
      <c r="CA29"/>
      <c r="CB29"/>
      <c r="CC29"/>
      <c r="CF29"/>
      <c r="CR29"/>
      <c r="CS29"/>
      <c r="DI29"/>
      <c r="GY29"/>
      <c r="GZ29"/>
      <c r="HB29"/>
      <c r="HC29"/>
      <c r="HD29"/>
      <c r="HE29"/>
      <c r="HG29"/>
      <c r="HH29"/>
      <c r="HI29"/>
      <c r="HN29"/>
      <c r="HO29"/>
      <c r="HP29"/>
      <c r="HQ29"/>
      <c r="HR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JA29"/>
      <c r="JB29"/>
      <c r="JC29"/>
      <c r="JD29"/>
      <c r="JE29"/>
      <c r="JF29"/>
      <c r="JG29"/>
      <c r="JH29"/>
      <c r="JI29"/>
      <c r="JJ29"/>
      <c r="JK29"/>
      <c r="JL29"/>
      <c r="JS29"/>
      <c r="JW29"/>
      <c r="JX29"/>
      <c r="KB29"/>
      <c r="KC29"/>
      <c r="KD29"/>
      <c r="KE29"/>
      <c r="KN29"/>
      <c r="KO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</row>
    <row r="30" spans="1:367" x14ac:dyDescent="0.3">
      <c r="A30"/>
      <c r="B30"/>
      <c r="X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R30"/>
      <c r="BW30"/>
      <c r="BX30"/>
      <c r="BY30"/>
      <c r="BZ30"/>
      <c r="CA30"/>
      <c r="CB30"/>
      <c r="CC30"/>
      <c r="CF30"/>
      <c r="CR30"/>
      <c r="CS30"/>
      <c r="DI30"/>
      <c r="GY30"/>
      <c r="GZ30"/>
      <c r="HB30"/>
      <c r="HC30"/>
      <c r="HD30"/>
      <c r="HE30"/>
      <c r="HG30"/>
      <c r="HH30"/>
      <c r="HI30"/>
      <c r="HN30"/>
      <c r="HO30"/>
      <c r="HP30"/>
      <c r="HQ30"/>
      <c r="HR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JA30"/>
      <c r="JB30"/>
      <c r="JC30"/>
      <c r="JD30"/>
      <c r="JE30"/>
      <c r="JF30"/>
      <c r="JG30"/>
      <c r="JH30"/>
      <c r="JI30"/>
      <c r="JJ30"/>
      <c r="JK30"/>
      <c r="JL30"/>
      <c r="JS30"/>
      <c r="JW30"/>
      <c r="JX30"/>
      <c r="KB30"/>
      <c r="KC30"/>
      <c r="KD30"/>
      <c r="KE30"/>
      <c r="KN30"/>
      <c r="KO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</row>
    <row r="31" spans="1:367" x14ac:dyDescent="0.3">
      <c r="A31"/>
      <c r="B31"/>
      <c r="X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R31"/>
      <c r="BW31"/>
      <c r="BX31"/>
      <c r="BY31"/>
      <c r="BZ31"/>
      <c r="CA31"/>
      <c r="CB31"/>
      <c r="CC31"/>
      <c r="CF31"/>
      <c r="CR31"/>
      <c r="CS31"/>
      <c r="DI31"/>
      <c r="GY31"/>
      <c r="GZ31"/>
      <c r="HB31"/>
      <c r="HC31"/>
      <c r="HD31"/>
      <c r="HE31"/>
      <c r="HG31"/>
      <c r="HH31"/>
      <c r="HI31"/>
      <c r="HN31"/>
      <c r="HO31"/>
      <c r="HP31"/>
      <c r="HQ31"/>
      <c r="HR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JA31"/>
      <c r="JB31"/>
      <c r="JC31"/>
      <c r="JD31"/>
      <c r="JE31"/>
      <c r="JF31"/>
      <c r="JG31"/>
      <c r="JH31"/>
      <c r="JI31"/>
      <c r="JJ31"/>
      <c r="JK31"/>
      <c r="JL31"/>
      <c r="JS31"/>
      <c r="JW31"/>
      <c r="JX31"/>
      <c r="KB31"/>
      <c r="KC31"/>
      <c r="KD31"/>
      <c r="KE31"/>
      <c r="KN31"/>
      <c r="KO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</row>
    <row r="32" spans="1:367" x14ac:dyDescent="0.3">
      <c r="A32"/>
      <c r="B32"/>
      <c r="X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R32"/>
      <c r="BW32"/>
      <c r="BX32"/>
      <c r="BY32"/>
      <c r="BZ32"/>
      <c r="CA32"/>
      <c r="CB32"/>
      <c r="CC32"/>
      <c r="CF32"/>
      <c r="CR32"/>
      <c r="CS32"/>
      <c r="DI32"/>
      <c r="GY32"/>
      <c r="GZ32"/>
      <c r="HB32"/>
      <c r="HC32"/>
      <c r="HD32"/>
      <c r="HE32"/>
      <c r="HG32"/>
      <c r="HH32"/>
      <c r="HI32"/>
      <c r="HN32"/>
      <c r="HO32"/>
      <c r="HP32"/>
      <c r="HQ32"/>
      <c r="HR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JA32"/>
      <c r="JB32"/>
      <c r="JC32"/>
      <c r="JD32"/>
      <c r="JE32"/>
      <c r="JF32"/>
      <c r="JG32"/>
      <c r="JH32"/>
      <c r="JI32"/>
      <c r="JJ32"/>
      <c r="JK32"/>
      <c r="JL32"/>
      <c r="JS32"/>
      <c r="JW32"/>
      <c r="JX32"/>
      <c r="KB32"/>
      <c r="KC32"/>
      <c r="KD32"/>
      <c r="KE32"/>
      <c r="KN32"/>
      <c r="KO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  <row r="280" customFormat="1" x14ac:dyDescent="0.3"/>
    <row r="281" customFormat="1" x14ac:dyDescent="0.3"/>
    <row r="282" customFormat="1" x14ac:dyDescent="0.3"/>
    <row r="283" customFormat="1" x14ac:dyDescent="0.3"/>
    <row r="284" customFormat="1" x14ac:dyDescent="0.3"/>
    <row r="285" customFormat="1" x14ac:dyDescent="0.3"/>
    <row r="286" customFormat="1" x14ac:dyDescent="0.3"/>
    <row r="287" customFormat="1" x14ac:dyDescent="0.3"/>
    <row r="288" customFormat="1" x14ac:dyDescent="0.3"/>
    <row r="289" customFormat="1" x14ac:dyDescent="0.3"/>
    <row r="290" customFormat="1" x14ac:dyDescent="0.3"/>
    <row r="291" customFormat="1" x14ac:dyDescent="0.3"/>
    <row r="292" customFormat="1" x14ac:dyDescent="0.3"/>
    <row r="293" customFormat="1" x14ac:dyDescent="0.3"/>
    <row r="294" customFormat="1" x14ac:dyDescent="0.3"/>
    <row r="295" customFormat="1" x14ac:dyDescent="0.3"/>
    <row r="296" customFormat="1" x14ac:dyDescent="0.3"/>
    <row r="297" customFormat="1" x14ac:dyDescent="0.3"/>
    <row r="298" customFormat="1" x14ac:dyDescent="0.3"/>
    <row r="299" customFormat="1" x14ac:dyDescent="0.3"/>
    <row r="300" customFormat="1" x14ac:dyDescent="0.3"/>
    <row r="301" customFormat="1" x14ac:dyDescent="0.3"/>
    <row r="302" customFormat="1" x14ac:dyDescent="0.3"/>
    <row r="303" customFormat="1" x14ac:dyDescent="0.3"/>
    <row r="304" customFormat="1" x14ac:dyDescent="0.3"/>
    <row r="305" customFormat="1" x14ac:dyDescent="0.3"/>
    <row r="306" customFormat="1" x14ac:dyDescent="0.3"/>
    <row r="307" customFormat="1" x14ac:dyDescent="0.3"/>
    <row r="308" customFormat="1" x14ac:dyDescent="0.3"/>
    <row r="309" customFormat="1" x14ac:dyDescent="0.3"/>
    <row r="310" customFormat="1" x14ac:dyDescent="0.3"/>
    <row r="311" customFormat="1" x14ac:dyDescent="0.3"/>
    <row r="312" customFormat="1" x14ac:dyDescent="0.3"/>
    <row r="313" customFormat="1" x14ac:dyDescent="0.3"/>
    <row r="314" customFormat="1" x14ac:dyDescent="0.3"/>
    <row r="315" customFormat="1" x14ac:dyDescent="0.3"/>
    <row r="316" customFormat="1" x14ac:dyDescent="0.3"/>
    <row r="317" customFormat="1" x14ac:dyDescent="0.3"/>
    <row r="318" customFormat="1" x14ac:dyDescent="0.3"/>
    <row r="319" customFormat="1" x14ac:dyDescent="0.3"/>
    <row r="320" customFormat="1" x14ac:dyDescent="0.3"/>
    <row r="321" customFormat="1" x14ac:dyDescent="0.3"/>
    <row r="322" customFormat="1" x14ac:dyDescent="0.3"/>
    <row r="323" customFormat="1" x14ac:dyDescent="0.3"/>
    <row r="324" customFormat="1" x14ac:dyDescent="0.3"/>
    <row r="325" customFormat="1" x14ac:dyDescent="0.3"/>
    <row r="326" customFormat="1" x14ac:dyDescent="0.3"/>
    <row r="327" customFormat="1" x14ac:dyDescent="0.3"/>
    <row r="328" customFormat="1" x14ac:dyDescent="0.3"/>
    <row r="329" customFormat="1" x14ac:dyDescent="0.3"/>
    <row r="330" customFormat="1" x14ac:dyDescent="0.3"/>
    <row r="331" customFormat="1" x14ac:dyDescent="0.3"/>
    <row r="332" customFormat="1" x14ac:dyDescent="0.3"/>
    <row r="333" customFormat="1" x14ac:dyDescent="0.3"/>
    <row r="334" customFormat="1" x14ac:dyDescent="0.3"/>
    <row r="335" customFormat="1" x14ac:dyDescent="0.3"/>
    <row r="336" customFormat="1" x14ac:dyDescent="0.3"/>
    <row r="337" customFormat="1" x14ac:dyDescent="0.3"/>
    <row r="338" customFormat="1" x14ac:dyDescent="0.3"/>
    <row r="339" customFormat="1" x14ac:dyDescent="0.3"/>
    <row r="340" customFormat="1" x14ac:dyDescent="0.3"/>
    <row r="341" customFormat="1" x14ac:dyDescent="0.3"/>
    <row r="342" customFormat="1" x14ac:dyDescent="0.3"/>
    <row r="343" customFormat="1" x14ac:dyDescent="0.3"/>
    <row r="344" customFormat="1" x14ac:dyDescent="0.3"/>
    <row r="345" customFormat="1" x14ac:dyDescent="0.3"/>
    <row r="346" customFormat="1" x14ac:dyDescent="0.3"/>
    <row r="347" customFormat="1" x14ac:dyDescent="0.3"/>
    <row r="348" customFormat="1" x14ac:dyDescent="0.3"/>
    <row r="349" customFormat="1" x14ac:dyDescent="0.3"/>
    <row r="350" customFormat="1" x14ac:dyDescent="0.3"/>
    <row r="351" customFormat="1" x14ac:dyDescent="0.3"/>
    <row r="352" customFormat="1" x14ac:dyDescent="0.3"/>
    <row r="353" customFormat="1" x14ac:dyDescent="0.3"/>
    <row r="354" customFormat="1" x14ac:dyDescent="0.3"/>
    <row r="355" customFormat="1" x14ac:dyDescent="0.3"/>
    <row r="356" customFormat="1" x14ac:dyDescent="0.3"/>
    <row r="357" customFormat="1" x14ac:dyDescent="0.3"/>
    <row r="358" customFormat="1" x14ac:dyDescent="0.3"/>
    <row r="359" customFormat="1" x14ac:dyDescent="0.3"/>
    <row r="360" customFormat="1" x14ac:dyDescent="0.3"/>
    <row r="361" customFormat="1" x14ac:dyDescent="0.3"/>
    <row r="362" customFormat="1" x14ac:dyDescent="0.3"/>
    <row r="363" customFormat="1" x14ac:dyDescent="0.3"/>
    <row r="364" customFormat="1" x14ac:dyDescent="0.3"/>
    <row r="365" customFormat="1" x14ac:dyDescent="0.3"/>
    <row r="366" customFormat="1" x14ac:dyDescent="0.3"/>
    <row r="367" customFormat="1" x14ac:dyDescent="0.3"/>
    <row r="368" customFormat="1" x14ac:dyDescent="0.3"/>
    <row r="369" customFormat="1" x14ac:dyDescent="0.3"/>
    <row r="370" customFormat="1" x14ac:dyDescent="0.3"/>
    <row r="371" customFormat="1" x14ac:dyDescent="0.3"/>
    <row r="372" customFormat="1" x14ac:dyDescent="0.3"/>
    <row r="373" customFormat="1" x14ac:dyDescent="0.3"/>
    <row r="374" customFormat="1" x14ac:dyDescent="0.3"/>
    <row r="375" customFormat="1" x14ac:dyDescent="0.3"/>
    <row r="376" customFormat="1" x14ac:dyDescent="0.3"/>
    <row r="377" customFormat="1" x14ac:dyDescent="0.3"/>
    <row r="378" customFormat="1" x14ac:dyDescent="0.3"/>
    <row r="379" customFormat="1" x14ac:dyDescent="0.3"/>
    <row r="380" customFormat="1" x14ac:dyDescent="0.3"/>
    <row r="381" customFormat="1" x14ac:dyDescent="0.3"/>
    <row r="382" customFormat="1" x14ac:dyDescent="0.3"/>
    <row r="383" customFormat="1" x14ac:dyDescent="0.3"/>
    <row r="384" customFormat="1" x14ac:dyDescent="0.3"/>
    <row r="385" customFormat="1" x14ac:dyDescent="0.3"/>
    <row r="386" customFormat="1" x14ac:dyDescent="0.3"/>
    <row r="387" customFormat="1" x14ac:dyDescent="0.3"/>
    <row r="388" customFormat="1" x14ac:dyDescent="0.3"/>
    <row r="389" customFormat="1" x14ac:dyDescent="0.3"/>
    <row r="390" customFormat="1" x14ac:dyDescent="0.3"/>
    <row r="391" customFormat="1" x14ac:dyDescent="0.3"/>
    <row r="392" customFormat="1" x14ac:dyDescent="0.3"/>
    <row r="393" customFormat="1" x14ac:dyDescent="0.3"/>
    <row r="394" customFormat="1" x14ac:dyDescent="0.3"/>
    <row r="395" customFormat="1" x14ac:dyDescent="0.3"/>
    <row r="396" customFormat="1" x14ac:dyDescent="0.3"/>
    <row r="397" customFormat="1" x14ac:dyDescent="0.3"/>
    <row r="398" customFormat="1" x14ac:dyDescent="0.3"/>
    <row r="399" customFormat="1" x14ac:dyDescent="0.3"/>
    <row r="400" customFormat="1" x14ac:dyDescent="0.3"/>
    <row r="401" customFormat="1" x14ac:dyDescent="0.3"/>
    <row r="402" customFormat="1" x14ac:dyDescent="0.3"/>
    <row r="403" customFormat="1" x14ac:dyDescent="0.3"/>
    <row r="404" customFormat="1" x14ac:dyDescent="0.3"/>
    <row r="405" customFormat="1" x14ac:dyDescent="0.3"/>
    <row r="406" customFormat="1" x14ac:dyDescent="0.3"/>
    <row r="407" customFormat="1" x14ac:dyDescent="0.3"/>
    <row r="408" customFormat="1" x14ac:dyDescent="0.3"/>
    <row r="409" customFormat="1" x14ac:dyDescent="0.3"/>
    <row r="410" customFormat="1" x14ac:dyDescent="0.3"/>
    <row r="411" customFormat="1" x14ac:dyDescent="0.3"/>
    <row r="412" customFormat="1" x14ac:dyDescent="0.3"/>
    <row r="413" customFormat="1" x14ac:dyDescent="0.3"/>
    <row r="414" customFormat="1" x14ac:dyDescent="0.3"/>
    <row r="415" customFormat="1" x14ac:dyDescent="0.3"/>
    <row r="416" customFormat="1" x14ac:dyDescent="0.3"/>
    <row r="417" customFormat="1" x14ac:dyDescent="0.3"/>
    <row r="418" customFormat="1" x14ac:dyDescent="0.3"/>
    <row r="419" customFormat="1" x14ac:dyDescent="0.3"/>
    <row r="420" customFormat="1" x14ac:dyDescent="0.3"/>
    <row r="421" customFormat="1" x14ac:dyDescent="0.3"/>
    <row r="422" customFormat="1" x14ac:dyDescent="0.3"/>
    <row r="423" customFormat="1" x14ac:dyDescent="0.3"/>
    <row r="424" customFormat="1" x14ac:dyDescent="0.3"/>
    <row r="425" customFormat="1" x14ac:dyDescent="0.3"/>
    <row r="426" customFormat="1" x14ac:dyDescent="0.3"/>
    <row r="427" customFormat="1" x14ac:dyDescent="0.3"/>
    <row r="428" customFormat="1" x14ac:dyDescent="0.3"/>
    <row r="429" customFormat="1" x14ac:dyDescent="0.3"/>
    <row r="430" customFormat="1" x14ac:dyDescent="0.3"/>
    <row r="431" customFormat="1" x14ac:dyDescent="0.3"/>
    <row r="432" customFormat="1" x14ac:dyDescent="0.3"/>
    <row r="433" customFormat="1" x14ac:dyDescent="0.3"/>
    <row r="434" customFormat="1" x14ac:dyDescent="0.3"/>
    <row r="435" customFormat="1" x14ac:dyDescent="0.3"/>
    <row r="436" customFormat="1" x14ac:dyDescent="0.3"/>
    <row r="437" customFormat="1" x14ac:dyDescent="0.3"/>
    <row r="438" customFormat="1" x14ac:dyDescent="0.3"/>
    <row r="439" customFormat="1" x14ac:dyDescent="0.3"/>
    <row r="440" customFormat="1" x14ac:dyDescent="0.3"/>
    <row r="441" customFormat="1" x14ac:dyDescent="0.3"/>
    <row r="442" customFormat="1" x14ac:dyDescent="0.3"/>
    <row r="443" customFormat="1" x14ac:dyDescent="0.3"/>
    <row r="444" customFormat="1" x14ac:dyDescent="0.3"/>
    <row r="445" customFormat="1" x14ac:dyDescent="0.3"/>
    <row r="446" customFormat="1" x14ac:dyDescent="0.3"/>
    <row r="447" customFormat="1" x14ac:dyDescent="0.3"/>
    <row r="448" customFormat="1" x14ac:dyDescent="0.3"/>
    <row r="449" customFormat="1" x14ac:dyDescent="0.3"/>
    <row r="450" customFormat="1" x14ac:dyDescent="0.3"/>
    <row r="451" customFormat="1" x14ac:dyDescent="0.3"/>
    <row r="452" customFormat="1" x14ac:dyDescent="0.3"/>
    <row r="453" customFormat="1" x14ac:dyDescent="0.3"/>
    <row r="454" customFormat="1" x14ac:dyDescent="0.3"/>
    <row r="455" customFormat="1" x14ac:dyDescent="0.3"/>
    <row r="456" customFormat="1" x14ac:dyDescent="0.3"/>
    <row r="457" customFormat="1" x14ac:dyDescent="0.3"/>
    <row r="458" customFormat="1" x14ac:dyDescent="0.3"/>
    <row r="459" customFormat="1" x14ac:dyDescent="0.3"/>
    <row r="460" customFormat="1" x14ac:dyDescent="0.3"/>
    <row r="461" customFormat="1" x14ac:dyDescent="0.3"/>
    <row r="462" customFormat="1" x14ac:dyDescent="0.3"/>
    <row r="463" customFormat="1" x14ac:dyDescent="0.3"/>
    <row r="464" customFormat="1" x14ac:dyDescent="0.3"/>
    <row r="465" customFormat="1" x14ac:dyDescent="0.3"/>
    <row r="466" customFormat="1" x14ac:dyDescent="0.3"/>
    <row r="467" customFormat="1" x14ac:dyDescent="0.3"/>
    <row r="468" customFormat="1" x14ac:dyDescent="0.3"/>
    <row r="469" customFormat="1" x14ac:dyDescent="0.3"/>
    <row r="470" customFormat="1" x14ac:dyDescent="0.3"/>
    <row r="471" customFormat="1" x14ac:dyDescent="0.3"/>
    <row r="472" customFormat="1" x14ac:dyDescent="0.3"/>
    <row r="473" customFormat="1" x14ac:dyDescent="0.3"/>
    <row r="474" customFormat="1" x14ac:dyDescent="0.3"/>
    <row r="475" customFormat="1" x14ac:dyDescent="0.3"/>
    <row r="476" customFormat="1" x14ac:dyDescent="0.3"/>
    <row r="477" customFormat="1" x14ac:dyDescent="0.3"/>
    <row r="478" customFormat="1" x14ac:dyDescent="0.3"/>
    <row r="479" customFormat="1" x14ac:dyDescent="0.3"/>
    <row r="480" customFormat="1" x14ac:dyDescent="0.3"/>
    <row r="481" customFormat="1" x14ac:dyDescent="0.3"/>
    <row r="482" customFormat="1" x14ac:dyDescent="0.3"/>
    <row r="483" customFormat="1" x14ac:dyDescent="0.3"/>
    <row r="484" customFormat="1" x14ac:dyDescent="0.3"/>
    <row r="485" customFormat="1" x14ac:dyDescent="0.3"/>
    <row r="486" customFormat="1" x14ac:dyDescent="0.3"/>
    <row r="487" customFormat="1" x14ac:dyDescent="0.3"/>
    <row r="488" customFormat="1" x14ac:dyDescent="0.3"/>
    <row r="489" customFormat="1" x14ac:dyDescent="0.3"/>
    <row r="490" customFormat="1" x14ac:dyDescent="0.3"/>
    <row r="491" customFormat="1" x14ac:dyDescent="0.3"/>
    <row r="492" customFormat="1" x14ac:dyDescent="0.3"/>
    <row r="493" customFormat="1" x14ac:dyDescent="0.3"/>
    <row r="494" customFormat="1" x14ac:dyDescent="0.3"/>
    <row r="495" customFormat="1" x14ac:dyDescent="0.3"/>
    <row r="496" customFormat="1" x14ac:dyDescent="0.3"/>
    <row r="497" customFormat="1" x14ac:dyDescent="0.3"/>
    <row r="498" customFormat="1" x14ac:dyDescent="0.3"/>
    <row r="499" customFormat="1" x14ac:dyDescent="0.3"/>
    <row r="500" customFormat="1" x14ac:dyDescent="0.3"/>
    <row r="501" customFormat="1" x14ac:dyDescent="0.3"/>
    <row r="502" customFormat="1" x14ac:dyDescent="0.3"/>
    <row r="503" customFormat="1" x14ac:dyDescent="0.3"/>
    <row r="504" customFormat="1" x14ac:dyDescent="0.3"/>
    <row r="505" customFormat="1" x14ac:dyDescent="0.3"/>
    <row r="506" customFormat="1" x14ac:dyDescent="0.3"/>
    <row r="507" customFormat="1" x14ac:dyDescent="0.3"/>
    <row r="508" customFormat="1" x14ac:dyDescent="0.3"/>
    <row r="509" customFormat="1" x14ac:dyDescent="0.3"/>
    <row r="510" customFormat="1" x14ac:dyDescent="0.3"/>
    <row r="511" customFormat="1" x14ac:dyDescent="0.3"/>
    <row r="512" customFormat="1" x14ac:dyDescent="0.3"/>
    <row r="513" customFormat="1" x14ac:dyDescent="0.3"/>
    <row r="514" customFormat="1" x14ac:dyDescent="0.3"/>
    <row r="515" customFormat="1" x14ac:dyDescent="0.3"/>
    <row r="516" customFormat="1" x14ac:dyDescent="0.3"/>
    <row r="517" customFormat="1" x14ac:dyDescent="0.3"/>
    <row r="518" customFormat="1" x14ac:dyDescent="0.3"/>
    <row r="519" customFormat="1" x14ac:dyDescent="0.3"/>
    <row r="520" customFormat="1" x14ac:dyDescent="0.3"/>
    <row r="521" customFormat="1" x14ac:dyDescent="0.3"/>
    <row r="522" customFormat="1" x14ac:dyDescent="0.3"/>
    <row r="523" customFormat="1" x14ac:dyDescent="0.3"/>
    <row r="524" customFormat="1" x14ac:dyDescent="0.3"/>
    <row r="525" customFormat="1" x14ac:dyDescent="0.3"/>
    <row r="526" customFormat="1" x14ac:dyDescent="0.3"/>
    <row r="527" customFormat="1" x14ac:dyDescent="0.3"/>
    <row r="528" customFormat="1" x14ac:dyDescent="0.3"/>
    <row r="529" customFormat="1" x14ac:dyDescent="0.3"/>
    <row r="530" customFormat="1" x14ac:dyDescent="0.3"/>
    <row r="531" customFormat="1" x14ac:dyDescent="0.3"/>
    <row r="532" customFormat="1" x14ac:dyDescent="0.3"/>
    <row r="533" customFormat="1" x14ac:dyDescent="0.3"/>
    <row r="534" customFormat="1" x14ac:dyDescent="0.3"/>
    <row r="535" customFormat="1" x14ac:dyDescent="0.3"/>
    <row r="536" customFormat="1" x14ac:dyDescent="0.3"/>
    <row r="537" customFormat="1" x14ac:dyDescent="0.3"/>
    <row r="538" customFormat="1" x14ac:dyDescent="0.3"/>
    <row r="539" customFormat="1" x14ac:dyDescent="0.3"/>
    <row r="540" customFormat="1" x14ac:dyDescent="0.3"/>
    <row r="541" customFormat="1" x14ac:dyDescent="0.3"/>
    <row r="542" customFormat="1" x14ac:dyDescent="0.3"/>
    <row r="543" customFormat="1" x14ac:dyDescent="0.3"/>
    <row r="544" customFormat="1" x14ac:dyDescent="0.3"/>
    <row r="545" customFormat="1" x14ac:dyDescent="0.3"/>
    <row r="546" customFormat="1" x14ac:dyDescent="0.3"/>
    <row r="547" customFormat="1" x14ac:dyDescent="0.3"/>
    <row r="548" customFormat="1" x14ac:dyDescent="0.3"/>
    <row r="549" customFormat="1" x14ac:dyDescent="0.3"/>
    <row r="550" customFormat="1" x14ac:dyDescent="0.3"/>
    <row r="551" customFormat="1" x14ac:dyDescent="0.3"/>
    <row r="552" customFormat="1" x14ac:dyDescent="0.3"/>
    <row r="553" customFormat="1" x14ac:dyDescent="0.3"/>
    <row r="554" customFormat="1" x14ac:dyDescent="0.3"/>
    <row r="555" customFormat="1" x14ac:dyDescent="0.3"/>
    <row r="556" customFormat="1" x14ac:dyDescent="0.3"/>
    <row r="557" customFormat="1" x14ac:dyDescent="0.3"/>
    <row r="558" customFormat="1" x14ac:dyDescent="0.3"/>
    <row r="559" customFormat="1" x14ac:dyDescent="0.3"/>
    <row r="560" customFormat="1" x14ac:dyDescent="0.3"/>
    <row r="561" customFormat="1" x14ac:dyDescent="0.3"/>
    <row r="562" customFormat="1" x14ac:dyDescent="0.3"/>
    <row r="563" customFormat="1" x14ac:dyDescent="0.3"/>
    <row r="564" customFormat="1" x14ac:dyDescent="0.3"/>
    <row r="565" customFormat="1" x14ac:dyDescent="0.3"/>
    <row r="566" customFormat="1" x14ac:dyDescent="0.3"/>
    <row r="567" customFormat="1" x14ac:dyDescent="0.3"/>
    <row r="568" customFormat="1" x14ac:dyDescent="0.3"/>
    <row r="569" customFormat="1" x14ac:dyDescent="0.3"/>
    <row r="570" customFormat="1" x14ac:dyDescent="0.3"/>
    <row r="571" customFormat="1" x14ac:dyDescent="0.3"/>
    <row r="572" customFormat="1" x14ac:dyDescent="0.3"/>
    <row r="573" customFormat="1" x14ac:dyDescent="0.3"/>
    <row r="574" customFormat="1" x14ac:dyDescent="0.3"/>
    <row r="575" customFormat="1" x14ac:dyDescent="0.3"/>
    <row r="576" customFormat="1" x14ac:dyDescent="0.3"/>
    <row r="577" customFormat="1" x14ac:dyDescent="0.3"/>
    <row r="578" customFormat="1" x14ac:dyDescent="0.3"/>
    <row r="579" customFormat="1" x14ac:dyDescent="0.3"/>
    <row r="580" customFormat="1" x14ac:dyDescent="0.3"/>
    <row r="581" customFormat="1" x14ac:dyDescent="0.3"/>
    <row r="582" customFormat="1" x14ac:dyDescent="0.3"/>
    <row r="583" customFormat="1" x14ac:dyDescent="0.3"/>
    <row r="584" customFormat="1" x14ac:dyDescent="0.3"/>
    <row r="585" customFormat="1" x14ac:dyDescent="0.3"/>
    <row r="586" customFormat="1" x14ac:dyDescent="0.3"/>
    <row r="587" customFormat="1" x14ac:dyDescent="0.3"/>
    <row r="588" customFormat="1" x14ac:dyDescent="0.3"/>
    <row r="589" customFormat="1" x14ac:dyDescent="0.3"/>
    <row r="590" customFormat="1" x14ac:dyDescent="0.3"/>
    <row r="591" customFormat="1" x14ac:dyDescent="0.3"/>
    <row r="592" customFormat="1" x14ac:dyDescent="0.3"/>
    <row r="593" customFormat="1" x14ac:dyDescent="0.3"/>
    <row r="594" customFormat="1" x14ac:dyDescent="0.3"/>
    <row r="595" customFormat="1" x14ac:dyDescent="0.3"/>
    <row r="596" customFormat="1" x14ac:dyDescent="0.3"/>
    <row r="597" customFormat="1" x14ac:dyDescent="0.3"/>
    <row r="598" customFormat="1" x14ac:dyDescent="0.3"/>
    <row r="599" customFormat="1" x14ac:dyDescent="0.3"/>
    <row r="600" customFormat="1" x14ac:dyDescent="0.3"/>
    <row r="601" customFormat="1" x14ac:dyDescent="0.3"/>
    <row r="602" customFormat="1" x14ac:dyDescent="0.3"/>
    <row r="603" customFormat="1" x14ac:dyDescent="0.3"/>
    <row r="604" customFormat="1" x14ac:dyDescent="0.3"/>
    <row r="605" customFormat="1" x14ac:dyDescent="0.3"/>
    <row r="606" customFormat="1" x14ac:dyDescent="0.3"/>
    <row r="607" customFormat="1" x14ac:dyDescent="0.3"/>
    <row r="608" customFormat="1" x14ac:dyDescent="0.3"/>
    <row r="609" customFormat="1" x14ac:dyDescent="0.3"/>
    <row r="610" customFormat="1" x14ac:dyDescent="0.3"/>
    <row r="611" customFormat="1" x14ac:dyDescent="0.3"/>
    <row r="612" customFormat="1" x14ac:dyDescent="0.3"/>
    <row r="613" customFormat="1" x14ac:dyDescent="0.3"/>
    <row r="614" customFormat="1" x14ac:dyDescent="0.3"/>
    <row r="615" customFormat="1" x14ac:dyDescent="0.3"/>
    <row r="616" customFormat="1" x14ac:dyDescent="0.3"/>
    <row r="617" customFormat="1" x14ac:dyDescent="0.3"/>
    <row r="618" customFormat="1" x14ac:dyDescent="0.3"/>
    <row r="619" customFormat="1" x14ac:dyDescent="0.3"/>
    <row r="620" customFormat="1" x14ac:dyDescent="0.3"/>
    <row r="621" customFormat="1" x14ac:dyDescent="0.3"/>
    <row r="622" customFormat="1" x14ac:dyDescent="0.3"/>
    <row r="623" customFormat="1" x14ac:dyDescent="0.3"/>
    <row r="624" customFormat="1" x14ac:dyDescent="0.3"/>
    <row r="625" customFormat="1" x14ac:dyDescent="0.3"/>
    <row r="626" customFormat="1" x14ac:dyDescent="0.3"/>
    <row r="627" customFormat="1" x14ac:dyDescent="0.3"/>
    <row r="628" customFormat="1" x14ac:dyDescent="0.3"/>
    <row r="629" customFormat="1" x14ac:dyDescent="0.3"/>
    <row r="630" customFormat="1" x14ac:dyDescent="0.3"/>
    <row r="631" customFormat="1" x14ac:dyDescent="0.3"/>
    <row r="632" customFormat="1" x14ac:dyDescent="0.3"/>
    <row r="633" customFormat="1" x14ac:dyDescent="0.3"/>
    <row r="634" customFormat="1" x14ac:dyDescent="0.3"/>
    <row r="635" customFormat="1" x14ac:dyDescent="0.3"/>
    <row r="636" customFormat="1" x14ac:dyDescent="0.3"/>
    <row r="637" customFormat="1" x14ac:dyDescent="0.3"/>
    <row r="638" customFormat="1" x14ac:dyDescent="0.3"/>
    <row r="639" customFormat="1" x14ac:dyDescent="0.3"/>
    <row r="640" customFormat="1" x14ac:dyDescent="0.3"/>
    <row r="641" customFormat="1" x14ac:dyDescent="0.3"/>
    <row r="642" customFormat="1" x14ac:dyDescent="0.3"/>
    <row r="643" customFormat="1" x14ac:dyDescent="0.3"/>
    <row r="644" customFormat="1" x14ac:dyDescent="0.3"/>
    <row r="645" customFormat="1" x14ac:dyDescent="0.3"/>
    <row r="646" customFormat="1" x14ac:dyDescent="0.3"/>
    <row r="647" customFormat="1" x14ac:dyDescent="0.3"/>
    <row r="648" customFormat="1" x14ac:dyDescent="0.3"/>
    <row r="649" customFormat="1" x14ac:dyDescent="0.3"/>
    <row r="650" customFormat="1" x14ac:dyDescent="0.3"/>
    <row r="651" customFormat="1" x14ac:dyDescent="0.3"/>
    <row r="652" customFormat="1" x14ac:dyDescent="0.3"/>
    <row r="653" customFormat="1" x14ac:dyDescent="0.3"/>
    <row r="654" customFormat="1" x14ac:dyDescent="0.3"/>
    <row r="655" customFormat="1" x14ac:dyDescent="0.3"/>
    <row r="656" customFormat="1" x14ac:dyDescent="0.3"/>
    <row r="657" customFormat="1" x14ac:dyDescent="0.3"/>
    <row r="658" customFormat="1" x14ac:dyDescent="0.3"/>
    <row r="659" customFormat="1" x14ac:dyDescent="0.3"/>
    <row r="660" customFormat="1" x14ac:dyDescent="0.3"/>
    <row r="661" customFormat="1" x14ac:dyDescent="0.3"/>
    <row r="662" customFormat="1" x14ac:dyDescent="0.3"/>
    <row r="663" customFormat="1" x14ac:dyDescent="0.3"/>
    <row r="664" customFormat="1" x14ac:dyDescent="0.3"/>
    <row r="665" customFormat="1" x14ac:dyDescent="0.3"/>
    <row r="666" customFormat="1" x14ac:dyDescent="0.3"/>
    <row r="667" customFormat="1" x14ac:dyDescent="0.3"/>
    <row r="668" customFormat="1" x14ac:dyDescent="0.3"/>
    <row r="669" customFormat="1" x14ac:dyDescent="0.3"/>
    <row r="670" customFormat="1" x14ac:dyDescent="0.3"/>
    <row r="671" customFormat="1" x14ac:dyDescent="0.3"/>
    <row r="672" customFormat="1" x14ac:dyDescent="0.3"/>
    <row r="673" customFormat="1" x14ac:dyDescent="0.3"/>
    <row r="674" customFormat="1" x14ac:dyDescent="0.3"/>
    <row r="675" customFormat="1" x14ac:dyDescent="0.3"/>
    <row r="676" customFormat="1" x14ac:dyDescent="0.3"/>
    <row r="677" customFormat="1" x14ac:dyDescent="0.3"/>
    <row r="678" customFormat="1" x14ac:dyDescent="0.3"/>
    <row r="679" customFormat="1" x14ac:dyDescent="0.3"/>
    <row r="680" customFormat="1" x14ac:dyDescent="0.3"/>
    <row r="681" customFormat="1" x14ac:dyDescent="0.3"/>
    <row r="682" customFormat="1" x14ac:dyDescent="0.3"/>
    <row r="683" customFormat="1" x14ac:dyDescent="0.3"/>
    <row r="684" customFormat="1" x14ac:dyDescent="0.3"/>
    <row r="685" customFormat="1" x14ac:dyDescent="0.3"/>
    <row r="686" customFormat="1" x14ac:dyDescent="0.3"/>
    <row r="687" customFormat="1" x14ac:dyDescent="0.3"/>
    <row r="688" customFormat="1" x14ac:dyDescent="0.3"/>
    <row r="689" customFormat="1" x14ac:dyDescent="0.3"/>
    <row r="690" customFormat="1" x14ac:dyDescent="0.3"/>
    <row r="691" customFormat="1" x14ac:dyDescent="0.3"/>
    <row r="692" customFormat="1" x14ac:dyDescent="0.3"/>
    <row r="693" customFormat="1" x14ac:dyDescent="0.3"/>
    <row r="694" customFormat="1" x14ac:dyDescent="0.3"/>
    <row r="695" customFormat="1" x14ac:dyDescent="0.3"/>
    <row r="696" customFormat="1" x14ac:dyDescent="0.3"/>
    <row r="697" customFormat="1" x14ac:dyDescent="0.3"/>
    <row r="698" customFormat="1" x14ac:dyDescent="0.3"/>
    <row r="699" customFormat="1" x14ac:dyDescent="0.3"/>
    <row r="700" customFormat="1" x14ac:dyDescent="0.3"/>
    <row r="701" customFormat="1" x14ac:dyDescent="0.3"/>
    <row r="702" customFormat="1" x14ac:dyDescent="0.3"/>
    <row r="703" customFormat="1" x14ac:dyDescent="0.3"/>
    <row r="704" customFormat="1" x14ac:dyDescent="0.3"/>
    <row r="705" customFormat="1" x14ac:dyDescent="0.3"/>
    <row r="706" customFormat="1" x14ac:dyDescent="0.3"/>
    <row r="707" customFormat="1" x14ac:dyDescent="0.3"/>
    <row r="708" customFormat="1" x14ac:dyDescent="0.3"/>
    <row r="709" customFormat="1" x14ac:dyDescent="0.3"/>
    <row r="710" customFormat="1" x14ac:dyDescent="0.3"/>
    <row r="711" customFormat="1" x14ac:dyDescent="0.3"/>
    <row r="712" customFormat="1" x14ac:dyDescent="0.3"/>
    <row r="713" customFormat="1" x14ac:dyDescent="0.3"/>
    <row r="714" customFormat="1" x14ac:dyDescent="0.3"/>
    <row r="715" customFormat="1" x14ac:dyDescent="0.3"/>
    <row r="716" customFormat="1" x14ac:dyDescent="0.3"/>
    <row r="717" customFormat="1" x14ac:dyDescent="0.3"/>
    <row r="718" customFormat="1" x14ac:dyDescent="0.3"/>
    <row r="719" customFormat="1" x14ac:dyDescent="0.3"/>
    <row r="720" customFormat="1" x14ac:dyDescent="0.3"/>
    <row r="721" customFormat="1" x14ac:dyDescent="0.3"/>
    <row r="722" customFormat="1" x14ac:dyDescent="0.3"/>
    <row r="723" customFormat="1" x14ac:dyDescent="0.3"/>
    <row r="724" customFormat="1" x14ac:dyDescent="0.3"/>
    <row r="725" customFormat="1" x14ac:dyDescent="0.3"/>
    <row r="726" customFormat="1" x14ac:dyDescent="0.3"/>
    <row r="727" customFormat="1" x14ac:dyDescent="0.3"/>
    <row r="728" customFormat="1" x14ac:dyDescent="0.3"/>
    <row r="729" customFormat="1" x14ac:dyDescent="0.3"/>
    <row r="730" customFormat="1" x14ac:dyDescent="0.3"/>
    <row r="731" customFormat="1" x14ac:dyDescent="0.3"/>
    <row r="732" customFormat="1" x14ac:dyDescent="0.3"/>
    <row r="733" customFormat="1" x14ac:dyDescent="0.3"/>
    <row r="734" customFormat="1" x14ac:dyDescent="0.3"/>
    <row r="735" customFormat="1" x14ac:dyDescent="0.3"/>
    <row r="736" customFormat="1" x14ac:dyDescent="0.3"/>
    <row r="737" customFormat="1" x14ac:dyDescent="0.3"/>
    <row r="738" customFormat="1" x14ac:dyDescent="0.3"/>
    <row r="739" customFormat="1" x14ac:dyDescent="0.3"/>
    <row r="740" customFormat="1" x14ac:dyDescent="0.3"/>
    <row r="741" customFormat="1" x14ac:dyDescent="0.3"/>
    <row r="742" customFormat="1" x14ac:dyDescent="0.3"/>
    <row r="743" customFormat="1" x14ac:dyDescent="0.3"/>
    <row r="744" customFormat="1" x14ac:dyDescent="0.3"/>
    <row r="745" customFormat="1" x14ac:dyDescent="0.3"/>
    <row r="746" customFormat="1" x14ac:dyDescent="0.3"/>
    <row r="747" customFormat="1" x14ac:dyDescent="0.3"/>
    <row r="748" customFormat="1" x14ac:dyDescent="0.3"/>
    <row r="749" customFormat="1" x14ac:dyDescent="0.3"/>
    <row r="750" customFormat="1" x14ac:dyDescent="0.3"/>
    <row r="751" customFormat="1" x14ac:dyDescent="0.3"/>
    <row r="752" customFormat="1" x14ac:dyDescent="0.3"/>
    <row r="753" customFormat="1" x14ac:dyDescent="0.3"/>
    <row r="754" customFormat="1" x14ac:dyDescent="0.3"/>
    <row r="755" customFormat="1" x14ac:dyDescent="0.3"/>
    <row r="756" customFormat="1" x14ac:dyDescent="0.3"/>
    <row r="757" customFormat="1" x14ac:dyDescent="0.3"/>
    <row r="758" customFormat="1" x14ac:dyDescent="0.3"/>
    <row r="759" customFormat="1" x14ac:dyDescent="0.3"/>
    <row r="760" customFormat="1" x14ac:dyDescent="0.3"/>
    <row r="761" customFormat="1" x14ac:dyDescent="0.3"/>
    <row r="762" customFormat="1" x14ac:dyDescent="0.3"/>
    <row r="763" customFormat="1" x14ac:dyDescent="0.3"/>
    <row r="764" customFormat="1" x14ac:dyDescent="0.3"/>
    <row r="765" customFormat="1" x14ac:dyDescent="0.3"/>
    <row r="766" customFormat="1" x14ac:dyDescent="0.3"/>
    <row r="767" customFormat="1" x14ac:dyDescent="0.3"/>
    <row r="768" customFormat="1" x14ac:dyDescent="0.3"/>
    <row r="769" customFormat="1" x14ac:dyDescent="0.3"/>
    <row r="770" customFormat="1" x14ac:dyDescent="0.3"/>
    <row r="771" customFormat="1" x14ac:dyDescent="0.3"/>
    <row r="772" customFormat="1" x14ac:dyDescent="0.3"/>
    <row r="773" customFormat="1" x14ac:dyDescent="0.3"/>
    <row r="774" customFormat="1" x14ac:dyDescent="0.3"/>
    <row r="775" customFormat="1" x14ac:dyDescent="0.3"/>
    <row r="776" customFormat="1" x14ac:dyDescent="0.3"/>
    <row r="777" customFormat="1" x14ac:dyDescent="0.3"/>
    <row r="778" customFormat="1" x14ac:dyDescent="0.3"/>
    <row r="779" customFormat="1" x14ac:dyDescent="0.3"/>
    <row r="780" customFormat="1" x14ac:dyDescent="0.3"/>
    <row r="781" customFormat="1" x14ac:dyDescent="0.3"/>
    <row r="782" customFormat="1" x14ac:dyDescent="0.3"/>
    <row r="783" customFormat="1" x14ac:dyDescent="0.3"/>
    <row r="784" customFormat="1" x14ac:dyDescent="0.3"/>
    <row r="785" customFormat="1" x14ac:dyDescent="0.3"/>
    <row r="786" customFormat="1" x14ac:dyDescent="0.3"/>
    <row r="787" customFormat="1" x14ac:dyDescent="0.3"/>
    <row r="788" customFormat="1" x14ac:dyDescent="0.3"/>
    <row r="789" customFormat="1" x14ac:dyDescent="0.3"/>
    <row r="790" customFormat="1" x14ac:dyDescent="0.3"/>
    <row r="791" customFormat="1" x14ac:dyDescent="0.3"/>
    <row r="792" customFormat="1" x14ac:dyDescent="0.3"/>
    <row r="793" customFormat="1" x14ac:dyDescent="0.3"/>
    <row r="794" customFormat="1" x14ac:dyDescent="0.3"/>
    <row r="795" customFormat="1" x14ac:dyDescent="0.3"/>
    <row r="796" customFormat="1" x14ac:dyDescent="0.3"/>
    <row r="797" customFormat="1" x14ac:dyDescent="0.3"/>
    <row r="798" customFormat="1" x14ac:dyDescent="0.3"/>
    <row r="799" customFormat="1" x14ac:dyDescent="0.3"/>
    <row r="800" customFormat="1" x14ac:dyDescent="0.3"/>
    <row r="801" customFormat="1" x14ac:dyDescent="0.3"/>
    <row r="802" customFormat="1" x14ac:dyDescent="0.3"/>
    <row r="803" customFormat="1" x14ac:dyDescent="0.3"/>
    <row r="804" customFormat="1" x14ac:dyDescent="0.3"/>
    <row r="805" customFormat="1" x14ac:dyDescent="0.3"/>
    <row r="806" customFormat="1" x14ac:dyDescent="0.3"/>
    <row r="807" customFormat="1" x14ac:dyDescent="0.3"/>
    <row r="808" customFormat="1" x14ac:dyDescent="0.3"/>
    <row r="809" customFormat="1" x14ac:dyDescent="0.3"/>
    <row r="810" customFormat="1" x14ac:dyDescent="0.3"/>
    <row r="811" customFormat="1" x14ac:dyDescent="0.3"/>
    <row r="812" customFormat="1" x14ac:dyDescent="0.3"/>
    <row r="813" customFormat="1" x14ac:dyDescent="0.3"/>
    <row r="814" customFormat="1" x14ac:dyDescent="0.3"/>
    <row r="815" customFormat="1" x14ac:dyDescent="0.3"/>
    <row r="816" customFormat="1" x14ac:dyDescent="0.3"/>
    <row r="817" customFormat="1" x14ac:dyDescent="0.3"/>
    <row r="818" customFormat="1" x14ac:dyDescent="0.3"/>
    <row r="819" customFormat="1" x14ac:dyDescent="0.3"/>
    <row r="820" customFormat="1" x14ac:dyDescent="0.3"/>
    <row r="821" customFormat="1" x14ac:dyDescent="0.3"/>
    <row r="822" customFormat="1" x14ac:dyDescent="0.3"/>
    <row r="823" customFormat="1" x14ac:dyDescent="0.3"/>
    <row r="824" customFormat="1" x14ac:dyDescent="0.3"/>
    <row r="825" customFormat="1" x14ac:dyDescent="0.3"/>
    <row r="826" customFormat="1" x14ac:dyDescent="0.3"/>
    <row r="827" customFormat="1" x14ac:dyDescent="0.3"/>
    <row r="828" customFormat="1" x14ac:dyDescent="0.3"/>
    <row r="829" customFormat="1" x14ac:dyDescent="0.3"/>
    <row r="830" customFormat="1" x14ac:dyDescent="0.3"/>
    <row r="831" customFormat="1" x14ac:dyDescent="0.3"/>
    <row r="832" customFormat="1" x14ac:dyDescent="0.3"/>
    <row r="833" customFormat="1" x14ac:dyDescent="0.3"/>
    <row r="834" customFormat="1" x14ac:dyDescent="0.3"/>
    <row r="835" customFormat="1" x14ac:dyDescent="0.3"/>
    <row r="836" customFormat="1" x14ac:dyDescent="0.3"/>
    <row r="837" customFormat="1" x14ac:dyDescent="0.3"/>
    <row r="838" customFormat="1" x14ac:dyDescent="0.3"/>
    <row r="839" customFormat="1" x14ac:dyDescent="0.3"/>
    <row r="840" customFormat="1" x14ac:dyDescent="0.3"/>
    <row r="841" customFormat="1" x14ac:dyDescent="0.3"/>
    <row r="842" customFormat="1" x14ac:dyDescent="0.3"/>
    <row r="843" customFormat="1" x14ac:dyDescent="0.3"/>
    <row r="844" customFormat="1" x14ac:dyDescent="0.3"/>
    <row r="845" customFormat="1" x14ac:dyDescent="0.3"/>
    <row r="846" customFormat="1" x14ac:dyDescent="0.3"/>
    <row r="847" customFormat="1" x14ac:dyDescent="0.3"/>
    <row r="848" customFormat="1" x14ac:dyDescent="0.3"/>
    <row r="849" customFormat="1" x14ac:dyDescent="0.3"/>
    <row r="850" customFormat="1" x14ac:dyDescent="0.3"/>
    <row r="851" customFormat="1" x14ac:dyDescent="0.3"/>
    <row r="852" customFormat="1" x14ac:dyDescent="0.3"/>
    <row r="853" customFormat="1" x14ac:dyDescent="0.3"/>
    <row r="854" customFormat="1" x14ac:dyDescent="0.3"/>
    <row r="855" customFormat="1" x14ac:dyDescent="0.3"/>
    <row r="856" customFormat="1" x14ac:dyDescent="0.3"/>
    <row r="857" customFormat="1" x14ac:dyDescent="0.3"/>
    <row r="858" customFormat="1" x14ac:dyDescent="0.3"/>
    <row r="859" customFormat="1" x14ac:dyDescent="0.3"/>
    <row r="860" customFormat="1" x14ac:dyDescent="0.3"/>
    <row r="861" customFormat="1" x14ac:dyDescent="0.3"/>
    <row r="862" customFormat="1" x14ac:dyDescent="0.3"/>
    <row r="863" customFormat="1" x14ac:dyDescent="0.3"/>
    <row r="864" customFormat="1" x14ac:dyDescent="0.3"/>
    <row r="865" customFormat="1" x14ac:dyDescent="0.3"/>
    <row r="866" customFormat="1" x14ac:dyDescent="0.3"/>
    <row r="867" customFormat="1" x14ac:dyDescent="0.3"/>
    <row r="868" customFormat="1" x14ac:dyDescent="0.3"/>
    <row r="869" customFormat="1" x14ac:dyDescent="0.3"/>
    <row r="870" customFormat="1" x14ac:dyDescent="0.3"/>
    <row r="871" customFormat="1" x14ac:dyDescent="0.3"/>
    <row r="872" customFormat="1" x14ac:dyDescent="0.3"/>
    <row r="873" customFormat="1" x14ac:dyDescent="0.3"/>
    <row r="874" customFormat="1" x14ac:dyDescent="0.3"/>
    <row r="875" customFormat="1" x14ac:dyDescent="0.3"/>
    <row r="876" customFormat="1" x14ac:dyDescent="0.3"/>
    <row r="877" customFormat="1" x14ac:dyDescent="0.3"/>
    <row r="878" customFormat="1" x14ac:dyDescent="0.3"/>
    <row r="879" customFormat="1" x14ac:dyDescent="0.3"/>
    <row r="880" customFormat="1" x14ac:dyDescent="0.3"/>
    <row r="881" customFormat="1" x14ac:dyDescent="0.3"/>
    <row r="882" customFormat="1" x14ac:dyDescent="0.3"/>
    <row r="883" customFormat="1" x14ac:dyDescent="0.3"/>
    <row r="884" customFormat="1" x14ac:dyDescent="0.3"/>
    <row r="885" customFormat="1" x14ac:dyDescent="0.3"/>
    <row r="886" customFormat="1" x14ac:dyDescent="0.3"/>
    <row r="887" customFormat="1" x14ac:dyDescent="0.3"/>
    <row r="888" customFormat="1" x14ac:dyDescent="0.3"/>
    <row r="889" customFormat="1" x14ac:dyDescent="0.3"/>
    <row r="890" customFormat="1" x14ac:dyDescent="0.3"/>
    <row r="891" customFormat="1" x14ac:dyDescent="0.3"/>
    <row r="892" customFormat="1" x14ac:dyDescent="0.3"/>
    <row r="893" customFormat="1" x14ac:dyDescent="0.3"/>
    <row r="894" customFormat="1" x14ac:dyDescent="0.3"/>
    <row r="895" customFormat="1" x14ac:dyDescent="0.3"/>
    <row r="896" customFormat="1" x14ac:dyDescent="0.3"/>
    <row r="897" customFormat="1" x14ac:dyDescent="0.3"/>
    <row r="898" customFormat="1" x14ac:dyDescent="0.3"/>
    <row r="899" customFormat="1" x14ac:dyDescent="0.3"/>
    <row r="900" customFormat="1" x14ac:dyDescent="0.3"/>
    <row r="901" customFormat="1" x14ac:dyDescent="0.3"/>
    <row r="902" customFormat="1" x14ac:dyDescent="0.3"/>
    <row r="903" customFormat="1" x14ac:dyDescent="0.3"/>
    <row r="904" customFormat="1" x14ac:dyDescent="0.3"/>
    <row r="905" customFormat="1" x14ac:dyDescent="0.3"/>
    <row r="906" customFormat="1" x14ac:dyDescent="0.3"/>
    <row r="907" customFormat="1" x14ac:dyDescent="0.3"/>
    <row r="908" customFormat="1" x14ac:dyDescent="0.3"/>
    <row r="909" customFormat="1" x14ac:dyDescent="0.3"/>
    <row r="910" customFormat="1" x14ac:dyDescent="0.3"/>
    <row r="911" customFormat="1" x14ac:dyDescent="0.3"/>
    <row r="912" customFormat="1" x14ac:dyDescent="0.3"/>
    <row r="913" customFormat="1" x14ac:dyDescent="0.3"/>
    <row r="914" customFormat="1" x14ac:dyDescent="0.3"/>
    <row r="915" customFormat="1" x14ac:dyDescent="0.3"/>
    <row r="916" customFormat="1" x14ac:dyDescent="0.3"/>
    <row r="917" customFormat="1" x14ac:dyDescent="0.3"/>
    <row r="918" customFormat="1" x14ac:dyDescent="0.3"/>
    <row r="919" customFormat="1" x14ac:dyDescent="0.3"/>
    <row r="920" customFormat="1" x14ac:dyDescent="0.3"/>
    <row r="921" customFormat="1" x14ac:dyDescent="0.3"/>
    <row r="922" customFormat="1" x14ac:dyDescent="0.3"/>
    <row r="923" customFormat="1" x14ac:dyDescent="0.3"/>
    <row r="924" customFormat="1" x14ac:dyDescent="0.3"/>
    <row r="925" customFormat="1" x14ac:dyDescent="0.3"/>
    <row r="926" customFormat="1" x14ac:dyDescent="0.3"/>
    <row r="927" customFormat="1" x14ac:dyDescent="0.3"/>
    <row r="928" customFormat="1" x14ac:dyDescent="0.3"/>
    <row r="929" customFormat="1" x14ac:dyDescent="0.3"/>
    <row r="930" customFormat="1" x14ac:dyDescent="0.3"/>
    <row r="931" customFormat="1" x14ac:dyDescent="0.3"/>
    <row r="932" customFormat="1" x14ac:dyDescent="0.3"/>
    <row r="933" customFormat="1" x14ac:dyDescent="0.3"/>
    <row r="934" customFormat="1" x14ac:dyDescent="0.3"/>
    <row r="935" customFormat="1" x14ac:dyDescent="0.3"/>
    <row r="936" customFormat="1" x14ac:dyDescent="0.3"/>
    <row r="937" customFormat="1" x14ac:dyDescent="0.3"/>
    <row r="938" customFormat="1" x14ac:dyDescent="0.3"/>
    <row r="939" customFormat="1" x14ac:dyDescent="0.3"/>
    <row r="940" customFormat="1" x14ac:dyDescent="0.3"/>
    <row r="941" customFormat="1" x14ac:dyDescent="0.3"/>
    <row r="942" customFormat="1" x14ac:dyDescent="0.3"/>
    <row r="943" customFormat="1" x14ac:dyDescent="0.3"/>
    <row r="944" customFormat="1" x14ac:dyDescent="0.3"/>
    <row r="945" customFormat="1" x14ac:dyDescent="0.3"/>
    <row r="946" customFormat="1" x14ac:dyDescent="0.3"/>
    <row r="947" customFormat="1" x14ac:dyDescent="0.3"/>
    <row r="948" customFormat="1" x14ac:dyDescent="0.3"/>
    <row r="949" customFormat="1" x14ac:dyDescent="0.3"/>
    <row r="950" customFormat="1" x14ac:dyDescent="0.3"/>
    <row r="951" customFormat="1" x14ac:dyDescent="0.3"/>
    <row r="952" customFormat="1" x14ac:dyDescent="0.3"/>
    <row r="953" customFormat="1" x14ac:dyDescent="0.3"/>
    <row r="954" customFormat="1" x14ac:dyDescent="0.3"/>
    <row r="955" customFormat="1" x14ac:dyDescent="0.3"/>
    <row r="956" customFormat="1" x14ac:dyDescent="0.3"/>
    <row r="957" customFormat="1" x14ac:dyDescent="0.3"/>
    <row r="958" customFormat="1" x14ac:dyDescent="0.3"/>
    <row r="959" customFormat="1" x14ac:dyDescent="0.3"/>
    <row r="960" customFormat="1" x14ac:dyDescent="0.3"/>
    <row r="961" customFormat="1" x14ac:dyDescent="0.3"/>
    <row r="962" customFormat="1" x14ac:dyDescent="0.3"/>
    <row r="963" customFormat="1" x14ac:dyDescent="0.3"/>
    <row r="964" customFormat="1" x14ac:dyDescent="0.3"/>
    <row r="965" customFormat="1" x14ac:dyDescent="0.3"/>
    <row r="966" customFormat="1" x14ac:dyDescent="0.3"/>
    <row r="967" customFormat="1" x14ac:dyDescent="0.3"/>
    <row r="968" customFormat="1" x14ac:dyDescent="0.3"/>
    <row r="969" customFormat="1" x14ac:dyDescent="0.3"/>
    <row r="970" customFormat="1" x14ac:dyDescent="0.3"/>
    <row r="971" customFormat="1" x14ac:dyDescent="0.3"/>
    <row r="972" customFormat="1" x14ac:dyDescent="0.3"/>
    <row r="973" customFormat="1" x14ac:dyDescent="0.3"/>
    <row r="974" customFormat="1" x14ac:dyDescent="0.3"/>
    <row r="975" customFormat="1" x14ac:dyDescent="0.3"/>
    <row r="976" customFormat="1" x14ac:dyDescent="0.3"/>
    <row r="977" customFormat="1" x14ac:dyDescent="0.3"/>
    <row r="978" customFormat="1" x14ac:dyDescent="0.3"/>
    <row r="979" customFormat="1" x14ac:dyDescent="0.3"/>
    <row r="980" customFormat="1" x14ac:dyDescent="0.3"/>
    <row r="981" customFormat="1" x14ac:dyDescent="0.3"/>
    <row r="982" customFormat="1" x14ac:dyDescent="0.3"/>
    <row r="983" customFormat="1" x14ac:dyDescent="0.3"/>
    <row r="984" customFormat="1" x14ac:dyDescent="0.3"/>
    <row r="985" customFormat="1" x14ac:dyDescent="0.3"/>
    <row r="986" customFormat="1" x14ac:dyDescent="0.3"/>
    <row r="987" customFormat="1" x14ac:dyDescent="0.3"/>
    <row r="988" customFormat="1" x14ac:dyDescent="0.3"/>
    <row r="989" customFormat="1" x14ac:dyDescent="0.3"/>
    <row r="990" customFormat="1" x14ac:dyDescent="0.3"/>
    <row r="991" customFormat="1" x14ac:dyDescent="0.3"/>
    <row r="992" customFormat="1" x14ac:dyDescent="0.3"/>
    <row r="993" customFormat="1" x14ac:dyDescent="0.3"/>
    <row r="994" customFormat="1" x14ac:dyDescent="0.3"/>
    <row r="995" customFormat="1" x14ac:dyDescent="0.3"/>
    <row r="996" customFormat="1" x14ac:dyDescent="0.3"/>
    <row r="997" customFormat="1" x14ac:dyDescent="0.3"/>
    <row r="998" customFormat="1" x14ac:dyDescent="0.3"/>
    <row r="999" customFormat="1" x14ac:dyDescent="0.3"/>
    <row r="1000" customFormat="1" x14ac:dyDescent="0.3"/>
    <row r="1001" customFormat="1" x14ac:dyDescent="0.3"/>
    <row r="1002" customFormat="1" x14ac:dyDescent="0.3"/>
    <row r="1003" customFormat="1" x14ac:dyDescent="0.3"/>
    <row r="1004" customFormat="1" x14ac:dyDescent="0.3"/>
    <row r="1005" customFormat="1" x14ac:dyDescent="0.3"/>
    <row r="1006" customFormat="1" x14ac:dyDescent="0.3"/>
    <row r="1007" customFormat="1" x14ac:dyDescent="0.3"/>
    <row r="1008" customFormat="1" x14ac:dyDescent="0.3"/>
    <row r="1009" customFormat="1" x14ac:dyDescent="0.3"/>
    <row r="1010" customFormat="1" x14ac:dyDescent="0.3"/>
    <row r="1011" customFormat="1" x14ac:dyDescent="0.3"/>
    <row r="1012" customFormat="1" x14ac:dyDescent="0.3"/>
    <row r="1013" customFormat="1" x14ac:dyDescent="0.3"/>
    <row r="1014" customFormat="1" x14ac:dyDescent="0.3"/>
    <row r="1015" customFormat="1" x14ac:dyDescent="0.3"/>
    <row r="1016" customFormat="1" x14ac:dyDescent="0.3"/>
    <row r="1017" customFormat="1" x14ac:dyDescent="0.3"/>
    <row r="1018" customFormat="1" x14ac:dyDescent="0.3"/>
    <row r="1019" customFormat="1" x14ac:dyDescent="0.3"/>
    <row r="1020" customFormat="1" x14ac:dyDescent="0.3"/>
    <row r="1021" customFormat="1" x14ac:dyDescent="0.3"/>
    <row r="1022" customFormat="1" x14ac:dyDescent="0.3"/>
    <row r="1023" customFormat="1" x14ac:dyDescent="0.3"/>
    <row r="1024" customFormat="1" x14ac:dyDescent="0.3"/>
    <row r="1025" customFormat="1" x14ac:dyDescent="0.3"/>
    <row r="1026" customFormat="1" x14ac:dyDescent="0.3"/>
    <row r="1027" customFormat="1" x14ac:dyDescent="0.3"/>
    <row r="1028" customFormat="1" x14ac:dyDescent="0.3"/>
    <row r="1029" customFormat="1" x14ac:dyDescent="0.3"/>
    <row r="1030" customFormat="1" x14ac:dyDescent="0.3"/>
    <row r="1031" customFormat="1" x14ac:dyDescent="0.3"/>
    <row r="1032" customFormat="1" x14ac:dyDescent="0.3"/>
    <row r="1033" customFormat="1" x14ac:dyDescent="0.3"/>
    <row r="1034" customFormat="1" x14ac:dyDescent="0.3"/>
    <row r="1035" customFormat="1" x14ac:dyDescent="0.3"/>
    <row r="1036" customFormat="1" x14ac:dyDescent="0.3"/>
    <row r="1037" customFormat="1" x14ac:dyDescent="0.3"/>
    <row r="1038" customFormat="1" x14ac:dyDescent="0.3"/>
    <row r="1039" customFormat="1" x14ac:dyDescent="0.3"/>
    <row r="1040" customFormat="1" x14ac:dyDescent="0.3"/>
    <row r="1041" customFormat="1" x14ac:dyDescent="0.3"/>
    <row r="1042" customFormat="1" x14ac:dyDescent="0.3"/>
    <row r="1043" customFormat="1" x14ac:dyDescent="0.3"/>
    <row r="1044" customFormat="1" x14ac:dyDescent="0.3"/>
    <row r="1045" customFormat="1" x14ac:dyDescent="0.3"/>
    <row r="1046" customFormat="1" x14ac:dyDescent="0.3"/>
    <row r="1047" customFormat="1" x14ac:dyDescent="0.3"/>
    <row r="1048" customFormat="1" x14ac:dyDescent="0.3"/>
    <row r="1049" customFormat="1" x14ac:dyDescent="0.3"/>
    <row r="1050" customFormat="1" x14ac:dyDescent="0.3"/>
    <row r="1051" customFormat="1" x14ac:dyDescent="0.3"/>
    <row r="1052" customFormat="1" x14ac:dyDescent="0.3"/>
    <row r="1053" customFormat="1" x14ac:dyDescent="0.3"/>
    <row r="1054" customFormat="1" x14ac:dyDescent="0.3"/>
    <row r="1055" customFormat="1" x14ac:dyDescent="0.3"/>
    <row r="1056" customFormat="1" x14ac:dyDescent="0.3"/>
    <row r="1057" customFormat="1" x14ac:dyDescent="0.3"/>
    <row r="1058" customFormat="1" x14ac:dyDescent="0.3"/>
    <row r="1059" customFormat="1" x14ac:dyDescent="0.3"/>
    <row r="1060" customFormat="1" x14ac:dyDescent="0.3"/>
    <row r="1061" customFormat="1" x14ac:dyDescent="0.3"/>
    <row r="1062" customFormat="1" x14ac:dyDescent="0.3"/>
    <row r="1063" customFormat="1" x14ac:dyDescent="0.3"/>
    <row r="1064" customFormat="1" x14ac:dyDescent="0.3"/>
    <row r="1065" customFormat="1" x14ac:dyDescent="0.3"/>
    <row r="1066" customFormat="1" x14ac:dyDescent="0.3"/>
    <row r="1067" customFormat="1" x14ac:dyDescent="0.3"/>
    <row r="1068" customFormat="1" x14ac:dyDescent="0.3"/>
    <row r="1069" customFormat="1" x14ac:dyDescent="0.3"/>
    <row r="1070" customFormat="1" x14ac:dyDescent="0.3"/>
    <row r="1071" customFormat="1" x14ac:dyDescent="0.3"/>
    <row r="1072" customFormat="1" x14ac:dyDescent="0.3"/>
    <row r="1073" customFormat="1" x14ac:dyDescent="0.3"/>
    <row r="1074" customFormat="1" x14ac:dyDescent="0.3"/>
    <row r="1075" customFormat="1" x14ac:dyDescent="0.3"/>
    <row r="1076" customFormat="1" x14ac:dyDescent="0.3"/>
    <row r="1077" customFormat="1" x14ac:dyDescent="0.3"/>
    <row r="1078" customFormat="1" x14ac:dyDescent="0.3"/>
    <row r="1079" customFormat="1" x14ac:dyDescent="0.3"/>
    <row r="1080" customFormat="1" x14ac:dyDescent="0.3"/>
    <row r="1081" customFormat="1" x14ac:dyDescent="0.3"/>
    <row r="1082" customFormat="1" x14ac:dyDescent="0.3"/>
    <row r="1083" customFormat="1" x14ac:dyDescent="0.3"/>
    <row r="1084" customFormat="1" x14ac:dyDescent="0.3"/>
    <row r="1085" customFormat="1" x14ac:dyDescent="0.3"/>
    <row r="1086" customFormat="1" x14ac:dyDescent="0.3"/>
    <row r="1087" customFormat="1" x14ac:dyDescent="0.3"/>
    <row r="1088" customFormat="1" x14ac:dyDescent="0.3"/>
    <row r="1089" customFormat="1" x14ac:dyDescent="0.3"/>
    <row r="1090" customFormat="1" x14ac:dyDescent="0.3"/>
    <row r="1091" customFormat="1" x14ac:dyDescent="0.3"/>
    <row r="1092" customFormat="1" x14ac:dyDescent="0.3"/>
    <row r="1093" customFormat="1" x14ac:dyDescent="0.3"/>
    <row r="1094" customFormat="1" x14ac:dyDescent="0.3"/>
    <row r="1095" customFormat="1" x14ac:dyDescent="0.3"/>
    <row r="1096" customFormat="1" x14ac:dyDescent="0.3"/>
    <row r="1097" customFormat="1" x14ac:dyDescent="0.3"/>
    <row r="1098" customFormat="1" x14ac:dyDescent="0.3"/>
    <row r="1099" customFormat="1" x14ac:dyDescent="0.3"/>
    <row r="1100" customFormat="1" x14ac:dyDescent="0.3"/>
    <row r="1101" customFormat="1" x14ac:dyDescent="0.3"/>
    <row r="1102" customFormat="1" x14ac:dyDescent="0.3"/>
    <row r="1103" customFormat="1" x14ac:dyDescent="0.3"/>
    <row r="1104" customFormat="1" x14ac:dyDescent="0.3"/>
    <row r="1105" customFormat="1" x14ac:dyDescent="0.3"/>
    <row r="1106" customFormat="1" x14ac:dyDescent="0.3"/>
    <row r="1107" customFormat="1" x14ac:dyDescent="0.3"/>
    <row r="1108" customFormat="1" x14ac:dyDescent="0.3"/>
    <row r="1109" customFormat="1" x14ac:dyDescent="0.3"/>
    <row r="1110" customFormat="1" x14ac:dyDescent="0.3"/>
    <row r="1111" customFormat="1" x14ac:dyDescent="0.3"/>
    <row r="1112" customFormat="1" x14ac:dyDescent="0.3"/>
    <row r="1113" customFormat="1" x14ac:dyDescent="0.3"/>
    <row r="1114" customFormat="1" x14ac:dyDescent="0.3"/>
    <row r="1115" customFormat="1" x14ac:dyDescent="0.3"/>
    <row r="1116" customFormat="1" x14ac:dyDescent="0.3"/>
    <row r="1117" customFormat="1" x14ac:dyDescent="0.3"/>
    <row r="1118" customFormat="1" x14ac:dyDescent="0.3"/>
    <row r="1119" customFormat="1" x14ac:dyDescent="0.3"/>
    <row r="1120" customFormat="1" x14ac:dyDescent="0.3"/>
    <row r="1121" customFormat="1" x14ac:dyDescent="0.3"/>
    <row r="1122" customFormat="1" x14ac:dyDescent="0.3"/>
    <row r="1123" customFormat="1" x14ac:dyDescent="0.3"/>
    <row r="1124" customFormat="1" x14ac:dyDescent="0.3"/>
    <row r="1125" customFormat="1" x14ac:dyDescent="0.3"/>
    <row r="1126" customFormat="1" x14ac:dyDescent="0.3"/>
    <row r="1127" customFormat="1" x14ac:dyDescent="0.3"/>
    <row r="1128" customFormat="1" x14ac:dyDescent="0.3"/>
    <row r="1129" customFormat="1" x14ac:dyDescent="0.3"/>
    <row r="1130" customFormat="1" x14ac:dyDescent="0.3"/>
    <row r="1131" customFormat="1" x14ac:dyDescent="0.3"/>
    <row r="1132" customFormat="1" x14ac:dyDescent="0.3"/>
    <row r="1133" customFormat="1" x14ac:dyDescent="0.3"/>
    <row r="1134" customFormat="1" x14ac:dyDescent="0.3"/>
    <row r="1135" customFormat="1" x14ac:dyDescent="0.3"/>
    <row r="1136" customFormat="1" x14ac:dyDescent="0.3"/>
    <row r="1137" customFormat="1" x14ac:dyDescent="0.3"/>
    <row r="1138" customFormat="1" x14ac:dyDescent="0.3"/>
    <row r="1139" customFormat="1" x14ac:dyDescent="0.3"/>
    <row r="1140" customFormat="1" x14ac:dyDescent="0.3"/>
    <row r="1141" customFormat="1" x14ac:dyDescent="0.3"/>
    <row r="1142" customFormat="1" x14ac:dyDescent="0.3"/>
    <row r="1143" customFormat="1" x14ac:dyDescent="0.3"/>
    <row r="1144" customFormat="1" x14ac:dyDescent="0.3"/>
    <row r="1145" customFormat="1" x14ac:dyDescent="0.3"/>
    <row r="1146" customFormat="1" x14ac:dyDescent="0.3"/>
    <row r="1147" customFormat="1" x14ac:dyDescent="0.3"/>
    <row r="1148" customFormat="1" x14ac:dyDescent="0.3"/>
    <row r="1149" customFormat="1" x14ac:dyDescent="0.3"/>
    <row r="1150" customFormat="1" x14ac:dyDescent="0.3"/>
    <row r="1151" customFormat="1" x14ac:dyDescent="0.3"/>
    <row r="1152" customFormat="1" x14ac:dyDescent="0.3"/>
    <row r="1153" customFormat="1" x14ac:dyDescent="0.3"/>
    <row r="1154" customFormat="1" x14ac:dyDescent="0.3"/>
    <row r="1155" customFormat="1" x14ac:dyDescent="0.3"/>
    <row r="1156" customFormat="1" x14ac:dyDescent="0.3"/>
    <row r="1157" customFormat="1" x14ac:dyDescent="0.3"/>
    <row r="1158" customFormat="1" x14ac:dyDescent="0.3"/>
    <row r="1159" customFormat="1" x14ac:dyDescent="0.3"/>
    <row r="1160" customFormat="1" x14ac:dyDescent="0.3"/>
    <row r="1161" customFormat="1" x14ac:dyDescent="0.3"/>
    <row r="1162" customFormat="1" x14ac:dyDescent="0.3"/>
    <row r="1163" customFormat="1" x14ac:dyDescent="0.3"/>
    <row r="1164" customFormat="1" x14ac:dyDescent="0.3"/>
    <row r="1165" customFormat="1" x14ac:dyDescent="0.3"/>
    <row r="1166" customFormat="1" x14ac:dyDescent="0.3"/>
    <row r="1167" customFormat="1" x14ac:dyDescent="0.3"/>
    <row r="1168" customFormat="1" x14ac:dyDescent="0.3"/>
    <row r="1169" customFormat="1" x14ac:dyDescent="0.3"/>
    <row r="1170" customFormat="1" x14ac:dyDescent="0.3"/>
    <row r="1171" customFormat="1" x14ac:dyDescent="0.3"/>
    <row r="1172" customFormat="1" x14ac:dyDescent="0.3"/>
    <row r="1173" customFormat="1" x14ac:dyDescent="0.3"/>
    <row r="1174" customFormat="1" x14ac:dyDescent="0.3"/>
    <row r="1175" customFormat="1" x14ac:dyDescent="0.3"/>
    <row r="1176" customFormat="1" x14ac:dyDescent="0.3"/>
    <row r="1177" customFormat="1" x14ac:dyDescent="0.3"/>
    <row r="1178" customFormat="1" x14ac:dyDescent="0.3"/>
    <row r="1179" customFormat="1" x14ac:dyDescent="0.3"/>
    <row r="1180" customFormat="1" x14ac:dyDescent="0.3"/>
    <row r="1181" customFormat="1" x14ac:dyDescent="0.3"/>
    <row r="1182" customFormat="1" x14ac:dyDescent="0.3"/>
    <row r="1183" customFormat="1" x14ac:dyDescent="0.3"/>
    <row r="1184" customFormat="1" x14ac:dyDescent="0.3"/>
    <row r="1185" customFormat="1" x14ac:dyDescent="0.3"/>
    <row r="1186" customFormat="1" x14ac:dyDescent="0.3"/>
    <row r="1187" customFormat="1" x14ac:dyDescent="0.3"/>
    <row r="1188" customFormat="1" x14ac:dyDescent="0.3"/>
    <row r="1189" customFormat="1" x14ac:dyDescent="0.3"/>
    <row r="1190" customFormat="1" x14ac:dyDescent="0.3"/>
    <row r="1191" customFormat="1" x14ac:dyDescent="0.3"/>
    <row r="1192" customFormat="1" x14ac:dyDescent="0.3"/>
    <row r="1193" customFormat="1" x14ac:dyDescent="0.3"/>
    <row r="1194" customFormat="1" x14ac:dyDescent="0.3"/>
    <row r="1195" customFormat="1" x14ac:dyDescent="0.3"/>
    <row r="1196" customFormat="1" x14ac:dyDescent="0.3"/>
    <row r="1197" customFormat="1" x14ac:dyDescent="0.3"/>
    <row r="1198" customFormat="1" x14ac:dyDescent="0.3"/>
    <row r="1199" customFormat="1" x14ac:dyDescent="0.3"/>
    <row r="1200" customFormat="1" x14ac:dyDescent="0.3"/>
    <row r="1201" customFormat="1" x14ac:dyDescent="0.3"/>
    <row r="1202" customFormat="1" x14ac:dyDescent="0.3"/>
    <row r="1203" customFormat="1" x14ac:dyDescent="0.3"/>
    <row r="1204" customFormat="1" x14ac:dyDescent="0.3"/>
    <row r="1205" customFormat="1" x14ac:dyDescent="0.3"/>
    <row r="1206" customFormat="1" x14ac:dyDescent="0.3"/>
    <row r="1207" customFormat="1" x14ac:dyDescent="0.3"/>
    <row r="1208" customFormat="1" x14ac:dyDescent="0.3"/>
    <row r="1209" customFormat="1" x14ac:dyDescent="0.3"/>
    <row r="1210" customFormat="1" x14ac:dyDescent="0.3"/>
    <row r="1211" customFormat="1" x14ac:dyDescent="0.3"/>
    <row r="1212" customFormat="1" x14ac:dyDescent="0.3"/>
    <row r="1213" customFormat="1" x14ac:dyDescent="0.3"/>
    <row r="1214" customFormat="1" x14ac:dyDescent="0.3"/>
    <row r="1215" customFormat="1" x14ac:dyDescent="0.3"/>
    <row r="1216" customFormat="1" x14ac:dyDescent="0.3"/>
    <row r="1217" customFormat="1" x14ac:dyDescent="0.3"/>
    <row r="1218" customFormat="1" x14ac:dyDescent="0.3"/>
    <row r="1219" customFormat="1" x14ac:dyDescent="0.3"/>
    <row r="1220" customFormat="1" x14ac:dyDescent="0.3"/>
    <row r="1221" customFormat="1" x14ac:dyDescent="0.3"/>
    <row r="1222" customFormat="1" x14ac:dyDescent="0.3"/>
    <row r="1223" customFormat="1" x14ac:dyDescent="0.3"/>
    <row r="1224" customFormat="1" x14ac:dyDescent="0.3"/>
    <row r="1225" customFormat="1" x14ac:dyDescent="0.3"/>
    <row r="1226" customFormat="1" x14ac:dyDescent="0.3"/>
    <row r="1227" customFormat="1" x14ac:dyDescent="0.3"/>
    <row r="1228" customFormat="1" x14ac:dyDescent="0.3"/>
    <row r="1229" customFormat="1" x14ac:dyDescent="0.3"/>
    <row r="1230" customFormat="1" x14ac:dyDescent="0.3"/>
    <row r="1231" customFormat="1" x14ac:dyDescent="0.3"/>
    <row r="1232" customFormat="1" x14ac:dyDescent="0.3"/>
    <row r="1233" customFormat="1" x14ac:dyDescent="0.3"/>
    <row r="1234" customFormat="1" x14ac:dyDescent="0.3"/>
    <row r="1235" customFormat="1" x14ac:dyDescent="0.3"/>
    <row r="1236" customFormat="1" x14ac:dyDescent="0.3"/>
    <row r="1237" customFormat="1" x14ac:dyDescent="0.3"/>
    <row r="1238" customFormat="1" x14ac:dyDescent="0.3"/>
    <row r="1239" customFormat="1" x14ac:dyDescent="0.3"/>
    <row r="1240" customFormat="1" x14ac:dyDescent="0.3"/>
    <row r="1241" customFormat="1" x14ac:dyDescent="0.3"/>
    <row r="1242" customFormat="1" x14ac:dyDescent="0.3"/>
    <row r="1243" customFormat="1" x14ac:dyDescent="0.3"/>
    <row r="1244" customFormat="1" x14ac:dyDescent="0.3"/>
    <row r="1245" customFormat="1" x14ac:dyDescent="0.3"/>
    <row r="1246" customFormat="1" x14ac:dyDescent="0.3"/>
    <row r="1247" customFormat="1" x14ac:dyDescent="0.3"/>
    <row r="1248" customFormat="1" x14ac:dyDescent="0.3"/>
    <row r="1249" customFormat="1" x14ac:dyDescent="0.3"/>
    <row r="1250" customFormat="1" x14ac:dyDescent="0.3"/>
    <row r="1251" customFormat="1" x14ac:dyDescent="0.3"/>
    <row r="1252" customFormat="1" x14ac:dyDescent="0.3"/>
    <row r="1253" customFormat="1" x14ac:dyDescent="0.3"/>
    <row r="1254" customFormat="1" x14ac:dyDescent="0.3"/>
    <row r="1255" customFormat="1" x14ac:dyDescent="0.3"/>
    <row r="1256" customFormat="1" x14ac:dyDescent="0.3"/>
    <row r="1257" customFormat="1" x14ac:dyDescent="0.3"/>
    <row r="1258" customFormat="1" x14ac:dyDescent="0.3"/>
    <row r="1259" customFormat="1" x14ac:dyDescent="0.3"/>
    <row r="1260" customFormat="1" x14ac:dyDescent="0.3"/>
    <row r="1261" customFormat="1" x14ac:dyDescent="0.3"/>
    <row r="1262" customFormat="1" x14ac:dyDescent="0.3"/>
    <row r="1263" customFormat="1" x14ac:dyDescent="0.3"/>
    <row r="1264" customFormat="1" x14ac:dyDescent="0.3"/>
    <row r="1265" customFormat="1" x14ac:dyDescent="0.3"/>
    <row r="1266" customFormat="1" x14ac:dyDescent="0.3"/>
    <row r="1267" customFormat="1" x14ac:dyDescent="0.3"/>
    <row r="1268" customFormat="1" x14ac:dyDescent="0.3"/>
    <row r="1269" customFormat="1" x14ac:dyDescent="0.3"/>
    <row r="1270" customFormat="1" x14ac:dyDescent="0.3"/>
    <row r="1271" customFormat="1" x14ac:dyDescent="0.3"/>
    <row r="1272" customFormat="1" x14ac:dyDescent="0.3"/>
    <row r="1273" customFormat="1" x14ac:dyDescent="0.3"/>
    <row r="1274" customFormat="1" x14ac:dyDescent="0.3"/>
    <row r="1275" customFormat="1" x14ac:dyDescent="0.3"/>
    <row r="1276" customFormat="1" x14ac:dyDescent="0.3"/>
    <row r="1277" customFormat="1" x14ac:dyDescent="0.3"/>
    <row r="1278" customFormat="1" x14ac:dyDescent="0.3"/>
    <row r="1279" customFormat="1" x14ac:dyDescent="0.3"/>
    <row r="1280" customFormat="1" x14ac:dyDescent="0.3"/>
    <row r="1281" customFormat="1" x14ac:dyDescent="0.3"/>
    <row r="1282" customFormat="1" x14ac:dyDescent="0.3"/>
    <row r="1283" customFormat="1" x14ac:dyDescent="0.3"/>
    <row r="1284" customFormat="1" x14ac:dyDescent="0.3"/>
    <row r="1285" customFormat="1" x14ac:dyDescent="0.3"/>
    <row r="1286" customFormat="1" x14ac:dyDescent="0.3"/>
    <row r="1287" customFormat="1" x14ac:dyDescent="0.3"/>
    <row r="1288" customFormat="1" x14ac:dyDescent="0.3"/>
    <row r="1289" customFormat="1" x14ac:dyDescent="0.3"/>
    <row r="1290" customFormat="1" x14ac:dyDescent="0.3"/>
    <row r="1291" customFormat="1" x14ac:dyDescent="0.3"/>
    <row r="1292" customFormat="1" x14ac:dyDescent="0.3"/>
    <row r="1293" customFormat="1" x14ac:dyDescent="0.3"/>
    <row r="1294" customFormat="1" x14ac:dyDescent="0.3"/>
    <row r="1295" customFormat="1" x14ac:dyDescent="0.3"/>
    <row r="1296" customFormat="1" x14ac:dyDescent="0.3"/>
    <row r="1297" customFormat="1" x14ac:dyDescent="0.3"/>
    <row r="1298" customFormat="1" x14ac:dyDescent="0.3"/>
    <row r="1299" customFormat="1" x14ac:dyDescent="0.3"/>
    <row r="1300" customFormat="1" x14ac:dyDescent="0.3"/>
    <row r="1301" customFormat="1" x14ac:dyDescent="0.3"/>
    <row r="1302" customFormat="1" x14ac:dyDescent="0.3"/>
    <row r="1303" customFormat="1" x14ac:dyDescent="0.3"/>
    <row r="1304" customFormat="1" x14ac:dyDescent="0.3"/>
    <row r="1305" customFormat="1" x14ac:dyDescent="0.3"/>
    <row r="1306" customFormat="1" x14ac:dyDescent="0.3"/>
    <row r="1307" customFormat="1" x14ac:dyDescent="0.3"/>
    <row r="1308" customFormat="1" x14ac:dyDescent="0.3"/>
    <row r="1309" customFormat="1" x14ac:dyDescent="0.3"/>
    <row r="1310" customFormat="1" x14ac:dyDescent="0.3"/>
    <row r="1311" customFormat="1" x14ac:dyDescent="0.3"/>
    <row r="1312" customFormat="1" x14ac:dyDescent="0.3"/>
    <row r="1313" customFormat="1" x14ac:dyDescent="0.3"/>
    <row r="1314" customFormat="1" x14ac:dyDescent="0.3"/>
    <row r="1315" customFormat="1" x14ac:dyDescent="0.3"/>
    <row r="1316" customFormat="1" x14ac:dyDescent="0.3"/>
    <row r="1317" customFormat="1" x14ac:dyDescent="0.3"/>
    <row r="1318" customFormat="1" x14ac:dyDescent="0.3"/>
    <row r="1319" customFormat="1" x14ac:dyDescent="0.3"/>
    <row r="1320" customFormat="1" x14ac:dyDescent="0.3"/>
    <row r="1321" customFormat="1" x14ac:dyDescent="0.3"/>
    <row r="1322" customFormat="1" x14ac:dyDescent="0.3"/>
    <row r="1323" customFormat="1" x14ac:dyDescent="0.3"/>
    <row r="1324" customFormat="1" x14ac:dyDescent="0.3"/>
    <row r="1325" customFormat="1" x14ac:dyDescent="0.3"/>
    <row r="1326" customFormat="1" x14ac:dyDescent="0.3"/>
    <row r="1327" customFormat="1" x14ac:dyDescent="0.3"/>
    <row r="1328" customFormat="1" x14ac:dyDescent="0.3"/>
    <row r="1329" customFormat="1" x14ac:dyDescent="0.3"/>
    <row r="1330" customFormat="1" x14ac:dyDescent="0.3"/>
    <row r="1331" customFormat="1" x14ac:dyDescent="0.3"/>
    <row r="1332" customFormat="1" x14ac:dyDescent="0.3"/>
    <row r="1333" customFormat="1" x14ac:dyDescent="0.3"/>
    <row r="1334" customFormat="1" x14ac:dyDescent="0.3"/>
    <row r="1335" customFormat="1" x14ac:dyDescent="0.3"/>
    <row r="1336" customFormat="1" x14ac:dyDescent="0.3"/>
    <row r="1337" customFormat="1" x14ac:dyDescent="0.3"/>
    <row r="1338" customFormat="1" x14ac:dyDescent="0.3"/>
    <row r="1339" customFormat="1" x14ac:dyDescent="0.3"/>
    <row r="1340" customFormat="1" x14ac:dyDescent="0.3"/>
    <row r="1341" customFormat="1" x14ac:dyDescent="0.3"/>
    <row r="1342" customFormat="1" x14ac:dyDescent="0.3"/>
    <row r="1343" customFormat="1" x14ac:dyDescent="0.3"/>
    <row r="1344" customFormat="1" x14ac:dyDescent="0.3"/>
    <row r="1345" customFormat="1" x14ac:dyDescent="0.3"/>
    <row r="1346" customFormat="1" x14ac:dyDescent="0.3"/>
    <row r="1347" customFormat="1" x14ac:dyDescent="0.3"/>
    <row r="1348" customFormat="1" x14ac:dyDescent="0.3"/>
    <row r="1349" customFormat="1" x14ac:dyDescent="0.3"/>
    <row r="1350" customFormat="1" x14ac:dyDescent="0.3"/>
    <row r="1351" customFormat="1" x14ac:dyDescent="0.3"/>
    <row r="1352" customFormat="1" x14ac:dyDescent="0.3"/>
    <row r="1353" customFormat="1" x14ac:dyDescent="0.3"/>
    <row r="1354" customFormat="1" x14ac:dyDescent="0.3"/>
    <row r="1355" customFormat="1" x14ac:dyDescent="0.3"/>
    <row r="1356" customFormat="1" x14ac:dyDescent="0.3"/>
    <row r="1357" customFormat="1" x14ac:dyDescent="0.3"/>
    <row r="1358" customFormat="1" x14ac:dyDescent="0.3"/>
    <row r="1359" customFormat="1" x14ac:dyDescent="0.3"/>
    <row r="1360" customFormat="1" x14ac:dyDescent="0.3"/>
    <row r="1361" customFormat="1" x14ac:dyDescent="0.3"/>
    <row r="1362" customFormat="1" x14ac:dyDescent="0.3"/>
    <row r="1363" customFormat="1" x14ac:dyDescent="0.3"/>
    <row r="1364" customFormat="1" x14ac:dyDescent="0.3"/>
    <row r="1365" customFormat="1" x14ac:dyDescent="0.3"/>
    <row r="1366" customFormat="1" x14ac:dyDescent="0.3"/>
    <row r="1367" customFormat="1" x14ac:dyDescent="0.3"/>
    <row r="1368" customFormat="1" x14ac:dyDescent="0.3"/>
    <row r="1369" customFormat="1" x14ac:dyDescent="0.3"/>
    <row r="1370" customFormat="1" x14ac:dyDescent="0.3"/>
    <row r="1371" customFormat="1" x14ac:dyDescent="0.3"/>
    <row r="1372" customFormat="1" x14ac:dyDescent="0.3"/>
    <row r="1373" customFormat="1" x14ac:dyDescent="0.3"/>
    <row r="1374" customFormat="1" x14ac:dyDescent="0.3"/>
    <row r="1375" customFormat="1" x14ac:dyDescent="0.3"/>
    <row r="1376" customFormat="1" x14ac:dyDescent="0.3"/>
    <row r="1377" customFormat="1" x14ac:dyDescent="0.3"/>
    <row r="1378" customFormat="1" x14ac:dyDescent="0.3"/>
    <row r="1379" customFormat="1" x14ac:dyDescent="0.3"/>
    <row r="1380" customFormat="1" x14ac:dyDescent="0.3"/>
    <row r="1381" customFormat="1" x14ac:dyDescent="0.3"/>
    <row r="1382" customFormat="1" x14ac:dyDescent="0.3"/>
    <row r="1383" customFormat="1" x14ac:dyDescent="0.3"/>
    <row r="1384" customFormat="1" x14ac:dyDescent="0.3"/>
    <row r="1385" customFormat="1" x14ac:dyDescent="0.3"/>
    <row r="1386" customFormat="1" x14ac:dyDescent="0.3"/>
    <row r="1387" customFormat="1" x14ac:dyDescent="0.3"/>
    <row r="1388" customFormat="1" x14ac:dyDescent="0.3"/>
    <row r="1389" customFormat="1" x14ac:dyDescent="0.3"/>
    <row r="1390" customFormat="1" x14ac:dyDescent="0.3"/>
    <row r="1391" customFormat="1" x14ac:dyDescent="0.3"/>
    <row r="1392" customFormat="1" x14ac:dyDescent="0.3"/>
    <row r="1393" customFormat="1" x14ac:dyDescent="0.3"/>
    <row r="1394" customFormat="1" x14ac:dyDescent="0.3"/>
    <row r="1395" customFormat="1" x14ac:dyDescent="0.3"/>
    <row r="1396" customFormat="1" x14ac:dyDescent="0.3"/>
    <row r="1397" customFormat="1" x14ac:dyDescent="0.3"/>
    <row r="1398" customFormat="1" x14ac:dyDescent="0.3"/>
    <row r="1399" customFormat="1" x14ac:dyDescent="0.3"/>
    <row r="1400" customFormat="1" x14ac:dyDescent="0.3"/>
    <row r="1401" customFormat="1" x14ac:dyDescent="0.3"/>
    <row r="1402" customFormat="1" x14ac:dyDescent="0.3"/>
    <row r="1403" customFormat="1" x14ac:dyDescent="0.3"/>
    <row r="1404" customFormat="1" x14ac:dyDescent="0.3"/>
    <row r="1405" customFormat="1" x14ac:dyDescent="0.3"/>
    <row r="1406" customFormat="1" x14ac:dyDescent="0.3"/>
    <row r="1407" customFormat="1" x14ac:dyDescent="0.3"/>
    <row r="1408" customFormat="1" x14ac:dyDescent="0.3"/>
    <row r="1409" customFormat="1" x14ac:dyDescent="0.3"/>
    <row r="1410" customFormat="1" x14ac:dyDescent="0.3"/>
    <row r="1411" customFormat="1" x14ac:dyDescent="0.3"/>
    <row r="1412" customFormat="1" x14ac:dyDescent="0.3"/>
    <row r="1413" customFormat="1" x14ac:dyDescent="0.3"/>
    <row r="1414" customFormat="1" x14ac:dyDescent="0.3"/>
    <row r="1415" customFormat="1" x14ac:dyDescent="0.3"/>
    <row r="1416" customFormat="1" x14ac:dyDescent="0.3"/>
    <row r="1417" customFormat="1" x14ac:dyDescent="0.3"/>
    <row r="1418" customFormat="1" x14ac:dyDescent="0.3"/>
    <row r="1419" customFormat="1" x14ac:dyDescent="0.3"/>
    <row r="1420" customFormat="1" x14ac:dyDescent="0.3"/>
    <row r="1421" customFormat="1" x14ac:dyDescent="0.3"/>
    <row r="1422" customFormat="1" x14ac:dyDescent="0.3"/>
    <row r="1423" customFormat="1" x14ac:dyDescent="0.3"/>
    <row r="1424" customFormat="1" x14ac:dyDescent="0.3"/>
    <row r="1425" customFormat="1" x14ac:dyDescent="0.3"/>
    <row r="1426" customFormat="1" x14ac:dyDescent="0.3"/>
    <row r="1427" customFormat="1" x14ac:dyDescent="0.3"/>
    <row r="1428" customFormat="1" x14ac:dyDescent="0.3"/>
    <row r="1429" customFormat="1" x14ac:dyDescent="0.3"/>
    <row r="1430" customFormat="1" x14ac:dyDescent="0.3"/>
    <row r="1431" customFormat="1" x14ac:dyDescent="0.3"/>
    <row r="1432" customFormat="1" x14ac:dyDescent="0.3"/>
    <row r="1433" customFormat="1" x14ac:dyDescent="0.3"/>
    <row r="1434" customFormat="1" x14ac:dyDescent="0.3"/>
    <row r="1435" customFormat="1" x14ac:dyDescent="0.3"/>
    <row r="1436" customFormat="1" x14ac:dyDescent="0.3"/>
    <row r="1437" customFormat="1" x14ac:dyDescent="0.3"/>
    <row r="1438" customFormat="1" x14ac:dyDescent="0.3"/>
    <row r="1439" customFormat="1" x14ac:dyDescent="0.3"/>
    <row r="1440" customFormat="1" x14ac:dyDescent="0.3"/>
    <row r="1441" customFormat="1" x14ac:dyDescent="0.3"/>
    <row r="1442" customFormat="1" x14ac:dyDescent="0.3"/>
    <row r="1443" customFormat="1" x14ac:dyDescent="0.3"/>
    <row r="1444" customFormat="1" x14ac:dyDescent="0.3"/>
    <row r="1445" customFormat="1" x14ac:dyDescent="0.3"/>
    <row r="1446" customFormat="1" x14ac:dyDescent="0.3"/>
    <row r="1447" customFormat="1" x14ac:dyDescent="0.3"/>
    <row r="1448" customFormat="1" x14ac:dyDescent="0.3"/>
    <row r="1449" customFormat="1" x14ac:dyDescent="0.3"/>
    <row r="1450" customFormat="1" x14ac:dyDescent="0.3"/>
    <row r="1451" customFormat="1" x14ac:dyDescent="0.3"/>
    <row r="1452" customFormat="1" x14ac:dyDescent="0.3"/>
    <row r="1453" customFormat="1" x14ac:dyDescent="0.3"/>
    <row r="1454" customFormat="1" x14ac:dyDescent="0.3"/>
    <row r="1455" customFormat="1" x14ac:dyDescent="0.3"/>
    <row r="1456" customFormat="1" x14ac:dyDescent="0.3"/>
    <row r="1457" customFormat="1" x14ac:dyDescent="0.3"/>
    <row r="1458" customFormat="1" x14ac:dyDescent="0.3"/>
    <row r="1459" customFormat="1" x14ac:dyDescent="0.3"/>
    <row r="1460" customFormat="1" x14ac:dyDescent="0.3"/>
    <row r="1461" customFormat="1" x14ac:dyDescent="0.3"/>
    <row r="1462" customFormat="1" x14ac:dyDescent="0.3"/>
    <row r="1463" customFormat="1" x14ac:dyDescent="0.3"/>
    <row r="1464" customFormat="1" x14ac:dyDescent="0.3"/>
    <row r="1465" customFormat="1" x14ac:dyDescent="0.3"/>
    <row r="1466" customFormat="1" x14ac:dyDescent="0.3"/>
    <row r="1467" customFormat="1" x14ac:dyDescent="0.3"/>
    <row r="1468" customFormat="1" x14ac:dyDescent="0.3"/>
    <row r="1469" customFormat="1" x14ac:dyDescent="0.3"/>
    <row r="1470" customFormat="1" x14ac:dyDescent="0.3"/>
    <row r="1471" customFormat="1" x14ac:dyDescent="0.3"/>
    <row r="1472" customFormat="1" x14ac:dyDescent="0.3"/>
    <row r="1473" customFormat="1" x14ac:dyDescent="0.3"/>
    <row r="1474" customFormat="1" x14ac:dyDescent="0.3"/>
    <row r="1475" customFormat="1" x14ac:dyDescent="0.3"/>
    <row r="1476" customFormat="1" x14ac:dyDescent="0.3"/>
    <row r="1477" customFormat="1" x14ac:dyDescent="0.3"/>
    <row r="1478" customFormat="1" x14ac:dyDescent="0.3"/>
    <row r="1479" customFormat="1" x14ac:dyDescent="0.3"/>
    <row r="1480" customFormat="1" x14ac:dyDescent="0.3"/>
    <row r="1481" customFormat="1" x14ac:dyDescent="0.3"/>
    <row r="1482" customFormat="1" x14ac:dyDescent="0.3"/>
    <row r="1483" customFormat="1" x14ac:dyDescent="0.3"/>
    <row r="1484" customFormat="1" x14ac:dyDescent="0.3"/>
    <row r="1485" customFormat="1" x14ac:dyDescent="0.3"/>
    <row r="1486" customFormat="1" x14ac:dyDescent="0.3"/>
    <row r="1487" customFormat="1" x14ac:dyDescent="0.3"/>
    <row r="1488" customFormat="1" x14ac:dyDescent="0.3"/>
    <row r="1489" customFormat="1" x14ac:dyDescent="0.3"/>
    <row r="1490" customFormat="1" x14ac:dyDescent="0.3"/>
    <row r="1491" customFormat="1" x14ac:dyDescent="0.3"/>
    <row r="1492" customFormat="1" x14ac:dyDescent="0.3"/>
    <row r="1493" customFormat="1" x14ac:dyDescent="0.3"/>
    <row r="1494" customFormat="1" x14ac:dyDescent="0.3"/>
    <row r="1495" customFormat="1" x14ac:dyDescent="0.3"/>
    <row r="1496" customFormat="1" x14ac:dyDescent="0.3"/>
    <row r="1497" customFormat="1" x14ac:dyDescent="0.3"/>
    <row r="1498" customFormat="1" x14ac:dyDescent="0.3"/>
    <row r="1499" customFormat="1" x14ac:dyDescent="0.3"/>
    <row r="1500" customFormat="1" x14ac:dyDescent="0.3"/>
    <row r="1501" customFormat="1" x14ac:dyDescent="0.3"/>
    <row r="1502" customFormat="1" x14ac:dyDescent="0.3"/>
    <row r="1503" customFormat="1" x14ac:dyDescent="0.3"/>
    <row r="1504" customFormat="1" x14ac:dyDescent="0.3"/>
    <row r="1505" customFormat="1" x14ac:dyDescent="0.3"/>
    <row r="1506" customFormat="1" x14ac:dyDescent="0.3"/>
    <row r="1507" customFormat="1" x14ac:dyDescent="0.3"/>
    <row r="1508" customFormat="1" x14ac:dyDescent="0.3"/>
    <row r="1509" customFormat="1" x14ac:dyDescent="0.3"/>
    <row r="1510" customFormat="1" x14ac:dyDescent="0.3"/>
    <row r="1511" customFormat="1" x14ac:dyDescent="0.3"/>
    <row r="1512" customFormat="1" x14ac:dyDescent="0.3"/>
    <row r="1513" customFormat="1" x14ac:dyDescent="0.3"/>
    <row r="1514" customFormat="1" x14ac:dyDescent="0.3"/>
    <row r="1515" customFormat="1" x14ac:dyDescent="0.3"/>
    <row r="1516" customFormat="1" x14ac:dyDescent="0.3"/>
    <row r="1517" customFormat="1" x14ac:dyDescent="0.3"/>
    <row r="1518" customFormat="1" x14ac:dyDescent="0.3"/>
    <row r="1519" customFormat="1" x14ac:dyDescent="0.3"/>
    <row r="1520" customFormat="1" x14ac:dyDescent="0.3"/>
    <row r="1521" customFormat="1" x14ac:dyDescent="0.3"/>
    <row r="1522" customFormat="1" x14ac:dyDescent="0.3"/>
    <row r="1523" customFormat="1" x14ac:dyDescent="0.3"/>
    <row r="1524" customFormat="1" x14ac:dyDescent="0.3"/>
    <row r="1525" customFormat="1" x14ac:dyDescent="0.3"/>
    <row r="1526" customFormat="1" x14ac:dyDescent="0.3"/>
    <row r="1527" customFormat="1" x14ac:dyDescent="0.3"/>
    <row r="1528" customFormat="1" x14ac:dyDescent="0.3"/>
    <row r="1529" customFormat="1" x14ac:dyDescent="0.3"/>
    <row r="1530" customFormat="1" x14ac:dyDescent="0.3"/>
    <row r="1531" customFormat="1" x14ac:dyDescent="0.3"/>
    <row r="1532" customFormat="1" x14ac:dyDescent="0.3"/>
    <row r="1533" customFormat="1" x14ac:dyDescent="0.3"/>
    <row r="1534" customFormat="1" x14ac:dyDescent="0.3"/>
    <row r="1535" customFormat="1" x14ac:dyDescent="0.3"/>
    <row r="1536" customFormat="1" x14ac:dyDescent="0.3"/>
    <row r="1537" customFormat="1" x14ac:dyDescent="0.3"/>
    <row r="1538" customFormat="1" x14ac:dyDescent="0.3"/>
    <row r="1539" customFormat="1" x14ac:dyDescent="0.3"/>
    <row r="1540" customFormat="1" x14ac:dyDescent="0.3"/>
    <row r="1541" customFormat="1" x14ac:dyDescent="0.3"/>
    <row r="1542" customFormat="1" x14ac:dyDescent="0.3"/>
    <row r="1543" customFormat="1" x14ac:dyDescent="0.3"/>
    <row r="1544" customFormat="1" x14ac:dyDescent="0.3"/>
    <row r="1545" customFormat="1" x14ac:dyDescent="0.3"/>
    <row r="1546" customFormat="1" x14ac:dyDescent="0.3"/>
    <row r="1547" customFormat="1" x14ac:dyDescent="0.3"/>
    <row r="1548" customFormat="1" x14ac:dyDescent="0.3"/>
    <row r="1549" customFormat="1" x14ac:dyDescent="0.3"/>
    <row r="1550" customFormat="1" x14ac:dyDescent="0.3"/>
    <row r="1551" customFormat="1" x14ac:dyDescent="0.3"/>
    <row r="1552" customFormat="1" x14ac:dyDescent="0.3"/>
    <row r="1553" customFormat="1" x14ac:dyDescent="0.3"/>
    <row r="1554" customFormat="1" x14ac:dyDescent="0.3"/>
    <row r="1555" customFormat="1" x14ac:dyDescent="0.3"/>
    <row r="1556" customFormat="1" x14ac:dyDescent="0.3"/>
    <row r="1557" customFormat="1" x14ac:dyDescent="0.3"/>
    <row r="1558" customFormat="1" x14ac:dyDescent="0.3"/>
    <row r="1559" customFormat="1" x14ac:dyDescent="0.3"/>
    <row r="1560" customFormat="1" x14ac:dyDescent="0.3"/>
    <row r="1561" customFormat="1" x14ac:dyDescent="0.3"/>
    <row r="1562" customFormat="1" x14ac:dyDescent="0.3"/>
    <row r="1563" customFormat="1" x14ac:dyDescent="0.3"/>
    <row r="1564" customFormat="1" x14ac:dyDescent="0.3"/>
    <row r="1565" customFormat="1" x14ac:dyDescent="0.3"/>
    <row r="1566" customFormat="1" x14ac:dyDescent="0.3"/>
    <row r="1567" customFormat="1" x14ac:dyDescent="0.3"/>
    <row r="1568" customFormat="1" x14ac:dyDescent="0.3"/>
    <row r="1569" customFormat="1" x14ac:dyDescent="0.3"/>
    <row r="1570" customFormat="1" x14ac:dyDescent="0.3"/>
    <row r="1571" customFormat="1" x14ac:dyDescent="0.3"/>
    <row r="1572" customFormat="1" x14ac:dyDescent="0.3"/>
    <row r="1573" customFormat="1" x14ac:dyDescent="0.3"/>
    <row r="1574" customFormat="1" x14ac:dyDescent="0.3"/>
    <row r="1575" customFormat="1" x14ac:dyDescent="0.3"/>
    <row r="1576" customFormat="1" x14ac:dyDescent="0.3"/>
    <row r="1577" customFormat="1" x14ac:dyDescent="0.3"/>
    <row r="1578" customFormat="1" x14ac:dyDescent="0.3"/>
    <row r="1579" customFormat="1" x14ac:dyDescent="0.3"/>
    <row r="1580" customFormat="1" x14ac:dyDescent="0.3"/>
    <row r="1581" customFormat="1" x14ac:dyDescent="0.3"/>
    <row r="1582" customFormat="1" x14ac:dyDescent="0.3"/>
    <row r="1583" customFormat="1" x14ac:dyDescent="0.3"/>
    <row r="1584" customFormat="1" x14ac:dyDescent="0.3"/>
    <row r="1585" customFormat="1" x14ac:dyDescent="0.3"/>
    <row r="1586" customFormat="1" x14ac:dyDescent="0.3"/>
    <row r="1587" customFormat="1" x14ac:dyDescent="0.3"/>
    <row r="1588" customFormat="1" x14ac:dyDescent="0.3"/>
    <row r="1589" customFormat="1" x14ac:dyDescent="0.3"/>
    <row r="1590" customFormat="1" x14ac:dyDescent="0.3"/>
    <row r="1591" customFormat="1" x14ac:dyDescent="0.3"/>
    <row r="1592" customFormat="1" x14ac:dyDescent="0.3"/>
    <row r="1593" customFormat="1" x14ac:dyDescent="0.3"/>
    <row r="1594" customFormat="1" x14ac:dyDescent="0.3"/>
    <row r="1595" customFormat="1" x14ac:dyDescent="0.3"/>
    <row r="1596" customFormat="1" x14ac:dyDescent="0.3"/>
    <row r="1597" customFormat="1" x14ac:dyDescent="0.3"/>
    <row r="1598" customFormat="1" x14ac:dyDescent="0.3"/>
    <row r="1599" customFormat="1" x14ac:dyDescent="0.3"/>
    <row r="1600" customFormat="1" x14ac:dyDescent="0.3"/>
    <row r="1601" customFormat="1" x14ac:dyDescent="0.3"/>
    <row r="1602" customFormat="1" x14ac:dyDescent="0.3"/>
    <row r="1603" customFormat="1" x14ac:dyDescent="0.3"/>
    <row r="1604" customFormat="1" x14ac:dyDescent="0.3"/>
    <row r="1605" customFormat="1" x14ac:dyDescent="0.3"/>
    <row r="1606" customFormat="1" x14ac:dyDescent="0.3"/>
    <row r="1607" customFormat="1" x14ac:dyDescent="0.3"/>
    <row r="1608" customFormat="1" x14ac:dyDescent="0.3"/>
    <row r="1609" customFormat="1" x14ac:dyDescent="0.3"/>
    <row r="1610" customFormat="1" x14ac:dyDescent="0.3"/>
    <row r="1611" customFormat="1" x14ac:dyDescent="0.3"/>
    <row r="1612" customFormat="1" x14ac:dyDescent="0.3"/>
    <row r="1613" customFormat="1" x14ac:dyDescent="0.3"/>
    <row r="1614" customFormat="1" x14ac:dyDescent="0.3"/>
    <row r="1615" customFormat="1" x14ac:dyDescent="0.3"/>
    <row r="1616" customFormat="1" x14ac:dyDescent="0.3"/>
    <row r="1617" customFormat="1" x14ac:dyDescent="0.3"/>
    <row r="1618" customFormat="1" x14ac:dyDescent="0.3"/>
    <row r="1619" customFormat="1" x14ac:dyDescent="0.3"/>
    <row r="1620" customFormat="1" x14ac:dyDescent="0.3"/>
    <row r="1621" customFormat="1" x14ac:dyDescent="0.3"/>
    <row r="1622" customFormat="1" x14ac:dyDescent="0.3"/>
    <row r="1623" customFormat="1" x14ac:dyDescent="0.3"/>
    <row r="1624" customFormat="1" x14ac:dyDescent="0.3"/>
    <row r="1625" customFormat="1" x14ac:dyDescent="0.3"/>
    <row r="1626" customFormat="1" x14ac:dyDescent="0.3"/>
    <row r="1627" customFormat="1" x14ac:dyDescent="0.3"/>
    <row r="1628" customFormat="1" x14ac:dyDescent="0.3"/>
    <row r="1629" customFormat="1" x14ac:dyDescent="0.3"/>
    <row r="1630" customFormat="1" x14ac:dyDescent="0.3"/>
    <row r="1631" customFormat="1" x14ac:dyDescent="0.3"/>
    <row r="1632" customFormat="1" x14ac:dyDescent="0.3"/>
    <row r="1633" customFormat="1" x14ac:dyDescent="0.3"/>
    <row r="1634" customFormat="1" x14ac:dyDescent="0.3"/>
    <row r="1635" customFormat="1" x14ac:dyDescent="0.3"/>
    <row r="1636" customFormat="1" x14ac:dyDescent="0.3"/>
    <row r="1637" customFormat="1" x14ac:dyDescent="0.3"/>
    <row r="1638" customFormat="1" x14ac:dyDescent="0.3"/>
    <row r="1639" customFormat="1" x14ac:dyDescent="0.3"/>
    <row r="1640" customFormat="1" x14ac:dyDescent="0.3"/>
    <row r="1641" customFormat="1" x14ac:dyDescent="0.3"/>
    <row r="1642" customFormat="1" x14ac:dyDescent="0.3"/>
    <row r="1643" customFormat="1" x14ac:dyDescent="0.3"/>
    <row r="1644" customFormat="1" x14ac:dyDescent="0.3"/>
    <row r="1645" customFormat="1" x14ac:dyDescent="0.3"/>
    <row r="1646" customFormat="1" x14ac:dyDescent="0.3"/>
    <row r="1647" customFormat="1" x14ac:dyDescent="0.3"/>
    <row r="1648" customFormat="1" x14ac:dyDescent="0.3"/>
    <row r="1649" customFormat="1" x14ac:dyDescent="0.3"/>
    <row r="1650" customFormat="1" x14ac:dyDescent="0.3"/>
    <row r="1651" customFormat="1" x14ac:dyDescent="0.3"/>
    <row r="1652" customFormat="1" x14ac:dyDescent="0.3"/>
    <row r="1653" customFormat="1" x14ac:dyDescent="0.3"/>
    <row r="1654" customFormat="1" x14ac:dyDescent="0.3"/>
    <row r="1655" customFormat="1" x14ac:dyDescent="0.3"/>
    <row r="1656" customFormat="1" x14ac:dyDescent="0.3"/>
    <row r="1657" customFormat="1" x14ac:dyDescent="0.3"/>
    <row r="1658" customFormat="1" x14ac:dyDescent="0.3"/>
    <row r="1659" customFormat="1" x14ac:dyDescent="0.3"/>
    <row r="1660" customFormat="1" x14ac:dyDescent="0.3"/>
    <row r="1661" customFormat="1" x14ac:dyDescent="0.3"/>
    <row r="1662" customFormat="1" x14ac:dyDescent="0.3"/>
    <row r="1663" customFormat="1" x14ac:dyDescent="0.3"/>
    <row r="1664" customFormat="1" x14ac:dyDescent="0.3"/>
    <row r="1665" customFormat="1" x14ac:dyDescent="0.3"/>
    <row r="1666" customFormat="1" x14ac:dyDescent="0.3"/>
    <row r="1667" customFormat="1" x14ac:dyDescent="0.3"/>
    <row r="1668" customFormat="1" x14ac:dyDescent="0.3"/>
    <row r="1669" customFormat="1" x14ac:dyDescent="0.3"/>
    <row r="1670" customFormat="1" x14ac:dyDescent="0.3"/>
    <row r="1671" customFormat="1" x14ac:dyDescent="0.3"/>
    <row r="1672" customFormat="1" x14ac:dyDescent="0.3"/>
    <row r="1673" customFormat="1" x14ac:dyDescent="0.3"/>
    <row r="1674" customFormat="1" x14ac:dyDescent="0.3"/>
    <row r="1675" customFormat="1" x14ac:dyDescent="0.3"/>
    <row r="1676" customFormat="1" x14ac:dyDescent="0.3"/>
    <row r="1677" customFormat="1" x14ac:dyDescent="0.3"/>
    <row r="1678" customFormat="1" x14ac:dyDescent="0.3"/>
    <row r="1679" customFormat="1" x14ac:dyDescent="0.3"/>
    <row r="1680" customFormat="1" x14ac:dyDescent="0.3"/>
    <row r="1681" customFormat="1" x14ac:dyDescent="0.3"/>
    <row r="1682" customFormat="1" x14ac:dyDescent="0.3"/>
    <row r="1683" customFormat="1" x14ac:dyDescent="0.3"/>
    <row r="1684" customFormat="1" x14ac:dyDescent="0.3"/>
    <row r="1685" customFormat="1" x14ac:dyDescent="0.3"/>
    <row r="1686" customFormat="1" x14ac:dyDescent="0.3"/>
    <row r="1687" customFormat="1" x14ac:dyDescent="0.3"/>
    <row r="1688" customFormat="1" x14ac:dyDescent="0.3"/>
    <row r="1689" customFormat="1" x14ac:dyDescent="0.3"/>
  </sheetData>
  <dataConsolidate/>
  <mergeCells count="36">
    <mergeCell ref="AB13:AD13"/>
    <mergeCell ref="L13:Q13"/>
    <mergeCell ref="DK3:DM3"/>
    <mergeCell ref="S3:W3"/>
    <mergeCell ref="CL3:CQ3"/>
    <mergeCell ref="CT3:CW3"/>
    <mergeCell ref="AH3:AI3"/>
    <mergeCell ref="CX3:DB3"/>
    <mergeCell ref="DD3:DH3"/>
    <mergeCell ref="AE3:AG3"/>
    <mergeCell ref="BV3:CI3"/>
    <mergeCell ref="BS3:BU3"/>
    <mergeCell ref="AC12:AD12"/>
    <mergeCell ref="X3:AD3"/>
    <mergeCell ref="U12:W12"/>
    <mergeCell ref="A3:A4"/>
    <mergeCell ref="B3:J3"/>
    <mergeCell ref="AJ3:BR3"/>
    <mergeCell ref="AE12:AG12"/>
    <mergeCell ref="K3:Q3"/>
    <mergeCell ref="L12:Q12"/>
    <mergeCell ref="L11:Q11"/>
    <mergeCell ref="R12:S12"/>
    <mergeCell ref="F11:H12"/>
    <mergeCell ref="R11:S11"/>
    <mergeCell ref="FD3:FI3"/>
    <mergeCell ref="K2:N2"/>
    <mergeCell ref="O2:Q2"/>
    <mergeCell ref="X1:Y1"/>
    <mergeCell ref="K1:T1"/>
    <mergeCell ref="R2:T2"/>
    <mergeCell ref="U2:V2"/>
    <mergeCell ref="DR3:DZ3"/>
    <mergeCell ref="EU3:EX3"/>
    <mergeCell ref="EB3:EJ3"/>
    <mergeCell ref="AC1:AD2"/>
  </mergeCells>
  <conditionalFormatting sqref="A12 A13:B13">
    <cfRule type="containsText" dxfId="17" priority="38" operator="containsText" text="Delete">
      <formula>NOT(ISERROR(SEARCH("Delete",A12)))</formula>
    </cfRule>
  </conditionalFormatting>
  <conditionalFormatting sqref="F4:F6 O4:O6 AH4:AI6 F11:H12">
    <cfRule type="expression" dxfId="16" priority="5">
      <formula>$F$11&lt;&gt;""</formula>
    </cfRule>
  </conditionalFormatting>
  <conditionalFormatting sqref="F4:F6">
    <cfRule type="expression" dxfId="15" priority="14">
      <formula>LEFT($E$6,5)&lt;&gt;"Plate"</formula>
    </cfRule>
  </conditionalFormatting>
  <conditionalFormatting sqref="F7:F10">
    <cfRule type="expression" dxfId="14" priority="8">
      <formula>LEFT($E$6,5)&lt;&gt;"Plate"</formula>
    </cfRule>
  </conditionalFormatting>
  <conditionalFormatting sqref="J13">
    <cfRule type="expression" dxfId="13" priority="2">
      <formula>$J$13&lt;&gt;""</formula>
    </cfRule>
  </conditionalFormatting>
  <conditionalFormatting sqref="K4:K6">
    <cfRule type="expression" dxfId="12" priority="39">
      <formula>$H$6&lt;&gt;"Strength Weld"</formula>
    </cfRule>
  </conditionalFormatting>
  <conditionalFormatting sqref="K7:K13">
    <cfRule type="expression" dxfId="11" priority="10">
      <formula>$H$6&lt;&gt;"Strength Weld"</formula>
    </cfRule>
  </conditionalFormatting>
  <conditionalFormatting sqref="R2 S6:T6">
    <cfRule type="expression" dxfId="10" priority="3">
      <formula>$R$2&lt;&gt;""</formula>
    </cfRule>
  </conditionalFormatting>
  <conditionalFormatting sqref="R11:T12">
    <cfRule type="expression" dxfId="9" priority="11">
      <formula>$F$6&lt;&gt;"Jbevel"</formula>
    </cfRule>
  </conditionalFormatting>
  <conditionalFormatting sqref="S6:V6 V1 U2">
    <cfRule type="expression" dxfId="8" priority="4">
      <formula>$U$2&lt;&gt;""</formula>
    </cfRule>
  </conditionalFormatting>
  <conditionalFormatting sqref="T11 T6 T4">
    <cfRule type="expression" dxfId="7" priority="41">
      <formula>AND($T$11&lt;0.25,$E$6="Plate",$F$6="Jbevel")</formula>
    </cfRule>
  </conditionalFormatting>
  <conditionalFormatting sqref="T12 T8">
    <cfRule type="expression" dxfId="6" priority="12">
      <formula>AND($T$12&lt;0.25,$E$8="Plate",$F$8="Jbevel")</formula>
    </cfRule>
  </conditionalFormatting>
  <conditionalFormatting sqref="Y7:AB10">
    <cfRule type="expression" dxfId="5" priority="9">
      <formula>$X$6=0</formula>
    </cfRule>
  </conditionalFormatting>
  <conditionalFormatting sqref="Y4:AD6">
    <cfRule type="expression" dxfId="4" priority="1">
      <formula>$X$6=0</formula>
    </cfRule>
  </conditionalFormatting>
  <conditionalFormatting sqref="EW6:EW10">
    <cfRule type="uniqueValues" dxfId="3" priority="7"/>
  </conditionalFormatting>
  <conditionalFormatting sqref="GQ4:GR6">
    <cfRule type="expression" dxfId="2" priority="28">
      <formula>$B$6="AXC"</formula>
    </cfRule>
  </conditionalFormatting>
  <conditionalFormatting sqref="GQ7:GR7 GQ9:GR10">
    <cfRule type="expression" dxfId="1" priority="26">
      <formula>$B$6="AXC"</formula>
    </cfRule>
  </conditionalFormatting>
  <conditionalFormatting sqref="GQ8:GR8">
    <cfRule type="expression" dxfId="0" priority="25">
      <formula>$B$6="AXC"</formula>
    </cfRule>
  </conditionalFormatting>
  <dataValidations count="25">
    <dataValidation allowBlank="1" showErrorMessage="1" sqref="CD12 AE13:AG13 X4 U13 O6:P9 O10:AA10 EK8:FD10 DK7:DN9 A6:A10 AC6:AL9 N7:N10 M6:M10 Q7:R9 S6:AA9 FW6:XFD10 BK6:BQ9 B7:L10 FK6:FK9 EI6:EO6 EU6:EY10 FA7:FA10 EA9:EI10 FI7:FI9 FJ9 FJ7 AM7:BJ9 EB6:EG6 EH6:EH8 DO6:DZ6 DO8:DZ10 DO7:EA7 FE10:FK10 BR7:CB9 CJ6:CK10 AC10:DN10 EZ6:FD6 FE9:FH9 EH7:FH7 AB7:AB10 FL6:FT10 CC6:DJ9" xr:uid="{00000000-0002-0000-0000-000000000000}"/>
    <dataValidation allowBlank="1" promptTitle="$PRP@PartNo" prompt="3F-BOX" sqref="FI6 FT8 FE8:FG8 FT6 FE6:FG6" xr:uid="{00000000-0002-0000-0000-000002000000}"/>
    <dataValidation showInputMessage="1" showErrorMessage="1" errorTitle="SolidWorks Error:" error="The value you have entered is invalid.  Please enter a valid value before continuing." promptTitle="Width@Retarder Size" prompt="Enter a valid value for this parameter." sqref="DK6" xr:uid="{00000000-0002-0000-0000-000003000000}"/>
    <dataValidation showInputMessage="1" showErrorMessage="1" errorTitle="SolidWorks Error:" error="The value you have entered is invalid.  Please enter a valid value before continuing." promptTitle="thk@Retarder Size" prompt="Enter a valid value for this parameter." sqref="DL6" xr:uid="{00000000-0002-0000-0000-000004000000}"/>
    <dataValidation showInputMessage="1" showErrorMessage="1" errorTitle="SolidWorks Error:" error="The value you have entered is invalid.  Please enter a valid value before continuing." promptTitle="Gauge@Retarder Size" prompt="Enter a valid value for this parameter." sqref="DM6:DN6" xr:uid="{00000000-0002-0000-0000-000005000000}"/>
    <dataValidation type="list" allowBlank="1" showErrorMessage="1" sqref="L6" xr:uid="{00000000-0002-0000-0000-000006000000}">
      <formula1>Tube_Size_List</formula1>
    </dataValidation>
    <dataValidation type="list" allowBlank="1" showInputMessage="1" showErrorMessage="1" sqref="D6" xr:uid="{00000000-0002-0000-0000-000007000000}">
      <formula1>"Carbon, Stainless"</formula1>
    </dataValidation>
    <dataValidation type="list" allowBlank="1" sqref="E6" xr:uid="{00000000-0002-0000-0000-000008000000}">
      <formula1>Header_Type_List</formula1>
    </dataValidation>
    <dataValidation type="list" allowBlank="1" showErrorMessage="1" sqref="Q6 AB6" xr:uid="{00000000-0002-0000-0000-000009000000}">
      <formula1>"Yes, No"</formula1>
    </dataValidation>
    <dataValidation type="list" allowBlank="1" promptTitle="$LIBRARY:MATERIAL@000000_S01c_He" prompt="Select a material to apply to this configuration. A valid material entry follows the form 'Library:Material'" sqref="C6" xr:uid="{00000000-0002-0000-0000-00000A000000}">
      <formula1>Material_List</formula1>
    </dataValidation>
    <dataValidation allowBlank="1" sqref="K6 R6 AO6:BJ6 BR6 BV6:CB6" xr:uid="{00000000-0002-0000-0000-00000B000000}"/>
    <dataValidation type="list" allowBlank="1" sqref="H6" xr:uid="{00000000-0002-0000-0000-00000C000000}">
      <formula1>Tube_Connection_Type_List</formula1>
    </dataValidation>
    <dataValidation allowBlank="1" promptTitle="$LIBRARY:MATERIAL@000000_S01c_He" prompt="Select a material to apply to this configuration. A valid material entry follows the form 'Library:Material'" sqref="EP6:FB6 EZ7:EZ10 FB7:FB10" xr:uid="{00000000-0002-0000-0000-00000D000000}"/>
    <dataValidation type="list" allowBlank="1" showErrorMessage="1" sqref="B6" xr:uid="{00000000-0002-0000-0000-00000E000000}">
      <formula1>"AXC,HAMMCO"</formula1>
    </dataValidation>
    <dataValidation type="list" allowBlank="1" sqref="GQ6:GR6 GQ8:GR8" xr:uid="{00000000-0002-0000-0000-00000F000000}">
      <formula1>Slide_Pad_Configs</formula1>
    </dataValidation>
    <dataValidation type="list" allowBlank="1" sqref="N6" xr:uid="{00000000-0002-0000-0000-000010000000}">
      <formula1>Tube_Wall_Thk_List</formula1>
    </dataValidation>
    <dataValidation allowBlank="1" promptTitle="$Prp@Description" prompt="HEADER ASM, FRONT" sqref="FH6 FH8" xr:uid="{00000000-0002-0000-0000-000011000000}"/>
    <dataValidation type="list" allowBlank="1" sqref="F6" xr:uid="{00000000-0002-0000-0000-000012000000}">
      <formula1>"Jbevel, Regular, Beasley"</formula1>
    </dataValidation>
    <dataValidation errorTitle="SolidWorks Error:" error="The value you have entered is invalid.  Please enter a valid value before continuing." promptTitle="PreWeld2@Header Sketch" prompt="Enter a valid value for this parameter." sqref="T11:T12 EB7:EG7" xr:uid="{00000000-0002-0000-0000-000013000000}"/>
    <dataValidation type="list" allowBlank="1" sqref="G6" xr:uid="{00000000-0002-0000-0000-000014000000}">
      <formula1>"Yes, No"</formula1>
    </dataValidation>
    <dataValidation showErrorMessage="1" errorTitle="SolidWorks Error:" error="The value you have entered is invalid.  Please enter a valid value before continuing." promptTitle="Option@Header Sketch" prompt="Enter a valid value for this parameter." sqref="AM6:AN6 FJ6 BS6:BU6 FJ8" xr:uid="{00000000-0002-0000-0000-000015000000}"/>
    <dataValidation type="list" allowBlank="1" sqref="J6 J14" xr:uid="{00000000-0002-0000-0000-000016000000}">
      <formula1>MFG_Method_List</formula1>
    </dataValidation>
    <dataValidation type="list" allowBlank="1" sqref="I6" xr:uid="{00000000-0002-0000-0000-000018000000}">
      <formula1>Welding_Method_List</formula1>
    </dataValidation>
    <dataValidation type="list" allowBlank="1" sqref="U1" xr:uid="{299DF789-2BCF-4FA6-A9E6-B7CF94976D72}">
      <formula1>Structural_Tube_Size_List</formula1>
    </dataValidation>
    <dataValidation type="list" allowBlank="1" showInputMessage="1" sqref="AC11:AD11" xr:uid="{004F960E-1EC4-4E33-9AD9-D76702219D96}">
      <formula1>"0,-1,-2,1,2"</formula1>
    </dataValidation>
  </dataValidations>
  <pageMargins left="0.7" right="0.7" top="0.75" bottom="0.75" header="0.3" footer="0.3"/>
  <pageSetup orientation="portrait" r:id="rId1"/>
  <ignoredErrors>
    <ignoredError sqref="BP7:BP9 BK7:BK9 BM7:BN9 BU8 FK7 DW7:DW9 EO7:EO10 AX7:AX10 CR7:CR9 EI6 FE7:FF7" formula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N267"/>
  <sheetViews>
    <sheetView zoomScaleNormal="100" workbookViewId="0">
      <selection activeCell="J19" sqref="J19"/>
    </sheetView>
  </sheetViews>
  <sheetFormatPr defaultRowHeight="14.4" x14ac:dyDescent="0.3"/>
  <cols>
    <col min="2" max="2" width="17.109375" bestFit="1" customWidth="1"/>
    <col min="4" max="4" width="16.44140625" bestFit="1" customWidth="1"/>
    <col min="6" max="6" width="15" bestFit="1" customWidth="1"/>
    <col min="8" max="8" width="23.33203125" bestFit="1" customWidth="1"/>
    <col min="10" max="10" width="15.44140625" bestFit="1" customWidth="1"/>
    <col min="11" max="11" width="9.44140625" bestFit="1" customWidth="1"/>
    <col min="12" max="12" width="10.44140625" bestFit="1" customWidth="1"/>
    <col min="14" max="14" width="33.33203125" bestFit="1" customWidth="1"/>
    <col min="15" max="15" width="17.109375" bestFit="1" customWidth="1"/>
    <col min="16" max="16" width="12.44140625" bestFit="1" customWidth="1"/>
    <col min="17" max="17" width="13.33203125" bestFit="1" customWidth="1"/>
    <col min="18" max="19" width="25" customWidth="1"/>
    <col min="20" max="20" width="20.5546875" bestFit="1" customWidth="1"/>
    <col min="21" max="21" width="12.44140625" bestFit="1" customWidth="1"/>
    <col min="22" max="22" width="13.33203125" bestFit="1" customWidth="1"/>
    <col min="25" max="25" width="13.88671875" customWidth="1"/>
    <col min="26" max="26" width="10" bestFit="1" customWidth="1"/>
    <col min="27" max="27" width="10.88671875" bestFit="1" customWidth="1"/>
    <col min="30" max="30" width="17.44140625" bestFit="1" customWidth="1"/>
    <col min="31" max="31" width="7.5546875" bestFit="1" customWidth="1"/>
    <col min="32" max="32" width="14.44140625" bestFit="1" customWidth="1"/>
    <col min="33" max="33" width="17.5546875" bestFit="1" customWidth="1"/>
    <col min="34" max="34" width="10.88671875" style="2" bestFit="1" customWidth="1"/>
    <col min="35" max="35" width="10.44140625" bestFit="1" customWidth="1"/>
    <col min="36" max="36" width="20.5546875" bestFit="1" customWidth="1"/>
    <col min="37" max="37" width="17.88671875" bestFit="1" customWidth="1"/>
    <col min="38" max="38" width="20.5546875" bestFit="1" customWidth="1"/>
    <col min="39" max="39" width="17.5546875" bestFit="1" customWidth="1"/>
    <col min="40" max="40" width="20.44140625" bestFit="1" customWidth="1"/>
    <col min="41" max="41" width="10.44140625" bestFit="1" customWidth="1"/>
    <col min="43" max="43" width="21.5546875" bestFit="1" customWidth="1"/>
    <col min="44" max="44" width="11.44140625" bestFit="1" customWidth="1"/>
    <col min="45" max="45" width="10.88671875" bestFit="1" customWidth="1"/>
    <col min="47" max="47" width="14.109375" bestFit="1" customWidth="1"/>
    <col min="48" max="48" width="8.6640625" bestFit="1" customWidth="1"/>
    <col min="49" max="49" width="6.5546875" bestFit="1" customWidth="1"/>
    <col min="51" max="51" width="12.44140625" bestFit="1" customWidth="1"/>
    <col min="52" max="52" width="23.44140625" bestFit="1" customWidth="1"/>
    <col min="53" max="53" width="26.109375" customWidth="1"/>
    <col min="54" max="54" width="17.44140625" customWidth="1"/>
    <col min="55" max="55" width="14.5546875" bestFit="1" customWidth="1"/>
    <col min="56" max="56" width="13.44140625" bestFit="1" customWidth="1"/>
    <col min="57" max="57" width="11.44140625" bestFit="1" customWidth="1"/>
    <col min="58" max="58" width="14" bestFit="1" customWidth="1"/>
    <col min="59" max="59" width="37.109375" bestFit="1" customWidth="1"/>
    <col min="60" max="60" width="39" bestFit="1" customWidth="1"/>
    <col min="61" max="61" width="18.5546875" bestFit="1" customWidth="1"/>
    <col min="62" max="62" width="18.5546875" customWidth="1"/>
    <col min="64" max="64" width="26.33203125" bestFit="1" customWidth="1"/>
    <col min="65" max="66" width="10.44140625" bestFit="1" customWidth="1"/>
    <col min="68" max="68" width="10.88671875" bestFit="1" customWidth="1"/>
    <col min="69" max="69" width="5.44140625" bestFit="1" customWidth="1"/>
    <col min="71" max="71" width="13.44140625" bestFit="1" customWidth="1"/>
    <col min="72" max="72" width="2.88671875" bestFit="1" customWidth="1"/>
    <col min="73" max="73" width="4.44140625" bestFit="1" customWidth="1"/>
    <col min="74" max="74" width="10.6640625" bestFit="1" customWidth="1"/>
    <col min="76" max="76" width="27.88671875" bestFit="1" customWidth="1"/>
    <col min="77" max="77" width="9.44140625" bestFit="1" customWidth="1"/>
    <col min="78" max="78" width="10.44140625" bestFit="1" customWidth="1"/>
    <col min="80" max="80" width="20.6640625" bestFit="1" customWidth="1"/>
    <col min="82" max="82" width="26" style="1" bestFit="1" customWidth="1"/>
    <col min="83" max="84" width="14.88671875" bestFit="1" customWidth="1"/>
    <col min="85" max="85" width="18.5546875" bestFit="1" customWidth="1"/>
    <col min="86" max="86" width="12" bestFit="1" customWidth="1"/>
    <col min="87" max="87" width="10.88671875" bestFit="1" customWidth="1"/>
    <col min="89" max="90" width="13.33203125" bestFit="1" customWidth="1"/>
    <col min="91" max="91" width="11" bestFit="1" customWidth="1"/>
  </cols>
  <sheetData>
    <row r="1" spans="2:92" x14ac:dyDescent="0.3">
      <c r="J1" s="42" t="s">
        <v>161</v>
      </c>
      <c r="O1" t="s">
        <v>143</v>
      </c>
      <c r="T1" t="s">
        <v>277</v>
      </c>
      <c r="Y1" s="221" t="s">
        <v>398</v>
      </c>
      <c r="Z1" s="221"/>
      <c r="AA1" s="221"/>
      <c r="AD1" t="s">
        <v>118</v>
      </c>
      <c r="AH1"/>
      <c r="AJ1" t="s">
        <v>109</v>
      </c>
      <c r="AQ1" t="s">
        <v>419</v>
      </c>
      <c r="AU1" t="s">
        <v>29</v>
      </c>
      <c r="BM1" s="2"/>
      <c r="BS1" t="s">
        <v>254</v>
      </c>
      <c r="BX1" s="2" t="s">
        <v>335</v>
      </c>
      <c r="CD1" s="1" t="s">
        <v>423</v>
      </c>
    </row>
    <row r="2" spans="2:92" s="2" customFormat="1" x14ac:dyDescent="0.3">
      <c r="I2"/>
      <c r="J2" s="42" t="s">
        <v>283</v>
      </c>
      <c r="K2"/>
      <c r="L2"/>
      <c r="M2"/>
      <c r="N2"/>
      <c r="O2" s="223" t="s">
        <v>34</v>
      </c>
      <c r="P2" s="223" t="s">
        <v>144</v>
      </c>
      <c r="Q2" s="223" t="s">
        <v>145</v>
      </c>
      <c r="R2"/>
      <c r="S2"/>
      <c r="T2" s="223" t="s">
        <v>34</v>
      </c>
      <c r="U2" s="223" t="s">
        <v>144</v>
      </c>
      <c r="V2" s="223" t="s">
        <v>145</v>
      </c>
      <c r="Y2" s="2">
        <v>1</v>
      </c>
      <c r="Z2" s="2">
        <v>2</v>
      </c>
      <c r="AA2" s="2">
        <v>3</v>
      </c>
      <c r="AD2" s="2">
        <v>1</v>
      </c>
      <c r="AE2" s="2">
        <v>2</v>
      </c>
      <c r="AF2" s="2">
        <v>3</v>
      </c>
      <c r="AG2" s="2">
        <v>4</v>
      </c>
      <c r="AH2"/>
      <c r="AJ2" s="2">
        <v>1</v>
      </c>
      <c r="AK2" s="2">
        <v>2</v>
      </c>
      <c r="AL2" s="2">
        <v>3</v>
      </c>
      <c r="AM2" s="2">
        <v>4</v>
      </c>
      <c r="AN2" s="2">
        <v>5</v>
      </c>
      <c r="AO2"/>
      <c r="AQ2" s="2">
        <v>1</v>
      </c>
      <c r="AR2" s="2">
        <v>2</v>
      </c>
      <c r="AS2" s="2">
        <v>3</v>
      </c>
      <c r="AU2" s="2">
        <v>1</v>
      </c>
      <c r="AV2" s="2">
        <v>2</v>
      </c>
      <c r="AW2" s="2">
        <v>3</v>
      </c>
      <c r="AX2" s="2">
        <v>4</v>
      </c>
      <c r="AY2" s="2">
        <v>5</v>
      </c>
      <c r="AZ2" s="2">
        <v>6</v>
      </c>
      <c r="BA2" s="2">
        <v>7</v>
      </c>
      <c r="BB2" s="2">
        <v>8</v>
      </c>
      <c r="BC2" s="2">
        <v>9</v>
      </c>
      <c r="BD2" s="2">
        <v>10</v>
      </c>
      <c r="BE2" s="2">
        <v>11</v>
      </c>
      <c r="BF2" s="2">
        <v>12</v>
      </c>
      <c r="BG2" s="2">
        <v>13</v>
      </c>
      <c r="BH2" s="2">
        <v>14</v>
      </c>
      <c r="BI2" s="2">
        <v>15</v>
      </c>
      <c r="BL2" s="2" t="s">
        <v>263</v>
      </c>
      <c r="BP2" t="s">
        <v>245</v>
      </c>
      <c r="BQ2"/>
      <c r="BR2"/>
      <c r="BS2">
        <v>0.06</v>
      </c>
      <c r="BT2">
        <v>16</v>
      </c>
      <c r="BU2" t="s">
        <v>233</v>
      </c>
      <c r="BV2" t="s">
        <v>234</v>
      </c>
      <c r="BW2"/>
      <c r="BX2" s="2">
        <v>1</v>
      </c>
      <c r="BY2" s="2">
        <v>2</v>
      </c>
      <c r="BZ2" s="2">
        <v>3</v>
      </c>
      <c r="CD2" s="2">
        <v>1</v>
      </c>
      <c r="CE2" s="2">
        <v>2</v>
      </c>
      <c r="CF2" s="2">
        <v>3</v>
      </c>
      <c r="CG2" s="2">
        <v>4</v>
      </c>
      <c r="CH2" s="2">
        <v>5</v>
      </c>
    </row>
    <row r="3" spans="2:92" ht="28.8" x14ac:dyDescent="0.3">
      <c r="B3" t="s">
        <v>18</v>
      </c>
      <c r="D3" t="s">
        <v>218</v>
      </c>
      <c r="F3" t="s">
        <v>285</v>
      </c>
      <c r="H3" t="s">
        <v>252</v>
      </c>
      <c r="J3" s="103">
        <v>1</v>
      </c>
      <c r="K3" s="103">
        <v>2</v>
      </c>
      <c r="O3" s="224"/>
      <c r="P3" s="224"/>
      <c r="Q3" s="224"/>
      <c r="T3" s="224"/>
      <c r="U3" s="224"/>
      <c r="V3" s="224"/>
      <c r="Y3" t="s">
        <v>396</v>
      </c>
      <c r="Z3" t="s">
        <v>397</v>
      </c>
      <c r="AD3" s="2" t="s">
        <v>119</v>
      </c>
      <c r="AE3" s="2" t="s">
        <v>120</v>
      </c>
      <c r="AF3" t="s">
        <v>146</v>
      </c>
      <c r="AG3" s="40" t="s">
        <v>147</v>
      </c>
      <c r="AH3"/>
      <c r="AJ3" t="s">
        <v>97</v>
      </c>
      <c r="AK3" t="s">
        <v>105</v>
      </c>
      <c r="AL3" t="s">
        <v>106</v>
      </c>
      <c r="AM3" t="s">
        <v>107</v>
      </c>
      <c r="AN3" t="s">
        <v>108</v>
      </c>
      <c r="AQ3" t="s">
        <v>417</v>
      </c>
      <c r="AR3" t="s">
        <v>418</v>
      </c>
      <c r="AU3" t="s">
        <v>415</v>
      </c>
      <c r="AV3" t="s">
        <v>38</v>
      </c>
      <c r="AW3" t="s">
        <v>21</v>
      </c>
      <c r="AX3" t="s">
        <v>22</v>
      </c>
      <c r="AY3" t="s">
        <v>23</v>
      </c>
      <c r="AZ3" t="s">
        <v>25</v>
      </c>
      <c r="BA3" t="s">
        <v>26</v>
      </c>
      <c r="BB3" t="s">
        <v>69</v>
      </c>
      <c r="BC3" t="s">
        <v>70</v>
      </c>
      <c r="BD3" t="s">
        <v>92</v>
      </c>
      <c r="BE3" t="s">
        <v>93</v>
      </c>
      <c r="BF3" t="s">
        <v>94</v>
      </c>
      <c r="BG3" t="s">
        <v>24</v>
      </c>
      <c r="BH3" t="s">
        <v>27</v>
      </c>
      <c r="BI3" t="s">
        <v>416</v>
      </c>
      <c r="BL3" s="2">
        <v>1</v>
      </c>
      <c r="BM3" s="2">
        <v>2</v>
      </c>
      <c r="BN3" s="2">
        <v>3</v>
      </c>
      <c r="BP3" s="2">
        <v>1</v>
      </c>
      <c r="BQ3" s="2">
        <v>2</v>
      </c>
      <c r="BS3">
        <v>7.4999999999999997E-2</v>
      </c>
      <c r="BT3">
        <v>15</v>
      </c>
      <c r="BU3" t="s">
        <v>233</v>
      </c>
      <c r="BV3" t="s">
        <v>234</v>
      </c>
      <c r="BX3" s="2" t="s">
        <v>337</v>
      </c>
      <c r="BY3" s="2"/>
      <c r="BZ3" s="2"/>
      <c r="CB3" t="s">
        <v>358</v>
      </c>
      <c r="CD3" s="26" t="s">
        <v>424</v>
      </c>
      <c r="CE3" s="2" t="s">
        <v>420</v>
      </c>
      <c r="CF3" s="2" t="s">
        <v>421</v>
      </c>
      <c r="CG3" s="2" t="s">
        <v>422</v>
      </c>
      <c r="CH3" s="154" t="s">
        <v>425</v>
      </c>
      <c r="CK3" t="s">
        <v>426</v>
      </c>
      <c r="CL3" t="s">
        <v>427</v>
      </c>
      <c r="CM3" t="s">
        <v>428</v>
      </c>
    </row>
    <row r="4" spans="2:92" x14ac:dyDescent="0.3">
      <c r="B4" s="39" t="s">
        <v>13</v>
      </c>
      <c r="D4" s="39" t="s">
        <v>219</v>
      </c>
      <c r="F4" s="105" t="s">
        <v>235</v>
      </c>
      <c r="H4" s="39" t="s">
        <v>236</v>
      </c>
      <c r="J4" s="106" t="s">
        <v>200</v>
      </c>
      <c r="K4" s="39" t="s">
        <v>282</v>
      </c>
      <c r="L4" s="39" t="s">
        <v>110</v>
      </c>
      <c r="N4">
        <f>O4-P4</f>
        <v>0.125</v>
      </c>
      <c r="O4" s="39">
        <v>0.375</v>
      </c>
      <c r="P4" s="39">
        <v>0.25</v>
      </c>
      <c r="Q4" s="102">
        <f t="shared" ref="Q4:Q24" si="0">DEGREES(ATAN(P4/(O4-0.00001)))</f>
        <v>33.690772717823457</v>
      </c>
      <c r="T4" s="39">
        <v>0.375</v>
      </c>
      <c r="U4" s="101">
        <f>T4*TAN(RADIANS(V4))</f>
        <v>0.17486537180812448</v>
      </c>
      <c r="V4">
        <v>25</v>
      </c>
      <c r="Y4" s="136">
        <v>0</v>
      </c>
      <c r="Z4" s="136">
        <v>30</v>
      </c>
      <c r="AA4" s="39" t="s">
        <v>110</v>
      </c>
      <c r="AD4" s="39" t="s">
        <v>115</v>
      </c>
      <c r="AE4" s="104">
        <v>1</v>
      </c>
      <c r="AF4" s="39" t="s">
        <v>148</v>
      </c>
      <c r="AG4" s="39" t="s">
        <v>149</v>
      </c>
      <c r="AH4" s="39" t="s">
        <v>150</v>
      </c>
      <c r="AJ4" s="39" t="s">
        <v>98</v>
      </c>
      <c r="AK4" s="104">
        <v>1.375</v>
      </c>
      <c r="AL4" s="104">
        <v>2.625</v>
      </c>
      <c r="AM4" s="104">
        <v>1.0625</v>
      </c>
      <c r="AN4" s="104">
        <v>1</v>
      </c>
      <c r="AO4" s="39" t="s">
        <v>110</v>
      </c>
      <c r="AQ4" s="39">
        <v>0.5</v>
      </c>
      <c r="AR4" s="39">
        <v>1.4E-2</v>
      </c>
      <c r="AS4" s="39" t="s">
        <v>110</v>
      </c>
      <c r="AU4" s="39">
        <v>0.625</v>
      </c>
      <c r="AV4" s="39">
        <v>0.625</v>
      </c>
      <c r="AW4" s="39">
        <v>1.5</v>
      </c>
      <c r="AX4" s="39">
        <v>1.5</v>
      </c>
      <c r="AY4" s="39">
        <v>1.125</v>
      </c>
      <c r="AZ4" s="39">
        <v>1.4375</v>
      </c>
      <c r="BA4" s="39">
        <v>1.625</v>
      </c>
      <c r="BB4" s="39">
        <v>0.59375</v>
      </c>
      <c r="BC4" s="39">
        <v>0.63200000000000001</v>
      </c>
      <c r="BD4" s="39">
        <v>0.375</v>
      </c>
      <c r="BE4" s="39">
        <v>3.7499999999999999E-2</v>
      </c>
      <c r="BF4" s="39">
        <v>20</v>
      </c>
      <c r="BG4" s="149" t="str">
        <f>CONCATENATE("End Plate Thk@Header Sketch - 1 + ",AZ4)</f>
        <v>End Plate Thk@Header Sketch - 1 + 1.4375</v>
      </c>
      <c r="BH4" s="149" t="str">
        <f>CONCATENATE("Wrapper Thk@Header Sketch - 1 + ",BA4)</f>
        <v>Wrapper Thk@Header Sketch - 1 + 1.625</v>
      </c>
      <c r="BI4" s="39">
        <v>0.5</v>
      </c>
      <c r="BJ4" s="39" t="s">
        <v>110</v>
      </c>
      <c r="BL4" t="s">
        <v>265</v>
      </c>
      <c r="BM4" s="2" t="s">
        <v>264</v>
      </c>
      <c r="BP4" t="s">
        <v>246</v>
      </c>
      <c r="BS4">
        <v>8.5000000000000006E-2</v>
      </c>
      <c r="BT4">
        <v>14</v>
      </c>
      <c r="BU4" t="s">
        <v>233</v>
      </c>
      <c r="BV4" t="s">
        <v>234</v>
      </c>
      <c r="BX4" s="39" t="s">
        <v>336</v>
      </c>
      <c r="BY4" s="39"/>
      <c r="BZ4" s="39" t="s">
        <v>110</v>
      </c>
      <c r="CB4" s="39" t="s">
        <v>261</v>
      </c>
      <c r="CD4" s="39" t="str">
        <f t="shared" ref="CD4:CD16" si="1">CONCATENATE("TR",CE4,"x",CF4,"x",CG4)</f>
        <v>TR20x12x0.625</v>
      </c>
      <c r="CE4" s="151">
        <v>20</v>
      </c>
      <c r="CF4" s="151">
        <v>12.000000000000002</v>
      </c>
      <c r="CG4" s="151">
        <v>0.625</v>
      </c>
      <c r="CH4" s="39">
        <f t="shared" ref="CH4:CH67" si="2">CG4*2</f>
        <v>1.25</v>
      </c>
      <c r="CI4" s="39" t="s">
        <v>110</v>
      </c>
      <c r="CK4">
        <v>2</v>
      </c>
      <c r="CL4">
        <v>2</v>
      </c>
      <c r="CM4">
        <v>0.18750000000000003</v>
      </c>
      <c r="CN4" t="str" cm="1">
        <f t="array" ref="CN4">IFERROR(INDEX($CD$4:$CD$267, MATCH(0,INDEX(COUNTIF($B$1:B1, $A$2:$A$10)+(COUNTIF($A$2:$A$10, $A$2:$A$10)&lt;&gt;1),0,0), 0)), "")</f>
        <v/>
      </c>
    </row>
    <row r="5" spans="2:92" x14ac:dyDescent="0.3">
      <c r="B5" s="39" t="s">
        <v>14</v>
      </c>
      <c r="D5" s="39" t="s">
        <v>226</v>
      </c>
      <c r="F5" s="105" t="s">
        <v>237</v>
      </c>
      <c r="H5" s="39" t="s">
        <v>238</v>
      </c>
      <c r="J5" s="106" t="s">
        <v>201</v>
      </c>
      <c r="K5" s="39" t="s">
        <v>279</v>
      </c>
      <c r="L5" s="39" t="s">
        <v>110</v>
      </c>
      <c r="N5">
        <f t="shared" ref="N5:N15" si="3">O5-P5</f>
        <v>0.25</v>
      </c>
      <c r="O5" s="39">
        <v>0.5</v>
      </c>
      <c r="P5" s="39">
        <v>0.25</v>
      </c>
      <c r="Q5" s="102">
        <f t="shared" si="0"/>
        <v>26.565509550648063</v>
      </c>
      <c r="T5" s="39">
        <v>0.5</v>
      </c>
      <c r="U5" s="101">
        <f t="shared" ref="U5:U24" si="4">T5*TAN(RADIANS(V5))</f>
        <v>0.18198511713310117</v>
      </c>
      <c r="V5">
        <v>20</v>
      </c>
      <c r="Y5" s="137">
        <v>1.5</v>
      </c>
      <c r="Z5" s="137">
        <v>30</v>
      </c>
      <c r="AA5" s="39" t="s">
        <v>110</v>
      </c>
      <c r="AD5" s="39" t="s">
        <v>328</v>
      </c>
      <c r="AE5" s="104">
        <v>1.5</v>
      </c>
      <c r="AF5" s="39" t="s">
        <v>148</v>
      </c>
      <c r="AG5" s="39" t="s">
        <v>149</v>
      </c>
      <c r="AH5" s="39" t="s">
        <v>150</v>
      </c>
      <c r="AJ5" s="39" t="s">
        <v>99</v>
      </c>
      <c r="AK5" s="104">
        <v>1.125</v>
      </c>
      <c r="AL5" s="104">
        <v>1.375</v>
      </c>
      <c r="AM5" s="104">
        <v>0.875</v>
      </c>
      <c r="AN5" s="104">
        <v>0.75</v>
      </c>
      <c r="AO5" s="39" t="s">
        <v>110</v>
      </c>
      <c r="AQ5" s="39">
        <v>0.69899999999999995</v>
      </c>
      <c r="AR5" s="39">
        <v>1.6E-2</v>
      </c>
      <c r="AS5" s="39" t="s">
        <v>110</v>
      </c>
      <c r="AU5" s="39">
        <v>0.75000000000000011</v>
      </c>
      <c r="AV5" s="39">
        <v>0.75000000000000011</v>
      </c>
      <c r="AW5" s="39">
        <v>1.625</v>
      </c>
      <c r="AX5" s="39">
        <v>1.625</v>
      </c>
      <c r="AY5" s="39">
        <v>1.25</v>
      </c>
      <c r="AZ5" s="39">
        <v>1.5</v>
      </c>
      <c r="BA5" s="39">
        <v>1.6875</v>
      </c>
      <c r="BB5" s="39">
        <v>0.71875</v>
      </c>
      <c r="BC5" s="39">
        <v>0.75800000000000001</v>
      </c>
      <c r="BD5" s="39">
        <v>0.5</v>
      </c>
      <c r="BE5" s="39">
        <v>3.7499999999999999E-2</v>
      </c>
      <c r="BF5" s="39">
        <v>20</v>
      </c>
      <c r="BG5" s="149" t="str">
        <f t="shared" ref="BG5:BG9" si="5">CONCATENATE("End Plate Thk@Header Sketch - 1 + ",AZ5)</f>
        <v>End Plate Thk@Header Sketch - 1 + 1.5</v>
      </c>
      <c r="BH5" s="149" t="str">
        <f>CONCATENATE("Wrapper Thk@Header Sketch - 1 + ",BA5)</f>
        <v>Wrapper Thk@Header Sketch - 1 + 1.6875</v>
      </c>
      <c r="BI5" s="39">
        <v>0.5</v>
      </c>
      <c r="BJ5" s="39" t="s">
        <v>110</v>
      </c>
      <c r="BL5" s="39" t="s">
        <v>261</v>
      </c>
      <c r="BM5" s="104">
        <v>1</v>
      </c>
      <c r="BN5" s="39" t="s">
        <v>110</v>
      </c>
      <c r="BP5" t="s">
        <v>247</v>
      </c>
      <c r="BQ5" t="s">
        <v>248</v>
      </c>
      <c r="BS5">
        <v>0.11</v>
      </c>
      <c r="BT5">
        <v>12</v>
      </c>
      <c r="BU5" t="s">
        <v>233</v>
      </c>
      <c r="BV5" t="s">
        <v>234</v>
      </c>
      <c r="BX5" s="39" t="s">
        <v>338</v>
      </c>
      <c r="BY5" s="39"/>
      <c r="BZ5" s="39" t="s">
        <v>110</v>
      </c>
      <c r="CB5" s="39" t="s">
        <v>359</v>
      </c>
      <c r="CD5" s="39" t="str">
        <f t="shared" si="1"/>
        <v>TR20x12x0.5</v>
      </c>
      <c r="CE5" s="151">
        <v>20</v>
      </c>
      <c r="CF5" s="151">
        <v>12.000000000000002</v>
      </c>
      <c r="CG5" s="151">
        <v>0.5</v>
      </c>
      <c r="CH5" s="39">
        <f t="shared" si="2"/>
        <v>1</v>
      </c>
      <c r="CI5" s="39" t="s">
        <v>110</v>
      </c>
      <c r="CK5">
        <v>2.5</v>
      </c>
      <c r="CL5">
        <v>2.5</v>
      </c>
      <c r="CM5">
        <v>0.25</v>
      </c>
    </row>
    <row r="6" spans="2:92" x14ac:dyDescent="0.3">
      <c r="B6" s="39" t="s">
        <v>15</v>
      </c>
      <c r="D6" s="39" t="s">
        <v>220</v>
      </c>
      <c r="F6" s="105" t="s">
        <v>239</v>
      </c>
      <c r="H6" s="39" t="s">
        <v>240</v>
      </c>
      <c r="J6" s="106" t="s">
        <v>202</v>
      </c>
      <c r="K6" s="39" t="s">
        <v>279</v>
      </c>
      <c r="L6" s="39" t="s">
        <v>110</v>
      </c>
      <c r="N6">
        <f t="shared" si="3"/>
        <v>0.375</v>
      </c>
      <c r="O6" s="39">
        <v>0.625</v>
      </c>
      <c r="P6" s="39">
        <v>0.25</v>
      </c>
      <c r="Q6" s="102">
        <f t="shared" si="0"/>
        <v>21.80172560535766</v>
      </c>
      <c r="T6" s="39">
        <v>0.625</v>
      </c>
      <c r="U6" s="101">
        <f t="shared" si="4"/>
        <v>0.22748139641637646</v>
      </c>
      <c r="V6">
        <v>20</v>
      </c>
      <c r="Y6" s="136">
        <v>1.625</v>
      </c>
      <c r="Z6" s="136">
        <v>25</v>
      </c>
      <c r="AA6" s="39" t="s">
        <v>110</v>
      </c>
      <c r="AD6" s="39" t="s">
        <v>117</v>
      </c>
      <c r="AE6" s="104">
        <v>2</v>
      </c>
      <c r="AF6" s="39" t="s">
        <v>149</v>
      </c>
      <c r="AG6" s="39" t="s">
        <v>148</v>
      </c>
      <c r="AH6" s="39" t="s">
        <v>150</v>
      </c>
      <c r="AJ6" s="39" t="s">
        <v>100</v>
      </c>
      <c r="AK6" s="104">
        <v>1.125</v>
      </c>
      <c r="AL6" s="104">
        <v>1.875</v>
      </c>
      <c r="AM6" s="104">
        <v>0.875</v>
      </c>
      <c r="AN6" s="104">
        <v>0.75</v>
      </c>
      <c r="AO6" s="39" t="s">
        <v>110</v>
      </c>
      <c r="AQ6" s="39" t="s">
        <v>104</v>
      </c>
      <c r="AR6" s="39"/>
      <c r="AS6" s="39"/>
      <c r="AU6" s="39" t="s">
        <v>413</v>
      </c>
      <c r="AV6" s="147">
        <f>AV5</f>
        <v>0.75000000000000011</v>
      </c>
      <c r="AW6" s="149">
        <f>AW5+(2*0.1875)</f>
        <v>2</v>
      </c>
      <c r="AX6" s="148">
        <f>AW6</f>
        <v>2</v>
      </c>
      <c r="AY6" s="147">
        <f>AY5</f>
        <v>1.25</v>
      </c>
      <c r="AZ6" s="149">
        <f>AZ5+0.1875</f>
        <v>1.6875</v>
      </c>
      <c r="BA6" s="149">
        <f>BA5+0.1875</f>
        <v>1.875</v>
      </c>
      <c r="BB6" s="147">
        <f>BB5</f>
        <v>0.71875</v>
      </c>
      <c r="BC6" s="147">
        <f>BC5</f>
        <v>0.75800000000000001</v>
      </c>
      <c r="BD6" s="147">
        <f>BD5</f>
        <v>0.5</v>
      </c>
      <c r="BE6" s="147">
        <f>BE5</f>
        <v>3.7499999999999999E-2</v>
      </c>
      <c r="BF6" s="147">
        <f>BF5</f>
        <v>20</v>
      </c>
      <c r="BG6" s="149" t="str">
        <f t="shared" si="5"/>
        <v>End Plate Thk@Header Sketch - 1 + 1.6875</v>
      </c>
      <c r="BH6" s="149" t="str">
        <f>CONCATENATE("Wrapper Thk@Header Sketch - 1 + ",BA6)</f>
        <v>Wrapper Thk@Header Sketch - 1 + 1.875</v>
      </c>
      <c r="BI6" s="39">
        <v>0.69899999999999995</v>
      </c>
      <c r="BJ6" s="39" t="s">
        <v>110</v>
      </c>
      <c r="BL6" s="39" t="s">
        <v>258</v>
      </c>
      <c r="BM6" s="104">
        <v>2</v>
      </c>
      <c r="BN6" s="39" t="s">
        <v>110</v>
      </c>
      <c r="BP6" s="39">
        <v>3.5000000000000003E-2</v>
      </c>
      <c r="BQ6" s="39">
        <v>20</v>
      </c>
      <c r="BS6">
        <v>0.13400000000000001</v>
      </c>
      <c r="BT6">
        <v>10</v>
      </c>
      <c r="BU6" t="s">
        <v>233</v>
      </c>
      <c r="BV6" t="s">
        <v>234</v>
      </c>
      <c r="BX6" s="39" t="s">
        <v>104</v>
      </c>
      <c r="BY6" s="39" t="s">
        <v>104</v>
      </c>
      <c r="BZ6" s="39" t="s">
        <v>104</v>
      </c>
      <c r="CB6" s="39" t="s">
        <v>104</v>
      </c>
      <c r="CD6" s="39" t="str">
        <f t="shared" si="1"/>
        <v>TR20x12x0.375</v>
      </c>
      <c r="CE6" s="151">
        <v>20</v>
      </c>
      <c r="CF6" s="151">
        <v>12.000000000000002</v>
      </c>
      <c r="CG6" s="151">
        <v>0.37500000000000006</v>
      </c>
      <c r="CH6" s="39">
        <f t="shared" si="2"/>
        <v>0.75000000000000011</v>
      </c>
      <c r="CI6" s="39" t="s">
        <v>110</v>
      </c>
      <c r="CK6">
        <v>3.0000000000000004</v>
      </c>
      <c r="CL6">
        <v>3.0000000000000004</v>
      </c>
      <c r="CM6">
        <v>0.3125</v>
      </c>
    </row>
    <row r="7" spans="2:92" x14ac:dyDescent="0.3">
      <c r="B7" s="39" t="s">
        <v>16</v>
      </c>
      <c r="D7" s="39" t="s">
        <v>104</v>
      </c>
      <c r="F7" s="105" t="s">
        <v>241</v>
      </c>
      <c r="H7" s="39" t="s">
        <v>242</v>
      </c>
      <c r="J7" s="106" t="s">
        <v>203</v>
      </c>
      <c r="K7" s="39" t="s">
        <v>279</v>
      </c>
      <c r="L7" s="39" t="s">
        <v>110</v>
      </c>
      <c r="N7">
        <f t="shared" si="3"/>
        <v>0.4375</v>
      </c>
      <c r="O7" s="39">
        <v>0.75</v>
      </c>
      <c r="P7" s="39">
        <v>0.3125</v>
      </c>
      <c r="Q7" s="102">
        <f t="shared" si="0"/>
        <v>22.620136173746715</v>
      </c>
      <c r="T7" s="39">
        <v>0.75</v>
      </c>
      <c r="U7" s="101">
        <f t="shared" si="4"/>
        <v>0.27297767569965176</v>
      </c>
      <c r="V7">
        <v>20</v>
      </c>
      <c r="Y7" s="137">
        <v>2</v>
      </c>
      <c r="Z7" s="137">
        <v>25</v>
      </c>
      <c r="AA7" s="39" t="s">
        <v>110</v>
      </c>
      <c r="AD7" s="39" t="s">
        <v>116</v>
      </c>
      <c r="AE7" s="104">
        <v>3</v>
      </c>
      <c r="AF7" s="39" t="s">
        <v>148</v>
      </c>
      <c r="AG7" s="39" t="s">
        <v>149</v>
      </c>
      <c r="AH7" s="39" t="s">
        <v>150</v>
      </c>
      <c r="AJ7" s="39" t="s">
        <v>101</v>
      </c>
      <c r="AK7" s="104">
        <v>0.625</v>
      </c>
      <c r="AL7" s="104">
        <v>1.875</v>
      </c>
      <c r="AM7" s="104">
        <v>0.5</v>
      </c>
      <c r="AN7" s="104">
        <v>0.4375</v>
      </c>
      <c r="AO7" s="39" t="s">
        <v>110</v>
      </c>
      <c r="AU7" s="39">
        <v>1</v>
      </c>
      <c r="AV7" s="39">
        <v>1</v>
      </c>
      <c r="AW7" s="39">
        <v>2.25</v>
      </c>
      <c r="AX7" s="39">
        <v>2.25</v>
      </c>
      <c r="AY7" s="39">
        <v>1.5</v>
      </c>
      <c r="AZ7" s="39">
        <v>1.625</v>
      </c>
      <c r="BA7" s="39">
        <v>2</v>
      </c>
      <c r="BB7" s="39">
        <v>0.96875</v>
      </c>
      <c r="BC7" s="39">
        <v>1.01</v>
      </c>
      <c r="BD7" s="39">
        <v>0.6875</v>
      </c>
      <c r="BE7" s="39">
        <v>0.05</v>
      </c>
      <c r="BF7" s="39">
        <v>18</v>
      </c>
      <c r="BG7" s="149" t="str">
        <f t="shared" si="5"/>
        <v>End Plate Thk@Header Sketch - 1 + 1.625</v>
      </c>
      <c r="BH7" s="149" t="str">
        <f>CONCATENATE("Wrapper Thk@Header Sketch - 1.25 + ",BA7)</f>
        <v>Wrapper Thk@Header Sketch - 1.25 + 2</v>
      </c>
      <c r="BI7" s="39">
        <v>0.69899999999999995</v>
      </c>
      <c r="BJ7" s="39" t="s">
        <v>110</v>
      </c>
      <c r="BL7" s="39" t="s">
        <v>262</v>
      </c>
      <c r="BM7" s="104">
        <v>3</v>
      </c>
      <c r="BN7" s="39" t="s">
        <v>110</v>
      </c>
      <c r="BP7" s="39">
        <v>4.2000000000000003E-2</v>
      </c>
      <c r="BQ7" s="39">
        <v>19</v>
      </c>
      <c r="BS7" s="86">
        <v>0.14799999999999999</v>
      </c>
      <c r="BT7" s="86">
        <v>9</v>
      </c>
      <c r="BU7" s="86" t="s">
        <v>233</v>
      </c>
      <c r="BV7" s="86" t="s">
        <v>234</v>
      </c>
      <c r="CD7" s="39" t="str">
        <f t="shared" si="1"/>
        <v>TR20x12x0.3125</v>
      </c>
      <c r="CE7" s="151">
        <v>20</v>
      </c>
      <c r="CF7" s="151">
        <v>12.000000000000002</v>
      </c>
      <c r="CG7" s="151">
        <v>0.3125</v>
      </c>
      <c r="CH7" s="39">
        <f t="shared" si="2"/>
        <v>0.625</v>
      </c>
      <c r="CI7" s="39" t="s">
        <v>110</v>
      </c>
      <c r="CK7">
        <v>3.5</v>
      </c>
      <c r="CL7">
        <v>3.5</v>
      </c>
      <c r="CM7">
        <v>0.37500000000000006</v>
      </c>
    </row>
    <row r="8" spans="2:92" x14ac:dyDescent="0.3">
      <c r="B8" s="39" t="s">
        <v>17</v>
      </c>
      <c r="F8" s="105" t="s">
        <v>104</v>
      </c>
      <c r="H8" s="39" t="s">
        <v>243</v>
      </c>
      <c r="J8" s="106" t="s">
        <v>204</v>
      </c>
      <c r="K8" s="39" t="s">
        <v>279</v>
      </c>
      <c r="L8" s="39" t="s">
        <v>110</v>
      </c>
      <c r="N8">
        <f t="shared" si="3"/>
        <v>0.5625</v>
      </c>
      <c r="O8" s="39">
        <v>0.875</v>
      </c>
      <c r="P8" s="39">
        <v>0.3125</v>
      </c>
      <c r="Q8" s="102">
        <f t="shared" si="0"/>
        <v>19.654031465692235</v>
      </c>
      <c r="T8" s="39">
        <v>0.875</v>
      </c>
      <c r="U8" s="101">
        <f t="shared" si="4"/>
        <v>0.31847395498292708</v>
      </c>
      <c r="V8">
        <v>20</v>
      </c>
      <c r="Y8" s="136">
        <v>2.1280000000000001</v>
      </c>
      <c r="Z8" s="136">
        <v>20</v>
      </c>
      <c r="AA8" s="39" t="s">
        <v>110</v>
      </c>
      <c r="AD8" s="39" t="s">
        <v>104</v>
      </c>
      <c r="AE8" s="39"/>
      <c r="AF8" s="39"/>
      <c r="AG8" s="39"/>
      <c r="AH8" s="39" t="s">
        <v>150</v>
      </c>
      <c r="AJ8" s="39" t="s">
        <v>102</v>
      </c>
      <c r="AK8" s="104">
        <v>0.625</v>
      </c>
      <c r="AL8" s="104">
        <v>0.875</v>
      </c>
      <c r="AM8" s="104">
        <v>0.5</v>
      </c>
      <c r="AN8" s="104">
        <v>0.4375</v>
      </c>
      <c r="AO8" s="39" t="s">
        <v>110</v>
      </c>
      <c r="AU8" s="39">
        <v>1.25</v>
      </c>
      <c r="AV8" s="39">
        <v>1.25</v>
      </c>
      <c r="AW8" s="39">
        <v>2.5</v>
      </c>
      <c r="AX8" s="39">
        <v>2.5</v>
      </c>
      <c r="AY8" s="39">
        <v>1.75</v>
      </c>
      <c r="AZ8" s="39">
        <v>1.75</v>
      </c>
      <c r="BA8" s="39">
        <v>2.125</v>
      </c>
      <c r="BB8" s="39">
        <v>1.21875</v>
      </c>
      <c r="BC8" s="39">
        <v>1.2609999999999999</v>
      </c>
      <c r="BD8" s="39">
        <v>1</v>
      </c>
      <c r="BE8" s="39">
        <v>0.05</v>
      </c>
      <c r="BF8" s="39">
        <v>18</v>
      </c>
      <c r="BG8" s="149" t="str">
        <f t="shared" si="5"/>
        <v>End Plate Thk@Header Sketch - 1 + 1.75</v>
      </c>
      <c r="BH8" s="149" t="str">
        <f>CONCATENATE("Wrapper Thk@Header Sketch - 1.25 + ",BA8)</f>
        <v>Wrapper Thk@Header Sketch - 1.25 + 2.125</v>
      </c>
      <c r="BI8" s="39">
        <v>0.69899999999999995</v>
      </c>
      <c r="BJ8" s="39" t="s">
        <v>110</v>
      </c>
      <c r="BL8" s="39" t="s">
        <v>104</v>
      </c>
      <c r="BM8" s="39" t="s">
        <v>104</v>
      </c>
      <c r="BN8" s="39" t="s">
        <v>104</v>
      </c>
      <c r="BP8" s="39">
        <v>4.9000000000000002E-2</v>
      </c>
      <c r="BQ8" s="39">
        <v>18</v>
      </c>
      <c r="BS8">
        <v>6.5000000000000002E-2</v>
      </c>
      <c r="BT8">
        <v>16</v>
      </c>
      <c r="BU8" t="s">
        <v>233</v>
      </c>
      <c r="BV8" t="s">
        <v>244</v>
      </c>
      <c r="CD8" s="39" t="str">
        <f t="shared" si="1"/>
        <v>TR20x8x0.5</v>
      </c>
      <c r="CE8" s="151">
        <v>20</v>
      </c>
      <c r="CF8" s="151">
        <v>8</v>
      </c>
      <c r="CG8" s="151">
        <v>0.5</v>
      </c>
      <c r="CH8" s="39">
        <f t="shared" si="2"/>
        <v>1</v>
      </c>
      <c r="CI8" s="39" t="s">
        <v>110</v>
      </c>
      <c r="CK8">
        <v>4</v>
      </c>
      <c r="CL8">
        <v>4</v>
      </c>
      <c r="CM8">
        <v>0.5</v>
      </c>
    </row>
    <row r="9" spans="2:92" x14ac:dyDescent="0.3">
      <c r="B9" s="39" t="s">
        <v>19</v>
      </c>
      <c r="H9" s="39" t="s">
        <v>28</v>
      </c>
      <c r="J9" s="106" t="s">
        <v>205</v>
      </c>
      <c r="K9" s="39" t="s">
        <v>279</v>
      </c>
      <c r="L9" s="39" t="s">
        <v>110</v>
      </c>
      <c r="N9">
        <f t="shared" si="3"/>
        <v>0.625</v>
      </c>
      <c r="O9" s="39">
        <v>1</v>
      </c>
      <c r="P9" s="39">
        <v>0.375</v>
      </c>
      <c r="Q9" s="102">
        <f t="shared" si="0"/>
        <v>20.556233590921007</v>
      </c>
      <c r="T9" s="39">
        <v>1</v>
      </c>
      <c r="U9" s="101">
        <f t="shared" si="4"/>
        <v>0.36397023426620234</v>
      </c>
      <c r="V9">
        <v>20</v>
      </c>
      <c r="Y9" s="137">
        <v>2.5</v>
      </c>
      <c r="Z9" s="137">
        <v>20</v>
      </c>
      <c r="AA9" s="39" t="s">
        <v>110</v>
      </c>
      <c r="AH9"/>
      <c r="AJ9" s="39" t="s">
        <v>103</v>
      </c>
      <c r="AK9" s="104">
        <v>0.75</v>
      </c>
      <c r="AL9" s="104">
        <v>0.75</v>
      </c>
      <c r="AM9" s="104">
        <v>0.5625</v>
      </c>
      <c r="AN9" s="104">
        <v>0.4375</v>
      </c>
      <c r="AO9" s="39" t="s">
        <v>110</v>
      </c>
      <c r="AU9" s="39">
        <v>1.5000000000000002</v>
      </c>
      <c r="AV9" s="39">
        <v>1.5000000000000002</v>
      </c>
      <c r="AW9" s="39">
        <v>2.75</v>
      </c>
      <c r="AX9" s="39">
        <v>2.75</v>
      </c>
      <c r="AY9" s="39">
        <v>2</v>
      </c>
      <c r="AZ9" s="39">
        <v>1.875</v>
      </c>
      <c r="BA9" s="39">
        <v>2.25</v>
      </c>
      <c r="BB9" s="39">
        <v>1.46875</v>
      </c>
      <c r="BC9" s="39">
        <v>1.514</v>
      </c>
      <c r="BD9" s="39">
        <v>1.25</v>
      </c>
      <c r="BE9" s="39">
        <v>0.05</v>
      </c>
      <c r="BF9" s="39">
        <v>18</v>
      </c>
      <c r="BG9" s="149" t="str">
        <f t="shared" si="5"/>
        <v>End Plate Thk@Header Sketch - 1 + 1.875</v>
      </c>
      <c r="BH9" s="149" t="str">
        <f>CONCATENATE("Wrapper Thk@Header Sketch - 1.25 + ",BA9)</f>
        <v>Wrapper Thk@Header Sketch - 1.25 + 2.25</v>
      </c>
      <c r="BI9" s="39">
        <v>0.69899999999999995</v>
      </c>
      <c r="BJ9" s="39" t="s">
        <v>110</v>
      </c>
      <c r="BM9" s="2"/>
      <c r="BP9" s="39">
        <v>4.4999999999999998E-2</v>
      </c>
      <c r="BQ9" s="39">
        <v>18</v>
      </c>
      <c r="BS9">
        <v>7.4999999999999997E-2</v>
      </c>
      <c r="BT9">
        <v>15</v>
      </c>
      <c r="BU9" t="s">
        <v>233</v>
      </c>
      <c r="BV9" t="s">
        <v>244</v>
      </c>
      <c r="CD9" s="39" t="str">
        <f t="shared" si="1"/>
        <v>TR20x8x0.375</v>
      </c>
      <c r="CE9" s="151">
        <v>20</v>
      </c>
      <c r="CF9" s="151">
        <v>8</v>
      </c>
      <c r="CG9" s="151">
        <v>0.37500000000000006</v>
      </c>
      <c r="CH9" s="39">
        <f t="shared" si="2"/>
        <v>0.75000000000000011</v>
      </c>
      <c r="CI9" s="39" t="s">
        <v>110</v>
      </c>
      <c r="CK9">
        <v>4.5</v>
      </c>
      <c r="CL9">
        <v>4.5</v>
      </c>
      <c r="CM9">
        <v>0.5625</v>
      </c>
    </row>
    <row r="10" spans="2:92" x14ac:dyDescent="0.3">
      <c r="J10" s="106" t="s">
        <v>206</v>
      </c>
      <c r="K10" s="39" t="s">
        <v>282</v>
      </c>
      <c r="L10" s="39" t="s">
        <v>110</v>
      </c>
      <c r="N10">
        <f t="shared" si="3"/>
        <v>0.6875</v>
      </c>
      <c r="O10" s="39">
        <v>1.125</v>
      </c>
      <c r="P10" s="39">
        <v>0.4375</v>
      </c>
      <c r="Q10" s="102">
        <f t="shared" si="0"/>
        <v>21.250677549408138</v>
      </c>
      <c r="T10" s="39">
        <v>1.125</v>
      </c>
      <c r="U10" s="101">
        <f t="shared" si="4"/>
        <v>0.40946651354947761</v>
      </c>
      <c r="V10">
        <v>20</v>
      </c>
      <c r="Y10" s="39" t="s">
        <v>104</v>
      </c>
      <c r="Z10" s="39" t="s">
        <v>104</v>
      </c>
      <c r="AA10" s="39" t="s">
        <v>104</v>
      </c>
      <c r="AH10"/>
      <c r="AJ10" s="39" t="s">
        <v>104</v>
      </c>
      <c r="AK10" s="39"/>
      <c r="AL10" s="39"/>
      <c r="AM10" s="39"/>
      <c r="AN10" s="39"/>
      <c r="AO10" s="39"/>
      <c r="AU10" s="39" t="s">
        <v>28</v>
      </c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 t="s">
        <v>110</v>
      </c>
      <c r="BM10" s="2"/>
      <c r="BP10" s="39">
        <v>0.06</v>
      </c>
      <c r="BQ10" s="39">
        <v>16</v>
      </c>
      <c r="BS10">
        <v>8.3000000000000004E-2</v>
      </c>
      <c r="BT10">
        <v>14</v>
      </c>
      <c r="BU10" t="s">
        <v>233</v>
      </c>
      <c r="BV10" t="s">
        <v>244</v>
      </c>
      <c r="CD10" s="39" t="str">
        <f t="shared" si="1"/>
        <v>TR20x8x0.3125</v>
      </c>
      <c r="CE10" s="151">
        <v>20</v>
      </c>
      <c r="CF10" s="151">
        <v>8</v>
      </c>
      <c r="CG10" s="151">
        <v>0.3125</v>
      </c>
      <c r="CH10" s="39">
        <f t="shared" si="2"/>
        <v>0.625</v>
      </c>
      <c r="CI10" s="39" t="s">
        <v>110</v>
      </c>
      <c r="CK10">
        <v>5</v>
      </c>
      <c r="CL10">
        <v>5</v>
      </c>
      <c r="CM10">
        <v>0.625</v>
      </c>
    </row>
    <row r="11" spans="2:92" x14ac:dyDescent="0.3">
      <c r="J11" s="106" t="s">
        <v>207</v>
      </c>
      <c r="K11" s="39" t="s">
        <v>282</v>
      </c>
      <c r="L11" s="39" t="s">
        <v>110</v>
      </c>
      <c r="N11">
        <f t="shared" si="3"/>
        <v>0.75</v>
      </c>
      <c r="O11" s="39">
        <v>1.25</v>
      </c>
      <c r="P11" s="39">
        <v>0.5</v>
      </c>
      <c r="Q11" s="102">
        <f t="shared" si="0"/>
        <v>21.801567544764666</v>
      </c>
      <c r="T11" s="39">
        <v>1.25</v>
      </c>
      <c r="U11" s="101">
        <f t="shared" si="4"/>
        <v>0.45496279283275293</v>
      </c>
      <c r="V11">
        <v>20</v>
      </c>
      <c r="AH11"/>
      <c r="BM11" s="2"/>
      <c r="BP11" s="39">
        <v>6.5000000000000002E-2</v>
      </c>
      <c r="BQ11" s="39">
        <v>16</v>
      </c>
      <c r="BS11">
        <v>0.109</v>
      </c>
      <c r="BT11">
        <v>12</v>
      </c>
      <c r="BU11" t="s">
        <v>233</v>
      </c>
      <c r="BV11" t="s">
        <v>244</v>
      </c>
      <c r="CD11" s="39" t="str">
        <f t="shared" si="1"/>
        <v>TR20x4x0.5</v>
      </c>
      <c r="CE11" s="151">
        <v>20</v>
      </c>
      <c r="CF11" s="151">
        <v>4</v>
      </c>
      <c r="CG11" s="151">
        <v>0.5</v>
      </c>
      <c r="CH11" s="39">
        <f t="shared" si="2"/>
        <v>1</v>
      </c>
      <c r="CI11" s="39" t="s">
        <v>110</v>
      </c>
      <c r="CK11">
        <v>6.0000000000000009</v>
      </c>
      <c r="CL11">
        <v>6.0000000000000009</v>
      </c>
      <c r="CM11" t="s">
        <v>104</v>
      </c>
    </row>
    <row r="12" spans="2:92" x14ac:dyDescent="0.3">
      <c r="J12" s="106" t="s">
        <v>208</v>
      </c>
      <c r="K12" s="39" t="s">
        <v>279</v>
      </c>
      <c r="L12" s="39" t="s">
        <v>110</v>
      </c>
      <c r="N12">
        <f t="shared" si="3"/>
        <v>0.875</v>
      </c>
      <c r="O12" s="39">
        <v>1.375</v>
      </c>
      <c r="P12" s="39">
        <v>0.5</v>
      </c>
      <c r="Q12" s="102">
        <f t="shared" si="0"/>
        <v>19.983240352317605</v>
      </c>
      <c r="T12" s="39">
        <v>1.375</v>
      </c>
      <c r="U12" s="101">
        <f t="shared" si="4"/>
        <v>0.50045907211602825</v>
      </c>
      <c r="V12">
        <v>20</v>
      </c>
      <c r="Y12" t="s">
        <v>399</v>
      </c>
      <c r="AH12"/>
      <c r="AW12" t="s">
        <v>429</v>
      </c>
      <c r="BM12" s="2"/>
      <c r="BP12" s="39">
        <v>7.4999999999999997E-2</v>
      </c>
      <c r="BQ12" s="39">
        <v>15</v>
      </c>
      <c r="BS12">
        <v>0.13400000000000001</v>
      </c>
      <c r="BT12">
        <v>10</v>
      </c>
      <c r="BU12" t="s">
        <v>233</v>
      </c>
      <c r="BV12" t="s">
        <v>244</v>
      </c>
      <c r="CD12" s="39" t="str">
        <f t="shared" si="1"/>
        <v>TR20x4x0.375</v>
      </c>
      <c r="CE12" s="151">
        <v>20</v>
      </c>
      <c r="CF12" s="151">
        <v>4</v>
      </c>
      <c r="CG12" s="151">
        <v>0.37500000000000006</v>
      </c>
      <c r="CH12" s="39">
        <f t="shared" si="2"/>
        <v>0.75000000000000011</v>
      </c>
      <c r="CI12" s="39" t="s">
        <v>110</v>
      </c>
      <c r="CK12">
        <v>7</v>
      </c>
      <c r="CL12">
        <v>7</v>
      </c>
    </row>
    <row r="13" spans="2:92" x14ac:dyDescent="0.3">
      <c r="J13" s="106" t="s">
        <v>209</v>
      </c>
      <c r="K13" s="39" t="s">
        <v>282</v>
      </c>
      <c r="L13" s="39" t="s">
        <v>110</v>
      </c>
      <c r="N13">
        <f t="shared" si="3"/>
        <v>0.9375</v>
      </c>
      <c r="O13" s="39">
        <v>1.5</v>
      </c>
      <c r="P13" s="39">
        <v>0.5625</v>
      </c>
      <c r="Q13" s="102">
        <f t="shared" si="0"/>
        <v>20.556170800108166</v>
      </c>
      <c r="T13" s="39">
        <v>1.5</v>
      </c>
      <c r="U13" s="101">
        <f t="shared" si="4"/>
        <v>0.54595535139930351</v>
      </c>
      <c r="V13">
        <v>20</v>
      </c>
      <c r="AH13"/>
      <c r="BM13" s="2"/>
      <c r="BP13" s="39">
        <v>8.3000000000000004E-2</v>
      </c>
      <c r="BQ13" s="39">
        <v>14</v>
      </c>
      <c r="BS13">
        <v>0.14799999999999999</v>
      </c>
      <c r="BT13">
        <v>9</v>
      </c>
      <c r="BU13" t="s">
        <v>233</v>
      </c>
      <c r="BV13" t="s">
        <v>244</v>
      </c>
      <c r="CD13" s="39" t="str">
        <f t="shared" si="1"/>
        <v>TR20x4x0.3125</v>
      </c>
      <c r="CE13" s="151">
        <v>20</v>
      </c>
      <c r="CF13" s="151">
        <v>4</v>
      </c>
      <c r="CG13" s="151">
        <v>0.3125</v>
      </c>
      <c r="CH13" s="39">
        <f t="shared" si="2"/>
        <v>0.625</v>
      </c>
      <c r="CI13" s="39" t="s">
        <v>110</v>
      </c>
      <c r="CK13">
        <v>8</v>
      </c>
      <c r="CL13">
        <v>8</v>
      </c>
    </row>
    <row r="14" spans="2:92" x14ac:dyDescent="0.3">
      <c r="J14" s="106" t="s">
        <v>104</v>
      </c>
      <c r="K14" s="106" t="s">
        <v>104</v>
      </c>
      <c r="L14" s="106" t="s">
        <v>104</v>
      </c>
      <c r="N14">
        <f t="shared" si="3"/>
        <v>1</v>
      </c>
      <c r="O14" s="39">
        <v>1.625</v>
      </c>
      <c r="P14" s="39">
        <v>0.625</v>
      </c>
      <c r="Q14" s="102">
        <f t="shared" si="0"/>
        <v>21.03762916168299</v>
      </c>
      <c r="T14" s="39">
        <v>1.625</v>
      </c>
      <c r="U14" s="101">
        <f t="shared" si="4"/>
        <v>0.59145163068257878</v>
      </c>
      <c r="V14">
        <v>20</v>
      </c>
      <c r="AH14"/>
      <c r="BM14" s="2"/>
      <c r="BP14" s="39">
        <v>8.5000000000000006E-2</v>
      </c>
      <c r="BQ14" s="39">
        <v>14</v>
      </c>
      <c r="BS14" s="86">
        <v>4.9000000000000002E-2</v>
      </c>
      <c r="BT14" s="86">
        <v>18</v>
      </c>
      <c r="BU14" s="86" t="s">
        <v>233</v>
      </c>
      <c r="BV14" s="86" t="s">
        <v>244</v>
      </c>
      <c r="CD14" s="39" t="str">
        <f t="shared" si="1"/>
        <v>TR18x6x0.5</v>
      </c>
      <c r="CE14" s="151">
        <v>18</v>
      </c>
      <c r="CF14" s="151">
        <v>6.0000000000000009</v>
      </c>
      <c r="CG14" s="151">
        <v>0.5</v>
      </c>
      <c r="CH14" s="39">
        <f t="shared" si="2"/>
        <v>1</v>
      </c>
      <c r="CI14" s="39" t="s">
        <v>110</v>
      </c>
      <c r="CK14">
        <v>9</v>
      </c>
      <c r="CL14">
        <v>9</v>
      </c>
    </row>
    <row r="15" spans="2:92" x14ac:dyDescent="0.3">
      <c r="N15">
        <f t="shared" si="3"/>
        <v>1.0625</v>
      </c>
      <c r="O15" s="39">
        <v>1.75</v>
      </c>
      <c r="P15" s="39">
        <v>0.6875</v>
      </c>
      <c r="Q15" s="102">
        <f t="shared" si="0"/>
        <v>21.447847753703289</v>
      </c>
      <c r="T15" s="39">
        <v>1.75</v>
      </c>
      <c r="U15" s="101">
        <f t="shared" si="4"/>
        <v>0.63694790996585415</v>
      </c>
      <c r="V15">
        <v>20</v>
      </c>
      <c r="AH15"/>
      <c r="BM15" s="2"/>
      <c r="BP15" s="39">
        <v>0.109</v>
      </c>
      <c r="BQ15" s="39">
        <v>12</v>
      </c>
      <c r="BS15">
        <v>3.5000000000000003E-2</v>
      </c>
      <c r="BT15">
        <v>20</v>
      </c>
      <c r="BU15" t="s">
        <v>249</v>
      </c>
      <c r="BV15" t="s">
        <v>250</v>
      </c>
      <c r="CD15" s="39" t="str">
        <f t="shared" si="1"/>
        <v>TR18x6x0.375</v>
      </c>
      <c r="CE15" s="151">
        <v>18</v>
      </c>
      <c r="CF15" s="151">
        <v>6.0000000000000009</v>
      </c>
      <c r="CG15" s="151">
        <v>0.37500000000000006</v>
      </c>
      <c r="CH15" s="39">
        <f t="shared" si="2"/>
        <v>0.75000000000000011</v>
      </c>
      <c r="CI15" s="39" t="s">
        <v>110</v>
      </c>
      <c r="CK15">
        <v>10</v>
      </c>
      <c r="CL15">
        <v>10</v>
      </c>
    </row>
    <row r="16" spans="2:92" x14ac:dyDescent="0.3">
      <c r="J16" s="225" t="s">
        <v>448</v>
      </c>
      <c r="N16" s="222" t="s">
        <v>284</v>
      </c>
      <c r="O16" s="39">
        <v>2</v>
      </c>
      <c r="P16" s="39">
        <v>0.75</v>
      </c>
      <c r="Q16" s="102">
        <f t="shared" si="0"/>
        <v>20.556139404839367</v>
      </c>
      <c r="T16" s="39">
        <v>2</v>
      </c>
      <c r="U16" s="101">
        <f t="shared" si="4"/>
        <v>0.72794046853240468</v>
      </c>
      <c r="V16">
        <v>20</v>
      </c>
      <c r="AH16"/>
      <c r="BM16" s="2"/>
      <c r="BP16" s="39">
        <v>0.11</v>
      </c>
      <c r="BQ16" s="39">
        <v>12</v>
      </c>
      <c r="BS16">
        <v>4.9000000000000002E-2</v>
      </c>
      <c r="BT16">
        <v>18</v>
      </c>
      <c r="BU16" t="s">
        <v>249</v>
      </c>
      <c r="BV16" t="s">
        <v>250</v>
      </c>
      <c r="CD16" s="39" t="str">
        <f t="shared" si="1"/>
        <v>TR18x6x0.3125</v>
      </c>
      <c r="CE16" s="151">
        <v>18</v>
      </c>
      <c r="CF16" s="151">
        <v>6.0000000000000009</v>
      </c>
      <c r="CG16" s="151">
        <v>0.3125</v>
      </c>
      <c r="CH16" s="39">
        <f t="shared" si="2"/>
        <v>0.625</v>
      </c>
      <c r="CI16" s="39" t="s">
        <v>110</v>
      </c>
      <c r="CK16">
        <v>12.000000000000002</v>
      </c>
      <c r="CL16">
        <v>12.000000000000002</v>
      </c>
    </row>
    <row r="17" spans="10:90" x14ac:dyDescent="0.3">
      <c r="J17" s="106" t="s">
        <v>199</v>
      </c>
      <c r="K17" s="39" t="s">
        <v>282</v>
      </c>
      <c r="L17" s="39" t="s">
        <v>110</v>
      </c>
      <c r="N17" s="222"/>
      <c r="O17" s="39">
        <v>2.25</v>
      </c>
      <c r="P17" s="39">
        <v>0.875</v>
      </c>
      <c r="Q17" s="102">
        <f t="shared" si="0"/>
        <v>21.250591527938596</v>
      </c>
      <c r="T17" s="39">
        <v>2.25</v>
      </c>
      <c r="U17" s="101">
        <f t="shared" si="4"/>
        <v>0.81893302709895521</v>
      </c>
      <c r="V17">
        <v>20</v>
      </c>
      <c r="AH17"/>
      <c r="BM17" s="2"/>
      <c r="BP17" s="39">
        <v>0.13400000000000001</v>
      </c>
      <c r="BQ17" s="39">
        <v>10</v>
      </c>
      <c r="BS17">
        <v>6.5000000000000002E-2</v>
      </c>
      <c r="BT17">
        <v>16</v>
      </c>
      <c r="BU17" t="s">
        <v>249</v>
      </c>
      <c r="BV17" t="s">
        <v>250</v>
      </c>
      <c r="CD17" s="97" t="str">
        <f>CONCATENATE("TS",CE17,"x",CF17,"x",CG17)</f>
        <v>TS16x16x0.625</v>
      </c>
      <c r="CE17" s="152">
        <v>16</v>
      </c>
      <c r="CF17" s="152">
        <v>16</v>
      </c>
      <c r="CG17" s="152">
        <v>0.625</v>
      </c>
      <c r="CH17" s="97">
        <f t="shared" si="2"/>
        <v>1.25</v>
      </c>
      <c r="CI17" s="39" t="s">
        <v>110</v>
      </c>
      <c r="CK17">
        <v>14</v>
      </c>
      <c r="CL17">
        <v>14</v>
      </c>
    </row>
    <row r="18" spans="10:90" x14ac:dyDescent="0.3">
      <c r="J18" s="225"/>
      <c r="N18" s="222"/>
      <c r="O18" s="39">
        <v>2.5</v>
      </c>
      <c r="P18" s="39">
        <v>0.9375</v>
      </c>
      <c r="Q18" s="102">
        <f t="shared" si="0"/>
        <v>20.556120567722129</v>
      </c>
      <c r="T18" s="39">
        <v>2.5</v>
      </c>
      <c r="U18" s="101">
        <f t="shared" si="4"/>
        <v>0.90992558566550585</v>
      </c>
      <c r="V18">
        <v>20</v>
      </c>
      <c r="AH18"/>
      <c r="BM18" s="2"/>
      <c r="BP18" s="39">
        <v>0.14799999999999999</v>
      </c>
      <c r="BQ18" s="39">
        <v>9</v>
      </c>
      <c r="BS18">
        <v>8.3000000000000004E-2</v>
      </c>
      <c r="BT18">
        <v>14</v>
      </c>
      <c r="BU18" t="s">
        <v>249</v>
      </c>
      <c r="BV18" t="s">
        <v>250</v>
      </c>
      <c r="CD18" s="97" t="str">
        <f>CONCATENATE("TS",CE18,"x",CF18,"x",CG18)</f>
        <v>TS16x16x0.5</v>
      </c>
      <c r="CE18" s="152">
        <v>16</v>
      </c>
      <c r="CF18" s="152">
        <v>16</v>
      </c>
      <c r="CG18" s="152">
        <v>0.5</v>
      </c>
      <c r="CH18" s="97">
        <f t="shared" si="2"/>
        <v>1</v>
      </c>
      <c r="CI18" s="39" t="s">
        <v>110</v>
      </c>
      <c r="CK18">
        <v>16</v>
      </c>
      <c r="CL18">
        <v>16</v>
      </c>
    </row>
    <row r="19" spans="10:90" x14ac:dyDescent="0.3">
      <c r="N19" s="222"/>
      <c r="O19" s="39">
        <v>2.75</v>
      </c>
      <c r="P19" s="39">
        <v>1</v>
      </c>
      <c r="Q19" s="102">
        <f t="shared" si="0"/>
        <v>19.983173436893882</v>
      </c>
      <c r="T19" s="39">
        <v>2.75</v>
      </c>
      <c r="U19" s="101">
        <f t="shared" si="4"/>
        <v>1.0009181442320565</v>
      </c>
      <c r="V19">
        <v>20</v>
      </c>
      <c r="AH19"/>
      <c r="BM19" s="2"/>
      <c r="BP19" s="39" t="s">
        <v>104</v>
      </c>
      <c r="BQ19" s="39"/>
      <c r="BS19">
        <v>0.109</v>
      </c>
      <c r="BT19">
        <v>12</v>
      </c>
      <c r="BU19" t="s">
        <v>249</v>
      </c>
      <c r="BV19" t="s">
        <v>250</v>
      </c>
      <c r="CD19" s="97" t="str">
        <f>CONCATENATE("TS",CE19,"x",CF19,"x",CG19)</f>
        <v>TS16x16x0.375</v>
      </c>
      <c r="CE19" s="152">
        <v>16</v>
      </c>
      <c r="CF19" s="152">
        <v>16</v>
      </c>
      <c r="CG19" s="152">
        <v>0.37500000000000006</v>
      </c>
      <c r="CH19" s="97">
        <f t="shared" si="2"/>
        <v>0.75000000000000011</v>
      </c>
      <c r="CI19" s="39" t="s">
        <v>110</v>
      </c>
      <c r="CK19">
        <v>18</v>
      </c>
      <c r="CL19" t="s">
        <v>104</v>
      </c>
    </row>
    <row r="20" spans="10:90" x14ac:dyDescent="0.3">
      <c r="N20" s="222"/>
      <c r="O20" s="39">
        <v>3</v>
      </c>
      <c r="P20" s="39">
        <v>1.125</v>
      </c>
      <c r="Q20" s="102">
        <f t="shared" si="0"/>
        <v>20.556108009662317</v>
      </c>
      <c r="T20" s="39">
        <v>3</v>
      </c>
      <c r="U20" s="101">
        <f t="shared" si="4"/>
        <v>1.091910702798607</v>
      </c>
      <c r="V20">
        <v>20</v>
      </c>
      <c r="AH20"/>
      <c r="BM20" s="2"/>
      <c r="BS20">
        <v>0.13400000000000001</v>
      </c>
      <c r="BT20">
        <v>10</v>
      </c>
      <c r="BU20" t="s">
        <v>249</v>
      </c>
      <c r="BV20" t="s">
        <v>250</v>
      </c>
      <c r="CD20" s="97" t="str">
        <f>CONCATENATE("TS",CE20,"x",CF20,"x",CG20)</f>
        <v>TS16x16x0.3125</v>
      </c>
      <c r="CE20" s="152">
        <v>16</v>
      </c>
      <c r="CF20" s="152">
        <v>16</v>
      </c>
      <c r="CG20" s="152">
        <v>0.3125</v>
      </c>
      <c r="CH20" s="97">
        <f t="shared" si="2"/>
        <v>0.625</v>
      </c>
      <c r="CI20" s="39" t="s">
        <v>110</v>
      </c>
      <c r="CK20">
        <v>20</v>
      </c>
    </row>
    <row r="21" spans="10:90" x14ac:dyDescent="0.3">
      <c r="N21" s="98">
        <v>1.25</v>
      </c>
      <c r="O21" s="39">
        <v>3.25</v>
      </c>
      <c r="P21" s="97">
        <v>3.125</v>
      </c>
      <c r="Q21" s="102">
        <f t="shared" si="0"/>
        <v>43.876785365664951</v>
      </c>
      <c r="T21" s="39">
        <v>3.25</v>
      </c>
      <c r="U21" s="101">
        <f t="shared" si="4"/>
        <v>0</v>
      </c>
      <c r="V21">
        <v>0</v>
      </c>
      <c r="AH21"/>
      <c r="BM21" s="2"/>
      <c r="BS21" s="86">
        <v>0.14799999999999999</v>
      </c>
      <c r="BT21" s="86">
        <v>9</v>
      </c>
      <c r="BU21" s="86" t="s">
        <v>249</v>
      </c>
      <c r="BV21" s="86" t="s">
        <v>250</v>
      </c>
      <c r="CD21" s="39" t="str">
        <f t="shared" ref="CD21:CD30" si="6">CONCATENATE("TR",CE21,"x",CF21,"x",CG21)</f>
        <v>TR16x12x0.625</v>
      </c>
      <c r="CE21" s="151">
        <v>16</v>
      </c>
      <c r="CF21" s="151">
        <v>12.000000000000002</v>
      </c>
      <c r="CG21" s="151">
        <v>0.625</v>
      </c>
      <c r="CH21" s="39">
        <f t="shared" si="2"/>
        <v>1.25</v>
      </c>
      <c r="CI21" s="39" t="s">
        <v>110</v>
      </c>
      <c r="CK21" t="s">
        <v>104</v>
      </c>
    </row>
    <row r="22" spans="10:90" x14ac:dyDescent="0.3">
      <c r="N22" s="98">
        <v>1.375</v>
      </c>
      <c r="O22" s="39">
        <v>3.5</v>
      </c>
      <c r="P22" s="97">
        <v>3.375</v>
      </c>
      <c r="Q22" s="102">
        <f t="shared" si="0"/>
        <v>43.958455121126164</v>
      </c>
      <c r="T22" s="39">
        <v>3.5</v>
      </c>
      <c r="U22" s="101">
        <f t="shared" si="4"/>
        <v>0</v>
      </c>
      <c r="V22">
        <v>0</v>
      </c>
      <c r="AH22"/>
      <c r="BM22" s="2"/>
      <c r="BS22">
        <v>3.5000000000000003E-2</v>
      </c>
      <c r="BT22">
        <v>20</v>
      </c>
      <c r="BU22" t="s">
        <v>249</v>
      </c>
      <c r="BV22" t="s">
        <v>251</v>
      </c>
      <c r="CD22" s="39" t="str">
        <f t="shared" si="6"/>
        <v>TR16x12x0.5</v>
      </c>
      <c r="CE22" s="151">
        <v>16</v>
      </c>
      <c r="CF22" s="151">
        <v>12.000000000000002</v>
      </c>
      <c r="CG22" s="151">
        <v>0.5</v>
      </c>
      <c r="CH22" s="39">
        <f t="shared" si="2"/>
        <v>1</v>
      </c>
      <c r="CI22" s="39" t="s">
        <v>110</v>
      </c>
    </row>
    <row r="23" spans="10:90" x14ac:dyDescent="0.3">
      <c r="N23" s="98">
        <v>1.5</v>
      </c>
      <c r="O23" s="39">
        <v>3.75</v>
      </c>
      <c r="P23" s="97">
        <v>3.625</v>
      </c>
      <c r="Q23" s="102">
        <f t="shared" si="0"/>
        <v>44.02905441951917</v>
      </c>
      <c r="T23" s="39">
        <v>3.75</v>
      </c>
      <c r="U23" s="101">
        <f t="shared" si="4"/>
        <v>0</v>
      </c>
      <c r="V23">
        <v>0</v>
      </c>
      <c r="AH23"/>
      <c r="BS23">
        <v>4.9000000000000002E-2</v>
      </c>
      <c r="BT23">
        <v>18</v>
      </c>
      <c r="BU23" t="s">
        <v>249</v>
      </c>
      <c r="BV23" t="s">
        <v>251</v>
      </c>
      <c r="CD23" s="39" t="str">
        <f t="shared" si="6"/>
        <v>TR16x12x0.375</v>
      </c>
      <c r="CE23" s="151">
        <v>16</v>
      </c>
      <c r="CF23" s="151">
        <v>12.000000000000002</v>
      </c>
      <c r="CG23" s="151">
        <v>0.37500000000000006</v>
      </c>
      <c r="CH23" s="39">
        <f t="shared" si="2"/>
        <v>0.75000000000000011</v>
      </c>
      <c r="CI23" s="39" t="s">
        <v>110</v>
      </c>
    </row>
    <row r="24" spans="10:90" x14ac:dyDescent="0.3">
      <c r="N24" s="98">
        <v>1.5</v>
      </c>
      <c r="O24" s="39">
        <v>4</v>
      </c>
      <c r="P24" s="97">
        <v>3.875</v>
      </c>
      <c r="Q24" s="102">
        <f t="shared" si="0"/>
        <v>44.090691134537103</v>
      </c>
      <c r="T24" s="39">
        <v>4</v>
      </c>
      <c r="U24" s="101">
        <f t="shared" si="4"/>
        <v>0</v>
      </c>
      <c r="V24">
        <v>0</v>
      </c>
      <c r="AH24"/>
      <c r="BL24" s="2"/>
      <c r="BS24">
        <v>6.5000000000000002E-2</v>
      </c>
      <c r="BT24">
        <v>16</v>
      </c>
      <c r="BU24" t="s">
        <v>249</v>
      </c>
      <c r="BV24" t="s">
        <v>251</v>
      </c>
      <c r="CD24" s="39" t="str">
        <f t="shared" si="6"/>
        <v>TR16x12x0.3125</v>
      </c>
      <c r="CE24" s="151">
        <v>16</v>
      </c>
      <c r="CF24" s="151">
        <v>12.000000000000002</v>
      </c>
      <c r="CG24" s="151">
        <v>0.3125</v>
      </c>
      <c r="CH24" s="39">
        <f t="shared" si="2"/>
        <v>0.625</v>
      </c>
      <c r="CI24" s="39" t="s">
        <v>110</v>
      </c>
    </row>
    <row r="25" spans="10:90" x14ac:dyDescent="0.3">
      <c r="O25" t="s">
        <v>28</v>
      </c>
      <c r="P25" t="s">
        <v>28</v>
      </c>
      <c r="Q25" t="s">
        <v>28</v>
      </c>
      <c r="T25" t="s">
        <v>28</v>
      </c>
      <c r="U25" t="s">
        <v>28</v>
      </c>
      <c r="V25" t="s">
        <v>28</v>
      </c>
      <c r="AH25"/>
      <c r="BS25">
        <v>8.3000000000000004E-2</v>
      </c>
      <c r="BT25">
        <v>14</v>
      </c>
      <c r="BU25" t="s">
        <v>249</v>
      </c>
      <c r="BV25" t="s">
        <v>251</v>
      </c>
      <c r="CD25" s="39" t="str">
        <f t="shared" si="6"/>
        <v>TR16x8x0.5</v>
      </c>
      <c r="CE25" s="151">
        <v>16</v>
      </c>
      <c r="CF25" s="151">
        <v>8</v>
      </c>
      <c r="CG25" s="151">
        <v>0.5</v>
      </c>
      <c r="CH25" s="39">
        <f t="shared" si="2"/>
        <v>1</v>
      </c>
      <c r="CI25" s="39" t="s">
        <v>110</v>
      </c>
    </row>
    <row r="26" spans="10:90" x14ac:dyDescent="0.3">
      <c r="AH26"/>
      <c r="BS26">
        <v>0.109</v>
      </c>
      <c r="BT26">
        <v>12</v>
      </c>
      <c r="BU26" t="s">
        <v>249</v>
      </c>
      <c r="BV26" t="s">
        <v>251</v>
      </c>
      <c r="CD26" s="39" t="str">
        <f t="shared" si="6"/>
        <v>TR16x8x0.375</v>
      </c>
      <c r="CE26" s="151">
        <v>16</v>
      </c>
      <c r="CF26" s="151">
        <v>8</v>
      </c>
      <c r="CG26" s="151">
        <v>0.37500000000000006</v>
      </c>
      <c r="CH26" s="39">
        <f t="shared" si="2"/>
        <v>0.75000000000000011</v>
      </c>
      <c r="CI26" s="39" t="s">
        <v>110</v>
      </c>
    </row>
    <row r="27" spans="10:90" ht="14.25" customHeight="1" x14ac:dyDescent="0.3">
      <c r="AH27"/>
      <c r="BL27" s="2"/>
      <c r="BS27">
        <v>0.13400000000000001</v>
      </c>
      <c r="BT27">
        <v>10</v>
      </c>
      <c r="BU27" t="s">
        <v>249</v>
      </c>
      <c r="BV27" t="s">
        <v>251</v>
      </c>
      <c r="CD27" s="39" t="str">
        <f t="shared" si="6"/>
        <v>TR16x8x0.3125</v>
      </c>
      <c r="CE27" s="151">
        <v>16</v>
      </c>
      <c r="CF27" s="151">
        <v>8</v>
      </c>
      <c r="CG27" s="151">
        <v>0.3125</v>
      </c>
      <c r="CH27" s="39">
        <f t="shared" si="2"/>
        <v>0.625</v>
      </c>
      <c r="CI27" s="39" t="s">
        <v>110</v>
      </c>
    </row>
    <row r="28" spans="10:90" x14ac:dyDescent="0.3">
      <c r="AH28"/>
      <c r="BM28" s="2"/>
      <c r="BS28" s="86">
        <v>0.14799999999999999</v>
      </c>
      <c r="BT28" s="86">
        <v>9</v>
      </c>
      <c r="BU28" s="86" t="s">
        <v>249</v>
      </c>
      <c r="BV28" s="86" t="s">
        <v>251</v>
      </c>
      <c r="CD28" s="39" t="str">
        <f t="shared" si="6"/>
        <v>TR16x4x0.5</v>
      </c>
      <c r="CE28" s="151">
        <v>16</v>
      </c>
      <c r="CF28" s="151">
        <v>4</v>
      </c>
      <c r="CG28" s="151">
        <v>0.5</v>
      </c>
      <c r="CH28" s="39">
        <f t="shared" si="2"/>
        <v>1</v>
      </c>
      <c r="CI28" s="39" t="s">
        <v>110</v>
      </c>
    </row>
    <row r="29" spans="10:90" ht="14.25" customHeight="1" x14ac:dyDescent="0.3">
      <c r="AH29"/>
      <c r="BM29" s="2"/>
      <c r="CD29" s="39" t="str">
        <f t="shared" si="6"/>
        <v>TR16x4x0.375</v>
      </c>
      <c r="CE29" s="151">
        <v>16</v>
      </c>
      <c r="CF29" s="151">
        <v>4</v>
      </c>
      <c r="CG29" s="151">
        <v>0.37500000000000006</v>
      </c>
      <c r="CH29" s="39">
        <f t="shared" si="2"/>
        <v>0.75000000000000011</v>
      </c>
      <c r="CI29" s="39" t="s">
        <v>110</v>
      </c>
    </row>
    <row r="30" spans="10:90" ht="14.25" customHeight="1" x14ac:dyDescent="0.3">
      <c r="AH30"/>
      <c r="BM30" s="2"/>
      <c r="CD30" s="39" t="str">
        <f t="shared" si="6"/>
        <v>TR16x4x0.3125</v>
      </c>
      <c r="CE30" s="151">
        <v>16</v>
      </c>
      <c r="CF30" s="151">
        <v>4</v>
      </c>
      <c r="CG30" s="151">
        <v>0.3125</v>
      </c>
      <c r="CH30" s="39">
        <f t="shared" si="2"/>
        <v>0.625</v>
      </c>
      <c r="CI30" s="39" t="s">
        <v>110</v>
      </c>
    </row>
    <row r="31" spans="10:90" x14ac:dyDescent="0.3">
      <c r="AH31"/>
      <c r="BM31" s="2"/>
      <c r="CD31" s="97" t="str">
        <f>CONCATENATE("TS",CE31,"x",CF31,"x",CG31)</f>
        <v>TS14x14x0.625</v>
      </c>
      <c r="CE31" s="152">
        <v>14</v>
      </c>
      <c r="CF31" s="152">
        <v>14</v>
      </c>
      <c r="CG31" s="152">
        <v>0.625</v>
      </c>
      <c r="CH31" s="97">
        <f t="shared" si="2"/>
        <v>1.25</v>
      </c>
      <c r="CI31" s="39" t="s">
        <v>110</v>
      </c>
    </row>
    <row r="32" spans="10:90" x14ac:dyDescent="0.3">
      <c r="AH32"/>
      <c r="BM32" s="2"/>
      <c r="CD32" s="97" t="str">
        <f>CONCATENATE("TS",CE32,"x",CF32,"x",CG32)</f>
        <v>TS14x14x0.5</v>
      </c>
      <c r="CE32" s="152">
        <v>14</v>
      </c>
      <c r="CF32" s="152">
        <v>14</v>
      </c>
      <c r="CG32" s="152">
        <v>0.5</v>
      </c>
      <c r="CH32" s="97">
        <f t="shared" si="2"/>
        <v>1</v>
      </c>
      <c r="CI32" s="39" t="s">
        <v>110</v>
      </c>
    </row>
    <row r="33" spans="34:87" x14ac:dyDescent="0.3">
      <c r="AH33"/>
      <c r="BM33" s="2"/>
      <c r="CD33" s="97" t="str">
        <f>CONCATENATE("TS",CE33,"x",CF33,"x",CG33)</f>
        <v>TS14x14x0.375</v>
      </c>
      <c r="CE33" s="152">
        <v>14</v>
      </c>
      <c r="CF33" s="152">
        <v>14</v>
      </c>
      <c r="CG33" s="152">
        <v>0.37500000000000006</v>
      </c>
      <c r="CH33" s="97">
        <f t="shared" si="2"/>
        <v>0.75000000000000011</v>
      </c>
      <c r="CI33" s="39" t="s">
        <v>110</v>
      </c>
    </row>
    <row r="34" spans="34:87" x14ac:dyDescent="0.3">
      <c r="AH34"/>
      <c r="BM34" s="2"/>
      <c r="CD34" s="97" t="str">
        <f>CONCATENATE("TS",CE34,"x",CF34,"x",CG34)</f>
        <v>TS14x14x0.3125</v>
      </c>
      <c r="CE34" s="152">
        <v>14</v>
      </c>
      <c r="CF34" s="152">
        <v>14</v>
      </c>
      <c r="CG34" s="152">
        <v>0.3125</v>
      </c>
      <c r="CH34" s="97">
        <f t="shared" si="2"/>
        <v>0.625</v>
      </c>
      <c r="CI34" s="39" t="s">
        <v>110</v>
      </c>
    </row>
    <row r="35" spans="34:87" x14ac:dyDescent="0.3">
      <c r="AH35"/>
      <c r="BM35" s="2"/>
      <c r="CD35" s="39" t="str">
        <f t="shared" ref="CD35:CD46" si="7">CONCATENATE("TR",CE35,"x",CF35,"x",CG35)</f>
        <v>TR14x10x0.625</v>
      </c>
      <c r="CE35" s="151">
        <v>14</v>
      </c>
      <c r="CF35" s="151">
        <v>10</v>
      </c>
      <c r="CG35" s="151">
        <v>0.625</v>
      </c>
      <c r="CH35" s="39">
        <f t="shared" si="2"/>
        <v>1.25</v>
      </c>
      <c r="CI35" s="39" t="s">
        <v>110</v>
      </c>
    </row>
    <row r="36" spans="34:87" x14ac:dyDescent="0.3">
      <c r="AH36"/>
      <c r="BM36" s="2"/>
      <c r="CD36" s="39" t="str">
        <f t="shared" si="7"/>
        <v>TR14x10x0.5</v>
      </c>
      <c r="CE36" s="151">
        <v>14</v>
      </c>
      <c r="CF36" s="151">
        <v>10</v>
      </c>
      <c r="CG36" s="151">
        <v>0.5</v>
      </c>
      <c r="CH36" s="39">
        <f t="shared" si="2"/>
        <v>1</v>
      </c>
      <c r="CI36" s="39" t="s">
        <v>110</v>
      </c>
    </row>
    <row r="37" spans="34:87" x14ac:dyDescent="0.3">
      <c r="AH37"/>
      <c r="BM37" s="2"/>
      <c r="CD37" s="39" t="str">
        <f t="shared" si="7"/>
        <v>TR14x10x0.375</v>
      </c>
      <c r="CE37" s="151">
        <v>14</v>
      </c>
      <c r="CF37" s="151">
        <v>10</v>
      </c>
      <c r="CG37" s="151">
        <v>0.37500000000000006</v>
      </c>
      <c r="CH37" s="39">
        <f t="shared" si="2"/>
        <v>0.75000000000000011</v>
      </c>
      <c r="CI37" s="39" t="s">
        <v>110</v>
      </c>
    </row>
    <row r="38" spans="34:87" x14ac:dyDescent="0.3">
      <c r="AH38"/>
      <c r="CD38" s="39" t="str">
        <f t="shared" si="7"/>
        <v>TR14x10x0.3125</v>
      </c>
      <c r="CE38" s="151">
        <v>14</v>
      </c>
      <c r="CF38" s="151">
        <v>10</v>
      </c>
      <c r="CG38" s="151">
        <v>0.3125</v>
      </c>
      <c r="CH38" s="39">
        <f t="shared" si="2"/>
        <v>0.625</v>
      </c>
      <c r="CI38" s="39" t="s">
        <v>110</v>
      </c>
    </row>
    <row r="39" spans="34:87" x14ac:dyDescent="0.3">
      <c r="CD39" s="39" t="str">
        <f t="shared" si="7"/>
        <v>TR14x6x0.5</v>
      </c>
      <c r="CE39" s="151">
        <v>14</v>
      </c>
      <c r="CF39" s="151">
        <v>6.0000000000000009</v>
      </c>
      <c r="CG39" s="151">
        <v>0.5</v>
      </c>
      <c r="CH39" s="39">
        <f t="shared" si="2"/>
        <v>1</v>
      </c>
      <c r="CI39" s="39" t="s">
        <v>110</v>
      </c>
    </row>
    <row r="40" spans="34:87" x14ac:dyDescent="0.3">
      <c r="CD40" s="39" t="str">
        <f t="shared" si="7"/>
        <v>TR14x6x0.375</v>
      </c>
      <c r="CE40" s="151">
        <v>14</v>
      </c>
      <c r="CF40" s="151">
        <v>6.0000000000000009</v>
      </c>
      <c r="CG40" s="151">
        <v>0.37500000000000006</v>
      </c>
      <c r="CH40" s="39">
        <f t="shared" si="2"/>
        <v>0.75000000000000011</v>
      </c>
      <c r="CI40" s="39" t="s">
        <v>110</v>
      </c>
    </row>
    <row r="41" spans="34:87" x14ac:dyDescent="0.3">
      <c r="CD41" s="39" t="str">
        <f t="shared" si="7"/>
        <v>TR14x6x0.3125</v>
      </c>
      <c r="CE41" s="151">
        <v>14</v>
      </c>
      <c r="CF41" s="151">
        <v>6.0000000000000009</v>
      </c>
      <c r="CG41" s="151">
        <v>0.3125</v>
      </c>
      <c r="CH41" s="39">
        <f t="shared" si="2"/>
        <v>0.625</v>
      </c>
      <c r="CI41" s="39" t="s">
        <v>110</v>
      </c>
    </row>
    <row r="42" spans="34:87" x14ac:dyDescent="0.3">
      <c r="CD42" s="39" t="str">
        <f t="shared" si="7"/>
        <v>TR14x6x0.25</v>
      </c>
      <c r="CE42" s="151">
        <v>14</v>
      </c>
      <c r="CF42" s="151">
        <v>6.0000000000000009</v>
      </c>
      <c r="CG42" s="151">
        <v>0.25</v>
      </c>
      <c r="CH42" s="39">
        <f t="shared" si="2"/>
        <v>0.5</v>
      </c>
      <c r="CI42" s="39" t="s">
        <v>110</v>
      </c>
    </row>
    <row r="43" spans="34:87" x14ac:dyDescent="0.3">
      <c r="CD43" s="39" t="str">
        <f t="shared" si="7"/>
        <v>TR14x4x0.5</v>
      </c>
      <c r="CE43" s="151">
        <v>14</v>
      </c>
      <c r="CF43" s="151">
        <v>4</v>
      </c>
      <c r="CG43" s="151">
        <v>0.5</v>
      </c>
      <c r="CH43" s="39">
        <f t="shared" si="2"/>
        <v>1</v>
      </c>
      <c r="CI43" s="39" t="s">
        <v>110</v>
      </c>
    </row>
    <row r="44" spans="34:87" x14ac:dyDescent="0.3">
      <c r="CD44" s="39" t="str">
        <f t="shared" si="7"/>
        <v>TR14x4x0.375</v>
      </c>
      <c r="CE44" s="151">
        <v>14</v>
      </c>
      <c r="CF44" s="151">
        <v>4</v>
      </c>
      <c r="CG44" s="151">
        <v>0.37500000000000006</v>
      </c>
      <c r="CH44" s="39">
        <f t="shared" si="2"/>
        <v>0.75000000000000011</v>
      </c>
      <c r="CI44" s="39" t="s">
        <v>110</v>
      </c>
    </row>
    <row r="45" spans="34:87" x14ac:dyDescent="0.3">
      <c r="CD45" s="39" t="str">
        <f t="shared" si="7"/>
        <v>TR14x4x0.3125</v>
      </c>
      <c r="CE45" s="151">
        <v>14</v>
      </c>
      <c r="CF45" s="151">
        <v>4</v>
      </c>
      <c r="CG45" s="151">
        <v>0.3125</v>
      </c>
      <c r="CH45" s="39">
        <f t="shared" si="2"/>
        <v>0.625</v>
      </c>
      <c r="CI45" s="39" t="s">
        <v>110</v>
      </c>
    </row>
    <row r="46" spans="34:87" x14ac:dyDescent="0.3">
      <c r="CD46" s="39" t="str">
        <f t="shared" si="7"/>
        <v>TR14x4x0.25</v>
      </c>
      <c r="CE46" s="151">
        <v>14</v>
      </c>
      <c r="CF46" s="151">
        <v>4</v>
      </c>
      <c r="CG46" s="151">
        <v>0.25</v>
      </c>
      <c r="CH46" s="39">
        <f t="shared" si="2"/>
        <v>0.5</v>
      </c>
      <c r="CI46" s="39" t="s">
        <v>110</v>
      </c>
    </row>
    <row r="47" spans="34:87" x14ac:dyDescent="0.3">
      <c r="CD47" s="97" t="str">
        <f t="shared" ref="CD47:CD52" si="8">CONCATENATE("TS",CE47,"x",CF47,"x",CG47)</f>
        <v>TS12x12x0.625</v>
      </c>
      <c r="CE47" s="152">
        <v>12.000000000000002</v>
      </c>
      <c r="CF47" s="152">
        <v>12.000000000000002</v>
      </c>
      <c r="CG47" s="152">
        <v>0.625</v>
      </c>
      <c r="CH47" s="97">
        <f t="shared" si="2"/>
        <v>1.25</v>
      </c>
      <c r="CI47" s="39" t="s">
        <v>110</v>
      </c>
    </row>
    <row r="48" spans="34:87" x14ac:dyDescent="0.3">
      <c r="CD48" s="97" t="str">
        <f t="shared" si="8"/>
        <v>TS12x12x0.5</v>
      </c>
      <c r="CE48" s="152">
        <v>12.000000000000002</v>
      </c>
      <c r="CF48" s="152">
        <v>12.000000000000002</v>
      </c>
      <c r="CG48" s="152">
        <v>0.5</v>
      </c>
      <c r="CH48" s="97">
        <f t="shared" si="2"/>
        <v>1</v>
      </c>
      <c r="CI48" s="39" t="s">
        <v>110</v>
      </c>
    </row>
    <row r="49" spans="4:87" x14ac:dyDescent="0.3">
      <c r="CD49" s="97" t="str">
        <f t="shared" si="8"/>
        <v>TS12x12x0.375</v>
      </c>
      <c r="CE49" s="152">
        <v>12.000000000000002</v>
      </c>
      <c r="CF49" s="152">
        <v>12.000000000000002</v>
      </c>
      <c r="CG49" s="152">
        <v>0.37500000000000006</v>
      </c>
      <c r="CH49" s="97">
        <f t="shared" si="2"/>
        <v>0.75000000000000011</v>
      </c>
      <c r="CI49" s="39" t="s">
        <v>110</v>
      </c>
    </row>
    <row r="50" spans="4:87" x14ac:dyDescent="0.3">
      <c r="CD50" s="97" t="str">
        <f t="shared" si="8"/>
        <v>TS12x12x0.3125</v>
      </c>
      <c r="CE50" s="152">
        <v>12.000000000000002</v>
      </c>
      <c r="CF50" s="152">
        <v>12.000000000000002</v>
      </c>
      <c r="CG50" s="152">
        <v>0.3125</v>
      </c>
      <c r="CH50" s="97">
        <f t="shared" si="2"/>
        <v>0.625</v>
      </c>
      <c r="CI50" s="39" t="s">
        <v>110</v>
      </c>
    </row>
    <row r="51" spans="4:87" x14ac:dyDescent="0.3">
      <c r="CD51" s="97" t="str">
        <f t="shared" si="8"/>
        <v>TS12x12x0.25</v>
      </c>
      <c r="CE51" s="152">
        <v>12.000000000000002</v>
      </c>
      <c r="CF51" s="152">
        <v>12.000000000000002</v>
      </c>
      <c r="CG51" s="152">
        <v>0.25</v>
      </c>
      <c r="CH51" s="97">
        <f t="shared" si="2"/>
        <v>0.5</v>
      </c>
      <c r="CI51" s="39" t="s">
        <v>110</v>
      </c>
    </row>
    <row r="52" spans="4:87" x14ac:dyDescent="0.3">
      <c r="CD52" s="97" t="str">
        <f t="shared" si="8"/>
        <v>TS12x12x0.1875</v>
      </c>
      <c r="CE52" s="152">
        <v>12.000000000000002</v>
      </c>
      <c r="CF52" s="152">
        <v>12.000000000000002</v>
      </c>
      <c r="CG52" s="152">
        <v>0.18750000000000003</v>
      </c>
      <c r="CH52" s="97">
        <f t="shared" si="2"/>
        <v>0.37500000000000006</v>
      </c>
      <c r="CI52" s="39" t="s">
        <v>110</v>
      </c>
    </row>
    <row r="53" spans="4:87" x14ac:dyDescent="0.3">
      <c r="CD53" s="39" t="str">
        <f t="shared" ref="CD53:CD75" si="9">CONCATENATE("TR",CE53,"x",CF53,"x",CG53)</f>
        <v>TR12x8x0.625</v>
      </c>
      <c r="CE53" s="151">
        <v>12.000000000000002</v>
      </c>
      <c r="CF53" s="151">
        <v>8</v>
      </c>
      <c r="CG53" s="151">
        <v>0.625</v>
      </c>
      <c r="CH53" s="39">
        <f t="shared" si="2"/>
        <v>1.25</v>
      </c>
      <c r="CI53" s="39" t="s">
        <v>110</v>
      </c>
    </row>
    <row r="54" spans="4:87" x14ac:dyDescent="0.3">
      <c r="CD54" s="39" t="str">
        <f t="shared" si="9"/>
        <v>TR12x8x0.5625</v>
      </c>
      <c r="CE54" s="151">
        <v>12.000000000000002</v>
      </c>
      <c r="CF54" s="151">
        <v>8</v>
      </c>
      <c r="CG54" s="151">
        <v>0.5625</v>
      </c>
      <c r="CH54" s="39">
        <f t="shared" si="2"/>
        <v>1.125</v>
      </c>
      <c r="CI54" s="39" t="s">
        <v>110</v>
      </c>
    </row>
    <row r="55" spans="4:87" x14ac:dyDescent="0.3">
      <c r="CD55" s="39" t="str">
        <f t="shared" si="9"/>
        <v>TR12x8x0.5</v>
      </c>
      <c r="CE55" s="151">
        <v>12.000000000000002</v>
      </c>
      <c r="CF55" s="151">
        <v>8</v>
      </c>
      <c r="CG55" s="151">
        <v>0.5</v>
      </c>
      <c r="CH55" s="39">
        <f t="shared" si="2"/>
        <v>1</v>
      </c>
      <c r="CI55" s="39" t="s">
        <v>110</v>
      </c>
    </row>
    <row r="56" spans="4:87" x14ac:dyDescent="0.3">
      <c r="D56" s="2"/>
      <c r="CD56" s="39" t="str">
        <f t="shared" si="9"/>
        <v>TR12x8x0.375</v>
      </c>
      <c r="CE56" s="151">
        <v>12.000000000000002</v>
      </c>
      <c r="CF56" s="151">
        <v>8</v>
      </c>
      <c r="CG56" s="151">
        <v>0.37500000000000006</v>
      </c>
      <c r="CH56" s="39">
        <f t="shared" si="2"/>
        <v>0.75000000000000011</v>
      </c>
      <c r="CI56" s="39" t="s">
        <v>110</v>
      </c>
    </row>
    <row r="57" spans="4:87" x14ac:dyDescent="0.3">
      <c r="CD57" s="39" t="str">
        <f t="shared" si="9"/>
        <v>TR12x8x0.3125</v>
      </c>
      <c r="CE57" s="151">
        <v>12.000000000000002</v>
      </c>
      <c r="CF57" s="151">
        <v>8</v>
      </c>
      <c r="CG57" s="151">
        <v>0.3125</v>
      </c>
      <c r="CH57" s="39">
        <f t="shared" si="2"/>
        <v>0.625</v>
      </c>
      <c r="CI57" s="39" t="s">
        <v>110</v>
      </c>
    </row>
    <row r="58" spans="4:87" x14ac:dyDescent="0.3">
      <c r="CD58" s="39" t="str">
        <f t="shared" si="9"/>
        <v>TR12x8x0.25</v>
      </c>
      <c r="CE58" s="151">
        <v>12.000000000000002</v>
      </c>
      <c r="CF58" s="151">
        <v>8</v>
      </c>
      <c r="CG58" s="151">
        <v>0.25</v>
      </c>
      <c r="CH58" s="39">
        <f t="shared" si="2"/>
        <v>0.5</v>
      </c>
      <c r="CI58" s="39" t="s">
        <v>110</v>
      </c>
    </row>
    <row r="59" spans="4:87" x14ac:dyDescent="0.3">
      <c r="CD59" s="39" t="str">
        <f t="shared" si="9"/>
        <v>TR12x8x0.1875</v>
      </c>
      <c r="CE59" s="151">
        <v>12.000000000000002</v>
      </c>
      <c r="CF59" s="151">
        <v>8</v>
      </c>
      <c r="CG59" s="151">
        <v>0.18750000000000003</v>
      </c>
      <c r="CH59" s="39">
        <f t="shared" si="2"/>
        <v>0.37500000000000006</v>
      </c>
      <c r="CI59" s="39" t="s">
        <v>110</v>
      </c>
    </row>
    <row r="60" spans="4:87" x14ac:dyDescent="0.3">
      <c r="CD60" s="39" t="str">
        <f t="shared" si="9"/>
        <v>TR12x6x0.625</v>
      </c>
      <c r="CE60" s="151">
        <v>12.000000000000002</v>
      </c>
      <c r="CF60" s="151">
        <v>6.0000000000000009</v>
      </c>
      <c r="CG60" s="151">
        <v>0.625</v>
      </c>
      <c r="CH60" s="39">
        <f t="shared" si="2"/>
        <v>1.25</v>
      </c>
      <c r="CI60" s="39" t="s">
        <v>110</v>
      </c>
    </row>
    <row r="61" spans="4:87" x14ac:dyDescent="0.3">
      <c r="CD61" s="39" t="str">
        <f t="shared" si="9"/>
        <v>TR12x6x0.5625</v>
      </c>
      <c r="CE61" s="151">
        <v>12.000000000000002</v>
      </c>
      <c r="CF61" s="151">
        <v>6.0000000000000009</v>
      </c>
      <c r="CG61" s="151">
        <v>0.5625</v>
      </c>
      <c r="CH61" s="39">
        <f t="shared" si="2"/>
        <v>1.125</v>
      </c>
      <c r="CI61" s="39" t="s">
        <v>110</v>
      </c>
    </row>
    <row r="62" spans="4:87" x14ac:dyDescent="0.3">
      <c r="CD62" s="39" t="str">
        <f t="shared" si="9"/>
        <v>TR12x6x0.5</v>
      </c>
      <c r="CE62" s="151">
        <v>12.000000000000002</v>
      </c>
      <c r="CF62" s="151">
        <v>6.0000000000000009</v>
      </c>
      <c r="CG62" s="151">
        <v>0.5</v>
      </c>
      <c r="CH62" s="39">
        <f t="shared" si="2"/>
        <v>1</v>
      </c>
      <c r="CI62" s="39" t="s">
        <v>110</v>
      </c>
    </row>
    <row r="63" spans="4:87" x14ac:dyDescent="0.3">
      <c r="CD63" s="39" t="str">
        <f t="shared" si="9"/>
        <v>TR12x6x0.375</v>
      </c>
      <c r="CE63" s="151">
        <v>12.000000000000002</v>
      </c>
      <c r="CF63" s="151">
        <v>6.0000000000000009</v>
      </c>
      <c r="CG63" s="151">
        <v>0.37500000000000006</v>
      </c>
      <c r="CH63" s="39">
        <f t="shared" si="2"/>
        <v>0.75000000000000011</v>
      </c>
      <c r="CI63" s="39" t="s">
        <v>110</v>
      </c>
    </row>
    <row r="64" spans="4:87" x14ac:dyDescent="0.3">
      <c r="CD64" s="39" t="str">
        <f t="shared" si="9"/>
        <v>TR12x6x0.3125</v>
      </c>
      <c r="CE64" s="151">
        <v>12.000000000000002</v>
      </c>
      <c r="CF64" s="151">
        <v>6.0000000000000009</v>
      </c>
      <c r="CG64" s="151">
        <v>0.3125</v>
      </c>
      <c r="CH64" s="39">
        <f t="shared" si="2"/>
        <v>0.625</v>
      </c>
      <c r="CI64" s="39" t="s">
        <v>110</v>
      </c>
    </row>
    <row r="65" spans="82:87" x14ac:dyDescent="0.3">
      <c r="CD65" s="39" t="str">
        <f t="shared" si="9"/>
        <v>TR12x6x0.25</v>
      </c>
      <c r="CE65" s="151">
        <v>12.000000000000002</v>
      </c>
      <c r="CF65" s="151">
        <v>6.0000000000000009</v>
      </c>
      <c r="CG65" s="151">
        <v>0.25</v>
      </c>
      <c r="CH65" s="39">
        <f t="shared" si="2"/>
        <v>0.5</v>
      </c>
      <c r="CI65" s="39" t="s">
        <v>110</v>
      </c>
    </row>
    <row r="66" spans="82:87" x14ac:dyDescent="0.3">
      <c r="CD66" s="39" t="str">
        <f t="shared" si="9"/>
        <v>TR12x6x0.1875</v>
      </c>
      <c r="CE66" s="151">
        <v>12.000000000000002</v>
      </c>
      <c r="CF66" s="151">
        <v>6.0000000000000009</v>
      </c>
      <c r="CG66" s="151">
        <v>0.18750000000000003</v>
      </c>
      <c r="CH66" s="39">
        <f t="shared" si="2"/>
        <v>0.37500000000000006</v>
      </c>
      <c r="CI66" s="39" t="s">
        <v>110</v>
      </c>
    </row>
    <row r="67" spans="82:87" x14ac:dyDescent="0.3">
      <c r="CD67" s="39" t="str">
        <f t="shared" si="9"/>
        <v>TR12x4x0.625</v>
      </c>
      <c r="CE67" s="151">
        <v>12.000000000000002</v>
      </c>
      <c r="CF67" s="151">
        <v>4</v>
      </c>
      <c r="CG67" s="151">
        <v>0.625</v>
      </c>
      <c r="CH67" s="39">
        <f t="shared" si="2"/>
        <v>1.25</v>
      </c>
      <c r="CI67" s="39" t="s">
        <v>110</v>
      </c>
    </row>
    <row r="68" spans="82:87" x14ac:dyDescent="0.3">
      <c r="CD68" s="39" t="str">
        <f t="shared" si="9"/>
        <v>TR12x4x0.5625</v>
      </c>
      <c r="CE68" s="151">
        <v>12.000000000000002</v>
      </c>
      <c r="CF68" s="151">
        <v>4</v>
      </c>
      <c r="CG68" s="151">
        <v>0.5625</v>
      </c>
      <c r="CH68" s="39">
        <f t="shared" ref="CH68:CH131" si="10">CG68*2</f>
        <v>1.125</v>
      </c>
      <c r="CI68" s="39" t="s">
        <v>110</v>
      </c>
    </row>
    <row r="69" spans="82:87" x14ac:dyDescent="0.3">
      <c r="CD69" s="39" t="str">
        <f t="shared" si="9"/>
        <v>TR12x4x0.5</v>
      </c>
      <c r="CE69" s="151">
        <v>12.000000000000002</v>
      </c>
      <c r="CF69" s="151">
        <v>4</v>
      </c>
      <c r="CG69" s="151">
        <v>0.5</v>
      </c>
      <c r="CH69" s="39">
        <f t="shared" si="10"/>
        <v>1</v>
      </c>
      <c r="CI69" s="39" t="s">
        <v>110</v>
      </c>
    </row>
    <row r="70" spans="82:87" x14ac:dyDescent="0.3">
      <c r="CD70" s="39" t="str">
        <f t="shared" si="9"/>
        <v>TR12x4x0.375</v>
      </c>
      <c r="CE70" s="151">
        <v>12.000000000000002</v>
      </c>
      <c r="CF70" s="151">
        <v>4</v>
      </c>
      <c r="CG70" s="151">
        <v>0.37500000000000006</v>
      </c>
      <c r="CH70" s="39">
        <f t="shared" si="10"/>
        <v>0.75000000000000011</v>
      </c>
      <c r="CI70" s="39" t="s">
        <v>110</v>
      </c>
    </row>
    <row r="71" spans="82:87" x14ac:dyDescent="0.3">
      <c r="CD71" s="39" t="str">
        <f t="shared" si="9"/>
        <v>TR12x4x0.3125</v>
      </c>
      <c r="CE71" s="151">
        <v>12.000000000000002</v>
      </c>
      <c r="CF71" s="151">
        <v>4</v>
      </c>
      <c r="CG71" s="151">
        <v>0.3125</v>
      </c>
      <c r="CH71" s="39">
        <f t="shared" si="10"/>
        <v>0.625</v>
      </c>
      <c r="CI71" s="39" t="s">
        <v>110</v>
      </c>
    </row>
    <row r="72" spans="82:87" x14ac:dyDescent="0.3">
      <c r="CD72" s="39" t="str">
        <f t="shared" si="9"/>
        <v>TR12x4x0.25</v>
      </c>
      <c r="CE72" s="151">
        <v>12.000000000000002</v>
      </c>
      <c r="CF72" s="151">
        <v>4</v>
      </c>
      <c r="CG72" s="151">
        <v>0.25</v>
      </c>
      <c r="CH72" s="39">
        <f t="shared" si="10"/>
        <v>0.5</v>
      </c>
      <c r="CI72" s="39" t="s">
        <v>110</v>
      </c>
    </row>
    <row r="73" spans="82:87" x14ac:dyDescent="0.3">
      <c r="CD73" s="39" t="str">
        <f t="shared" si="9"/>
        <v>TR12x4x0.1875</v>
      </c>
      <c r="CE73" s="151">
        <v>12.000000000000002</v>
      </c>
      <c r="CF73" s="151">
        <v>4</v>
      </c>
      <c r="CG73" s="151">
        <v>0.18750000000000003</v>
      </c>
      <c r="CH73" s="39">
        <f t="shared" si="10"/>
        <v>0.37500000000000006</v>
      </c>
      <c r="CI73" s="39" t="s">
        <v>110</v>
      </c>
    </row>
    <row r="74" spans="82:87" x14ac:dyDescent="0.3">
      <c r="CD74" s="39" t="str">
        <f t="shared" si="9"/>
        <v>TR12x2x0.25</v>
      </c>
      <c r="CE74" s="151">
        <v>12.000000000000002</v>
      </c>
      <c r="CF74" s="151">
        <v>2</v>
      </c>
      <c r="CG74" s="151">
        <v>0.25</v>
      </c>
      <c r="CH74" s="39">
        <f t="shared" si="10"/>
        <v>0.5</v>
      </c>
      <c r="CI74" s="39" t="s">
        <v>110</v>
      </c>
    </row>
    <row r="75" spans="82:87" x14ac:dyDescent="0.3">
      <c r="CD75" s="39" t="str">
        <f t="shared" si="9"/>
        <v>TR12x2x0.1875</v>
      </c>
      <c r="CE75" s="151">
        <v>12.000000000000002</v>
      </c>
      <c r="CF75" s="151">
        <v>2</v>
      </c>
      <c r="CG75" s="151">
        <v>0.18750000000000003</v>
      </c>
      <c r="CH75" s="39">
        <f t="shared" si="10"/>
        <v>0.37500000000000006</v>
      </c>
      <c r="CI75" s="39" t="s">
        <v>110</v>
      </c>
    </row>
    <row r="76" spans="82:87" x14ac:dyDescent="0.3">
      <c r="CD76" s="97" t="str">
        <f t="shared" ref="CD76:CD82" si="11">CONCATENATE("TS",CE76,"x",CF76,"x",CG76)</f>
        <v>TS10x10x0.625</v>
      </c>
      <c r="CE76" s="152">
        <v>10</v>
      </c>
      <c r="CF76" s="152">
        <v>10</v>
      </c>
      <c r="CG76" s="152">
        <v>0.625</v>
      </c>
      <c r="CH76" s="97">
        <f t="shared" si="10"/>
        <v>1.25</v>
      </c>
      <c r="CI76" s="39" t="s">
        <v>110</v>
      </c>
    </row>
    <row r="77" spans="82:87" x14ac:dyDescent="0.3">
      <c r="CD77" s="97" t="str">
        <f t="shared" si="11"/>
        <v>TS10x10x0.5625</v>
      </c>
      <c r="CE77" s="152">
        <v>10</v>
      </c>
      <c r="CF77" s="152">
        <v>10</v>
      </c>
      <c r="CG77" s="152">
        <v>0.5625</v>
      </c>
      <c r="CH77" s="97">
        <f t="shared" si="10"/>
        <v>1.125</v>
      </c>
      <c r="CI77" s="39" t="s">
        <v>110</v>
      </c>
    </row>
    <row r="78" spans="82:87" x14ac:dyDescent="0.3">
      <c r="CD78" s="97" t="str">
        <f t="shared" si="11"/>
        <v>TS10x10x0.5</v>
      </c>
      <c r="CE78" s="152">
        <v>10</v>
      </c>
      <c r="CF78" s="152">
        <v>10</v>
      </c>
      <c r="CG78" s="152">
        <v>0.5</v>
      </c>
      <c r="CH78" s="97">
        <f t="shared" si="10"/>
        <v>1</v>
      </c>
      <c r="CI78" s="39" t="s">
        <v>110</v>
      </c>
    </row>
    <row r="79" spans="82:87" x14ac:dyDescent="0.3">
      <c r="CD79" s="97" t="str">
        <f t="shared" si="11"/>
        <v>TS10x10x0.375</v>
      </c>
      <c r="CE79" s="152">
        <v>10</v>
      </c>
      <c r="CF79" s="152">
        <v>10</v>
      </c>
      <c r="CG79" s="152">
        <v>0.37500000000000006</v>
      </c>
      <c r="CH79" s="97">
        <f t="shared" si="10"/>
        <v>0.75000000000000011</v>
      </c>
      <c r="CI79" s="39" t="s">
        <v>110</v>
      </c>
    </row>
    <row r="80" spans="82:87" x14ac:dyDescent="0.3">
      <c r="CD80" s="97" t="str">
        <f t="shared" si="11"/>
        <v>TS10x10x0.3125</v>
      </c>
      <c r="CE80" s="152">
        <v>10</v>
      </c>
      <c r="CF80" s="152">
        <v>10</v>
      </c>
      <c r="CG80" s="152">
        <v>0.3125</v>
      </c>
      <c r="CH80" s="97">
        <f t="shared" si="10"/>
        <v>0.625</v>
      </c>
      <c r="CI80" s="39" t="s">
        <v>110</v>
      </c>
    </row>
    <row r="81" spans="82:87" x14ac:dyDescent="0.3">
      <c r="CD81" s="97" t="str">
        <f t="shared" si="11"/>
        <v>TS10x10x0.25</v>
      </c>
      <c r="CE81" s="152">
        <v>10</v>
      </c>
      <c r="CF81" s="152">
        <v>10</v>
      </c>
      <c r="CG81" s="152">
        <v>0.25</v>
      </c>
      <c r="CH81" s="97">
        <f t="shared" si="10"/>
        <v>0.5</v>
      </c>
      <c r="CI81" s="39" t="s">
        <v>110</v>
      </c>
    </row>
    <row r="82" spans="82:87" x14ac:dyDescent="0.3">
      <c r="CD82" s="97" t="str">
        <f t="shared" si="11"/>
        <v>TS10x10x0.1875</v>
      </c>
      <c r="CE82" s="152">
        <v>10</v>
      </c>
      <c r="CF82" s="152">
        <v>10</v>
      </c>
      <c r="CG82" s="152">
        <v>0.18750000000000003</v>
      </c>
      <c r="CH82" s="97">
        <f t="shared" si="10"/>
        <v>0.37500000000000006</v>
      </c>
      <c r="CI82" s="39" t="s">
        <v>110</v>
      </c>
    </row>
    <row r="83" spans="82:87" x14ac:dyDescent="0.3">
      <c r="CD83" s="39" t="str">
        <f t="shared" ref="CD83:CD113" si="12">CONCATENATE("TR",CE83,"x",CF83,"x",CG83)</f>
        <v>TR10x8x0.625</v>
      </c>
      <c r="CE83" s="151">
        <v>10</v>
      </c>
      <c r="CF83" s="151">
        <v>8</v>
      </c>
      <c r="CG83" s="151">
        <v>0.625</v>
      </c>
      <c r="CH83" s="39">
        <f t="shared" si="10"/>
        <v>1.25</v>
      </c>
      <c r="CI83" s="39" t="s">
        <v>110</v>
      </c>
    </row>
    <row r="84" spans="82:87" x14ac:dyDescent="0.3">
      <c r="CD84" s="39" t="str">
        <f t="shared" si="12"/>
        <v>TR10x8x0.5625</v>
      </c>
      <c r="CE84" s="151">
        <v>10</v>
      </c>
      <c r="CF84" s="151">
        <v>8</v>
      </c>
      <c r="CG84" s="151">
        <v>0.5625</v>
      </c>
      <c r="CH84" s="39">
        <f t="shared" si="10"/>
        <v>1.125</v>
      </c>
      <c r="CI84" s="39" t="s">
        <v>110</v>
      </c>
    </row>
    <row r="85" spans="82:87" x14ac:dyDescent="0.3">
      <c r="CD85" s="39" t="str">
        <f t="shared" si="12"/>
        <v>TR10x8x0.5</v>
      </c>
      <c r="CE85" s="151">
        <v>10</v>
      </c>
      <c r="CF85" s="151">
        <v>8</v>
      </c>
      <c r="CG85" s="151">
        <v>0.5</v>
      </c>
      <c r="CH85" s="39">
        <f t="shared" si="10"/>
        <v>1</v>
      </c>
      <c r="CI85" s="39" t="s">
        <v>110</v>
      </c>
    </row>
    <row r="86" spans="82:87" x14ac:dyDescent="0.3">
      <c r="CD86" s="39" t="str">
        <f t="shared" si="12"/>
        <v>TR10x8x0.375</v>
      </c>
      <c r="CE86" s="151">
        <v>10</v>
      </c>
      <c r="CF86" s="151">
        <v>8</v>
      </c>
      <c r="CG86" s="151">
        <v>0.37500000000000006</v>
      </c>
      <c r="CH86" s="39">
        <f t="shared" si="10"/>
        <v>0.75000000000000011</v>
      </c>
      <c r="CI86" s="39" t="s">
        <v>110</v>
      </c>
    </row>
    <row r="87" spans="82:87" x14ac:dyDescent="0.3">
      <c r="CD87" s="39" t="str">
        <f t="shared" si="12"/>
        <v>TR10x8x0.3125</v>
      </c>
      <c r="CE87" s="151">
        <v>10</v>
      </c>
      <c r="CF87" s="151">
        <v>8</v>
      </c>
      <c r="CG87" s="151">
        <v>0.3125</v>
      </c>
      <c r="CH87" s="39">
        <f t="shared" si="10"/>
        <v>0.625</v>
      </c>
      <c r="CI87" s="39" t="s">
        <v>110</v>
      </c>
    </row>
    <row r="88" spans="82:87" x14ac:dyDescent="0.3">
      <c r="CD88" s="39" t="str">
        <f t="shared" si="12"/>
        <v>TR10x8x0.25</v>
      </c>
      <c r="CE88" s="151">
        <v>10</v>
      </c>
      <c r="CF88" s="151">
        <v>8</v>
      </c>
      <c r="CG88" s="151">
        <v>0.25</v>
      </c>
      <c r="CH88" s="39">
        <f t="shared" si="10"/>
        <v>0.5</v>
      </c>
      <c r="CI88" s="39" t="s">
        <v>110</v>
      </c>
    </row>
    <row r="89" spans="82:87" x14ac:dyDescent="0.3">
      <c r="CD89" s="39" t="str">
        <f t="shared" si="12"/>
        <v>TR10x8x0.1875</v>
      </c>
      <c r="CE89" s="151">
        <v>10</v>
      </c>
      <c r="CF89" s="151">
        <v>8</v>
      </c>
      <c r="CG89" s="151">
        <v>0.18750000000000003</v>
      </c>
      <c r="CH89" s="39">
        <f t="shared" si="10"/>
        <v>0.37500000000000006</v>
      </c>
      <c r="CI89" s="39" t="s">
        <v>110</v>
      </c>
    </row>
    <row r="90" spans="82:87" x14ac:dyDescent="0.3">
      <c r="CD90" s="39" t="str">
        <f t="shared" si="12"/>
        <v>TR10x6x0.625</v>
      </c>
      <c r="CE90" s="151">
        <v>10</v>
      </c>
      <c r="CF90" s="151">
        <v>6.0000000000000009</v>
      </c>
      <c r="CG90" s="151">
        <v>0.625</v>
      </c>
      <c r="CH90" s="39">
        <f t="shared" si="10"/>
        <v>1.25</v>
      </c>
      <c r="CI90" s="39" t="s">
        <v>110</v>
      </c>
    </row>
    <row r="91" spans="82:87" x14ac:dyDescent="0.3">
      <c r="CD91" s="39" t="str">
        <f t="shared" si="12"/>
        <v>TR10x6x0.5625</v>
      </c>
      <c r="CE91" s="151">
        <v>10</v>
      </c>
      <c r="CF91" s="151">
        <v>6.0000000000000009</v>
      </c>
      <c r="CG91" s="151">
        <v>0.5625</v>
      </c>
      <c r="CH91" s="39">
        <f t="shared" si="10"/>
        <v>1.125</v>
      </c>
      <c r="CI91" s="39" t="s">
        <v>110</v>
      </c>
    </row>
    <row r="92" spans="82:87" x14ac:dyDescent="0.3">
      <c r="CD92" s="39" t="str">
        <f t="shared" si="12"/>
        <v>TR10x6x0.5</v>
      </c>
      <c r="CE92" s="151">
        <v>10</v>
      </c>
      <c r="CF92" s="151">
        <v>6.0000000000000009</v>
      </c>
      <c r="CG92" s="151">
        <v>0.5</v>
      </c>
      <c r="CH92" s="39">
        <f t="shared" si="10"/>
        <v>1</v>
      </c>
      <c r="CI92" s="39" t="s">
        <v>110</v>
      </c>
    </row>
    <row r="93" spans="82:87" x14ac:dyDescent="0.3">
      <c r="CD93" s="39" t="str">
        <f t="shared" si="12"/>
        <v>TR10x6x0.375</v>
      </c>
      <c r="CE93" s="151">
        <v>10</v>
      </c>
      <c r="CF93" s="151">
        <v>6.0000000000000009</v>
      </c>
      <c r="CG93" s="151">
        <v>0.37500000000000006</v>
      </c>
      <c r="CH93" s="39">
        <f t="shared" si="10"/>
        <v>0.75000000000000011</v>
      </c>
      <c r="CI93" s="39" t="s">
        <v>110</v>
      </c>
    </row>
    <row r="94" spans="82:87" x14ac:dyDescent="0.3">
      <c r="CD94" s="39" t="str">
        <f t="shared" si="12"/>
        <v>TR10x6x0.3125</v>
      </c>
      <c r="CE94" s="151">
        <v>10</v>
      </c>
      <c r="CF94" s="151">
        <v>6.0000000000000009</v>
      </c>
      <c r="CG94" s="151">
        <v>0.3125</v>
      </c>
      <c r="CH94" s="39">
        <f t="shared" si="10"/>
        <v>0.625</v>
      </c>
      <c r="CI94" s="39" t="s">
        <v>110</v>
      </c>
    </row>
    <row r="95" spans="82:87" x14ac:dyDescent="0.3">
      <c r="CD95" s="39" t="str">
        <f t="shared" si="12"/>
        <v>TR10x6x0.25</v>
      </c>
      <c r="CE95" s="151">
        <v>10</v>
      </c>
      <c r="CF95" s="151">
        <v>6.0000000000000009</v>
      </c>
      <c r="CG95" s="151">
        <v>0.25</v>
      </c>
      <c r="CH95" s="39">
        <f t="shared" si="10"/>
        <v>0.5</v>
      </c>
      <c r="CI95" s="39" t="s">
        <v>110</v>
      </c>
    </row>
    <row r="96" spans="82:87" x14ac:dyDescent="0.3">
      <c r="CD96" s="39" t="str">
        <f t="shared" si="12"/>
        <v>TR10x6x0.1875</v>
      </c>
      <c r="CE96" s="151">
        <v>10</v>
      </c>
      <c r="CF96" s="151">
        <v>6.0000000000000009</v>
      </c>
      <c r="CG96" s="151">
        <v>0.18750000000000003</v>
      </c>
      <c r="CH96" s="39">
        <f t="shared" si="10"/>
        <v>0.37500000000000006</v>
      </c>
      <c r="CI96" s="39" t="s">
        <v>110</v>
      </c>
    </row>
    <row r="97" spans="82:87" x14ac:dyDescent="0.3">
      <c r="CD97" s="39" t="str">
        <f t="shared" si="12"/>
        <v>TR10x5x0.625</v>
      </c>
      <c r="CE97" s="151">
        <v>10</v>
      </c>
      <c r="CF97" s="151">
        <v>5</v>
      </c>
      <c r="CG97" s="151">
        <v>0.625</v>
      </c>
      <c r="CH97" s="39">
        <f t="shared" si="10"/>
        <v>1.25</v>
      </c>
      <c r="CI97" s="39" t="s">
        <v>110</v>
      </c>
    </row>
    <row r="98" spans="82:87" x14ac:dyDescent="0.3">
      <c r="CD98" s="39" t="str">
        <f t="shared" si="12"/>
        <v>TR10x5x0.5625</v>
      </c>
      <c r="CE98" s="151">
        <v>10</v>
      </c>
      <c r="CF98" s="151">
        <v>5</v>
      </c>
      <c r="CG98" s="151">
        <v>0.5625</v>
      </c>
      <c r="CH98" s="39">
        <f t="shared" si="10"/>
        <v>1.125</v>
      </c>
      <c r="CI98" s="39" t="s">
        <v>110</v>
      </c>
    </row>
    <row r="99" spans="82:87" x14ac:dyDescent="0.3">
      <c r="CD99" s="39" t="str">
        <f t="shared" si="12"/>
        <v>TR10x5x0.5</v>
      </c>
      <c r="CE99" s="151">
        <v>10</v>
      </c>
      <c r="CF99" s="151">
        <v>5</v>
      </c>
      <c r="CG99" s="151">
        <v>0.5</v>
      </c>
      <c r="CH99" s="39">
        <f t="shared" si="10"/>
        <v>1</v>
      </c>
      <c r="CI99" s="39" t="s">
        <v>110</v>
      </c>
    </row>
    <row r="100" spans="82:87" x14ac:dyDescent="0.3">
      <c r="CD100" s="39" t="str">
        <f t="shared" si="12"/>
        <v>TR10x5x0.375</v>
      </c>
      <c r="CE100" s="151">
        <v>10</v>
      </c>
      <c r="CF100" s="151">
        <v>5</v>
      </c>
      <c r="CG100" s="151">
        <v>0.37500000000000006</v>
      </c>
      <c r="CH100" s="39">
        <f t="shared" si="10"/>
        <v>0.75000000000000011</v>
      </c>
      <c r="CI100" s="39" t="s">
        <v>110</v>
      </c>
    </row>
    <row r="101" spans="82:87" x14ac:dyDescent="0.3">
      <c r="CD101" s="39" t="str">
        <f t="shared" si="12"/>
        <v>TR10x5x0.3125</v>
      </c>
      <c r="CE101" s="151">
        <v>10</v>
      </c>
      <c r="CF101" s="151">
        <v>5</v>
      </c>
      <c r="CG101" s="151">
        <v>0.3125</v>
      </c>
      <c r="CH101" s="39">
        <f t="shared" si="10"/>
        <v>0.625</v>
      </c>
      <c r="CI101" s="39" t="s">
        <v>110</v>
      </c>
    </row>
    <row r="102" spans="82:87" x14ac:dyDescent="0.3">
      <c r="CD102" s="39" t="str">
        <f t="shared" si="12"/>
        <v>TR10x5x0.25</v>
      </c>
      <c r="CE102" s="151">
        <v>10</v>
      </c>
      <c r="CF102" s="151">
        <v>5</v>
      </c>
      <c r="CG102" s="151">
        <v>0.25</v>
      </c>
      <c r="CH102" s="39">
        <f t="shared" si="10"/>
        <v>0.5</v>
      </c>
      <c r="CI102" s="39" t="s">
        <v>110</v>
      </c>
    </row>
    <row r="103" spans="82:87" x14ac:dyDescent="0.3">
      <c r="CD103" s="39" t="str">
        <f t="shared" si="12"/>
        <v>TR10x5x0.1875</v>
      </c>
      <c r="CE103" s="151">
        <v>10</v>
      </c>
      <c r="CF103" s="151">
        <v>5</v>
      </c>
      <c r="CG103" s="151">
        <v>0.18750000000000003</v>
      </c>
      <c r="CH103" s="39">
        <f t="shared" si="10"/>
        <v>0.37500000000000006</v>
      </c>
      <c r="CI103" s="39" t="s">
        <v>110</v>
      </c>
    </row>
    <row r="104" spans="82:87" x14ac:dyDescent="0.3">
      <c r="CD104" s="39" t="str">
        <f t="shared" si="12"/>
        <v>TR10x4x0.5625</v>
      </c>
      <c r="CE104" s="151">
        <v>10</v>
      </c>
      <c r="CF104" s="151">
        <v>4</v>
      </c>
      <c r="CG104" s="151">
        <v>0.5625</v>
      </c>
      <c r="CH104" s="39">
        <f t="shared" si="10"/>
        <v>1.125</v>
      </c>
      <c r="CI104" s="39" t="s">
        <v>110</v>
      </c>
    </row>
    <row r="105" spans="82:87" x14ac:dyDescent="0.3">
      <c r="CD105" s="39" t="str">
        <f t="shared" si="12"/>
        <v>TR10x4x0.5</v>
      </c>
      <c r="CE105" s="151">
        <v>10</v>
      </c>
      <c r="CF105" s="151">
        <v>4</v>
      </c>
      <c r="CG105" s="151">
        <v>0.5</v>
      </c>
      <c r="CH105" s="39">
        <f t="shared" si="10"/>
        <v>1</v>
      </c>
      <c r="CI105" s="39" t="s">
        <v>110</v>
      </c>
    </row>
    <row r="106" spans="82:87" x14ac:dyDescent="0.3">
      <c r="CD106" s="39" t="str">
        <f t="shared" si="12"/>
        <v>TR10x4x0.375</v>
      </c>
      <c r="CE106" s="151">
        <v>10</v>
      </c>
      <c r="CF106" s="151">
        <v>4</v>
      </c>
      <c r="CG106" s="151">
        <v>0.37500000000000006</v>
      </c>
      <c r="CH106" s="39">
        <f t="shared" si="10"/>
        <v>0.75000000000000011</v>
      </c>
      <c r="CI106" s="39" t="s">
        <v>110</v>
      </c>
    </row>
    <row r="107" spans="82:87" x14ac:dyDescent="0.3">
      <c r="CD107" s="39" t="str">
        <f t="shared" si="12"/>
        <v>TR10x4x0.3125</v>
      </c>
      <c r="CE107" s="151">
        <v>10</v>
      </c>
      <c r="CF107" s="151">
        <v>4</v>
      </c>
      <c r="CG107" s="151">
        <v>0.3125</v>
      </c>
      <c r="CH107" s="39">
        <f t="shared" si="10"/>
        <v>0.625</v>
      </c>
      <c r="CI107" s="39" t="s">
        <v>110</v>
      </c>
    </row>
    <row r="108" spans="82:87" x14ac:dyDescent="0.3">
      <c r="CD108" s="39" t="str">
        <f t="shared" si="12"/>
        <v>TR10x4x0.25</v>
      </c>
      <c r="CE108" s="151">
        <v>10</v>
      </c>
      <c r="CF108" s="151">
        <v>4</v>
      </c>
      <c r="CG108" s="151">
        <v>0.25</v>
      </c>
      <c r="CH108" s="39">
        <f t="shared" si="10"/>
        <v>0.5</v>
      </c>
      <c r="CI108" s="39" t="s">
        <v>110</v>
      </c>
    </row>
    <row r="109" spans="82:87" x14ac:dyDescent="0.3">
      <c r="CD109" s="39" t="str">
        <f t="shared" si="12"/>
        <v>TR10x4x0.1875</v>
      </c>
      <c r="CE109" s="151">
        <v>10</v>
      </c>
      <c r="CF109" s="151">
        <v>4</v>
      </c>
      <c r="CG109" s="151">
        <v>0.18750000000000003</v>
      </c>
      <c r="CH109" s="39">
        <f t="shared" si="10"/>
        <v>0.37500000000000006</v>
      </c>
      <c r="CI109" s="39" t="s">
        <v>110</v>
      </c>
    </row>
    <row r="110" spans="82:87" x14ac:dyDescent="0.3">
      <c r="CD110" s="39" t="str">
        <f t="shared" si="12"/>
        <v>TR10x2x0.375</v>
      </c>
      <c r="CE110" s="151">
        <v>10</v>
      </c>
      <c r="CF110" s="151">
        <v>2</v>
      </c>
      <c r="CG110" s="151">
        <v>0.37500000000000006</v>
      </c>
      <c r="CH110" s="39">
        <f t="shared" si="10"/>
        <v>0.75000000000000011</v>
      </c>
      <c r="CI110" s="39" t="s">
        <v>110</v>
      </c>
    </row>
    <row r="111" spans="82:87" x14ac:dyDescent="0.3">
      <c r="CD111" s="39" t="str">
        <f t="shared" si="12"/>
        <v>TR10x2x0.3125</v>
      </c>
      <c r="CE111" s="151">
        <v>10</v>
      </c>
      <c r="CF111" s="151">
        <v>2</v>
      </c>
      <c r="CG111" s="151">
        <v>0.3125</v>
      </c>
      <c r="CH111" s="39">
        <f t="shared" si="10"/>
        <v>0.625</v>
      </c>
      <c r="CI111" s="39" t="s">
        <v>110</v>
      </c>
    </row>
    <row r="112" spans="82:87" x14ac:dyDescent="0.3">
      <c r="CD112" s="39" t="str">
        <f t="shared" si="12"/>
        <v>TR10x2x0.25</v>
      </c>
      <c r="CE112" s="151">
        <v>10</v>
      </c>
      <c r="CF112" s="151">
        <v>2</v>
      </c>
      <c r="CG112" s="151">
        <v>0.25</v>
      </c>
      <c r="CH112" s="39">
        <f t="shared" si="10"/>
        <v>0.5</v>
      </c>
      <c r="CI112" s="39" t="s">
        <v>110</v>
      </c>
    </row>
    <row r="113" spans="82:87" x14ac:dyDescent="0.3">
      <c r="CD113" s="39" t="str">
        <f t="shared" si="12"/>
        <v>TR10x2x0.1875</v>
      </c>
      <c r="CE113" s="151">
        <v>10</v>
      </c>
      <c r="CF113" s="151">
        <v>2</v>
      </c>
      <c r="CG113" s="151">
        <v>0.18750000000000003</v>
      </c>
      <c r="CH113" s="39">
        <f t="shared" si="10"/>
        <v>0.37500000000000006</v>
      </c>
      <c r="CI113" s="39" t="s">
        <v>110</v>
      </c>
    </row>
    <row r="114" spans="82:87" x14ac:dyDescent="0.3">
      <c r="CD114" s="97" t="str">
        <f t="shared" ref="CD114:CD120" si="13">CONCATENATE("TS",CE114,"x",CF114,"x",CG114)</f>
        <v>TS9x9x0.625</v>
      </c>
      <c r="CE114" s="152">
        <v>9</v>
      </c>
      <c r="CF114" s="152">
        <v>9</v>
      </c>
      <c r="CG114" s="152">
        <v>0.625</v>
      </c>
      <c r="CH114" s="97">
        <f t="shared" si="10"/>
        <v>1.25</v>
      </c>
      <c r="CI114" s="39" t="s">
        <v>110</v>
      </c>
    </row>
    <row r="115" spans="82:87" x14ac:dyDescent="0.3">
      <c r="CD115" s="97" t="str">
        <f t="shared" si="13"/>
        <v>TS9x9x0.5625</v>
      </c>
      <c r="CE115" s="152">
        <v>9</v>
      </c>
      <c r="CF115" s="152">
        <v>9</v>
      </c>
      <c r="CG115" s="152">
        <v>0.5625</v>
      </c>
      <c r="CH115" s="97">
        <f t="shared" si="10"/>
        <v>1.125</v>
      </c>
      <c r="CI115" s="39" t="s">
        <v>110</v>
      </c>
    </row>
    <row r="116" spans="82:87" x14ac:dyDescent="0.3">
      <c r="CD116" s="97" t="str">
        <f t="shared" si="13"/>
        <v>TS9x9x0.5</v>
      </c>
      <c r="CE116" s="152">
        <v>9</v>
      </c>
      <c r="CF116" s="152">
        <v>9</v>
      </c>
      <c r="CG116" s="152">
        <v>0.5</v>
      </c>
      <c r="CH116" s="97">
        <f t="shared" si="10"/>
        <v>1</v>
      </c>
      <c r="CI116" s="39" t="s">
        <v>110</v>
      </c>
    </row>
    <row r="117" spans="82:87" x14ac:dyDescent="0.3">
      <c r="CD117" s="97" t="str">
        <f t="shared" si="13"/>
        <v>TS9x9x0.375</v>
      </c>
      <c r="CE117" s="152">
        <v>9</v>
      </c>
      <c r="CF117" s="152">
        <v>9</v>
      </c>
      <c r="CG117" s="152">
        <v>0.37500000000000006</v>
      </c>
      <c r="CH117" s="97">
        <f t="shared" si="10"/>
        <v>0.75000000000000011</v>
      </c>
      <c r="CI117" s="39" t="s">
        <v>110</v>
      </c>
    </row>
    <row r="118" spans="82:87" x14ac:dyDescent="0.3">
      <c r="CD118" s="97" t="str">
        <f t="shared" si="13"/>
        <v>TS9x9x0.3125</v>
      </c>
      <c r="CE118" s="152">
        <v>9</v>
      </c>
      <c r="CF118" s="152">
        <v>9</v>
      </c>
      <c r="CG118" s="152">
        <v>0.3125</v>
      </c>
      <c r="CH118" s="97">
        <f t="shared" si="10"/>
        <v>0.625</v>
      </c>
      <c r="CI118" s="39" t="s">
        <v>110</v>
      </c>
    </row>
    <row r="119" spans="82:87" x14ac:dyDescent="0.3">
      <c r="CD119" s="97" t="str">
        <f t="shared" si="13"/>
        <v>TS9x9x0.25</v>
      </c>
      <c r="CE119" s="152">
        <v>9</v>
      </c>
      <c r="CF119" s="152">
        <v>9</v>
      </c>
      <c r="CG119" s="152">
        <v>0.25</v>
      </c>
      <c r="CH119" s="97">
        <f t="shared" si="10"/>
        <v>0.5</v>
      </c>
      <c r="CI119" s="39" t="s">
        <v>110</v>
      </c>
    </row>
    <row r="120" spans="82:87" x14ac:dyDescent="0.3">
      <c r="CD120" s="97" t="str">
        <f t="shared" si="13"/>
        <v>TS9x9x0.1875</v>
      </c>
      <c r="CE120" s="152">
        <v>9</v>
      </c>
      <c r="CF120" s="152">
        <v>9</v>
      </c>
      <c r="CG120" s="152">
        <v>0.18750000000000003</v>
      </c>
      <c r="CH120" s="97">
        <f t="shared" si="10"/>
        <v>0.37500000000000006</v>
      </c>
      <c r="CI120" s="39" t="s">
        <v>110</v>
      </c>
    </row>
    <row r="121" spans="82:87" x14ac:dyDescent="0.3">
      <c r="CD121" s="39" t="str">
        <f t="shared" ref="CD121:CD145" si="14">CONCATENATE("TR",CE121,"x",CF121,"x",CG121)</f>
        <v>TR9x7x0.625</v>
      </c>
      <c r="CE121" s="151">
        <v>9</v>
      </c>
      <c r="CF121" s="151">
        <v>7</v>
      </c>
      <c r="CG121" s="151">
        <v>0.625</v>
      </c>
      <c r="CH121" s="39">
        <f t="shared" si="10"/>
        <v>1.25</v>
      </c>
      <c r="CI121" s="39" t="s">
        <v>110</v>
      </c>
    </row>
    <row r="122" spans="82:87" x14ac:dyDescent="0.3">
      <c r="CD122" s="39" t="str">
        <f t="shared" si="14"/>
        <v>TR9x7x0.5625</v>
      </c>
      <c r="CE122" s="151">
        <v>9</v>
      </c>
      <c r="CF122" s="151">
        <v>7</v>
      </c>
      <c r="CG122" s="151">
        <v>0.5625</v>
      </c>
      <c r="CH122" s="39">
        <f t="shared" si="10"/>
        <v>1.125</v>
      </c>
      <c r="CI122" s="39" t="s">
        <v>110</v>
      </c>
    </row>
    <row r="123" spans="82:87" x14ac:dyDescent="0.3">
      <c r="CD123" s="39" t="str">
        <f t="shared" si="14"/>
        <v>TR9x7x0.5</v>
      </c>
      <c r="CE123" s="151">
        <v>9</v>
      </c>
      <c r="CF123" s="151">
        <v>7</v>
      </c>
      <c r="CG123" s="151">
        <v>0.5</v>
      </c>
      <c r="CH123" s="39">
        <f t="shared" si="10"/>
        <v>1</v>
      </c>
      <c r="CI123" s="39" t="s">
        <v>110</v>
      </c>
    </row>
    <row r="124" spans="82:87" x14ac:dyDescent="0.3">
      <c r="CD124" s="39" t="str">
        <f t="shared" si="14"/>
        <v>TR9x7x0.375</v>
      </c>
      <c r="CE124" s="151">
        <v>9</v>
      </c>
      <c r="CF124" s="151">
        <v>7</v>
      </c>
      <c r="CG124" s="151">
        <v>0.37500000000000006</v>
      </c>
      <c r="CH124" s="39">
        <f t="shared" si="10"/>
        <v>0.75000000000000011</v>
      </c>
      <c r="CI124" s="39" t="s">
        <v>110</v>
      </c>
    </row>
    <row r="125" spans="82:87" x14ac:dyDescent="0.3">
      <c r="CD125" s="39" t="str">
        <f t="shared" si="14"/>
        <v>TR9x7x0.3125</v>
      </c>
      <c r="CE125" s="151">
        <v>9</v>
      </c>
      <c r="CF125" s="151">
        <v>7</v>
      </c>
      <c r="CG125" s="151">
        <v>0.3125</v>
      </c>
      <c r="CH125" s="39">
        <f t="shared" si="10"/>
        <v>0.625</v>
      </c>
      <c r="CI125" s="39" t="s">
        <v>110</v>
      </c>
    </row>
    <row r="126" spans="82:87" x14ac:dyDescent="0.3">
      <c r="CD126" s="39" t="str">
        <f t="shared" si="14"/>
        <v>TR9x7x0.25</v>
      </c>
      <c r="CE126" s="151">
        <v>9</v>
      </c>
      <c r="CF126" s="151">
        <v>7</v>
      </c>
      <c r="CG126" s="151">
        <v>0.25</v>
      </c>
      <c r="CH126" s="39">
        <f t="shared" si="10"/>
        <v>0.5</v>
      </c>
      <c r="CI126" s="39" t="s">
        <v>110</v>
      </c>
    </row>
    <row r="127" spans="82:87" x14ac:dyDescent="0.3">
      <c r="CD127" s="39" t="str">
        <f t="shared" si="14"/>
        <v>TR9x7x0.1875</v>
      </c>
      <c r="CE127" s="151">
        <v>9</v>
      </c>
      <c r="CF127" s="151">
        <v>7</v>
      </c>
      <c r="CG127" s="151">
        <v>0.18750000000000003</v>
      </c>
      <c r="CH127" s="39">
        <f t="shared" si="10"/>
        <v>0.37500000000000006</v>
      </c>
      <c r="CI127" s="39" t="s">
        <v>110</v>
      </c>
    </row>
    <row r="128" spans="82:87" x14ac:dyDescent="0.3">
      <c r="CD128" s="39" t="str">
        <f t="shared" si="14"/>
        <v>TR9x6x0.625</v>
      </c>
      <c r="CE128" s="151">
        <v>9</v>
      </c>
      <c r="CF128" s="151">
        <v>6.0000000000000009</v>
      </c>
      <c r="CG128" s="151">
        <v>0.625</v>
      </c>
      <c r="CH128" s="39">
        <f t="shared" si="10"/>
        <v>1.25</v>
      </c>
      <c r="CI128" s="39" t="s">
        <v>110</v>
      </c>
    </row>
    <row r="129" spans="82:87" x14ac:dyDescent="0.3">
      <c r="CD129" s="39" t="str">
        <f t="shared" si="14"/>
        <v>TR9x6x0.5625</v>
      </c>
      <c r="CE129" s="151">
        <v>9</v>
      </c>
      <c r="CF129" s="151">
        <v>6.0000000000000009</v>
      </c>
      <c r="CG129" s="151">
        <v>0.5625</v>
      </c>
      <c r="CH129" s="39">
        <f t="shared" si="10"/>
        <v>1.125</v>
      </c>
      <c r="CI129" s="39" t="s">
        <v>110</v>
      </c>
    </row>
    <row r="130" spans="82:87" x14ac:dyDescent="0.3">
      <c r="CD130" s="39" t="str">
        <f t="shared" si="14"/>
        <v>TR9x6x0.5</v>
      </c>
      <c r="CE130" s="151">
        <v>9</v>
      </c>
      <c r="CF130" s="151">
        <v>6.0000000000000009</v>
      </c>
      <c r="CG130" s="151">
        <v>0.5</v>
      </c>
      <c r="CH130" s="39">
        <f t="shared" si="10"/>
        <v>1</v>
      </c>
      <c r="CI130" s="39" t="s">
        <v>110</v>
      </c>
    </row>
    <row r="131" spans="82:87" x14ac:dyDescent="0.3">
      <c r="CD131" s="39" t="str">
        <f t="shared" si="14"/>
        <v>TR9x6x0.375</v>
      </c>
      <c r="CE131" s="151">
        <v>9</v>
      </c>
      <c r="CF131" s="151">
        <v>6.0000000000000009</v>
      </c>
      <c r="CG131" s="151">
        <v>0.37500000000000006</v>
      </c>
      <c r="CH131" s="39">
        <f t="shared" si="10"/>
        <v>0.75000000000000011</v>
      </c>
      <c r="CI131" s="39" t="s">
        <v>110</v>
      </c>
    </row>
    <row r="132" spans="82:87" x14ac:dyDescent="0.3">
      <c r="CD132" s="39" t="str">
        <f t="shared" si="14"/>
        <v>TR9x6x0.3125</v>
      </c>
      <c r="CE132" s="151">
        <v>9</v>
      </c>
      <c r="CF132" s="151">
        <v>6.0000000000000009</v>
      </c>
      <c r="CG132" s="151">
        <v>0.3125</v>
      </c>
      <c r="CH132" s="39">
        <f t="shared" ref="CH132:CH195" si="15">CG132*2</f>
        <v>0.625</v>
      </c>
      <c r="CI132" s="39" t="s">
        <v>110</v>
      </c>
    </row>
    <row r="133" spans="82:87" x14ac:dyDescent="0.3">
      <c r="CD133" s="39" t="str">
        <f t="shared" si="14"/>
        <v>TR9x6x0.25</v>
      </c>
      <c r="CE133" s="151">
        <v>9</v>
      </c>
      <c r="CF133" s="151">
        <v>6.0000000000000009</v>
      </c>
      <c r="CG133" s="151">
        <v>0.25</v>
      </c>
      <c r="CH133" s="39">
        <f t="shared" si="15"/>
        <v>0.5</v>
      </c>
      <c r="CI133" s="39" t="s">
        <v>110</v>
      </c>
    </row>
    <row r="134" spans="82:87" x14ac:dyDescent="0.3">
      <c r="CD134" s="39" t="str">
        <f t="shared" si="14"/>
        <v>TR9x6x0.1875</v>
      </c>
      <c r="CE134" s="151">
        <v>9</v>
      </c>
      <c r="CF134" s="151">
        <v>6.0000000000000009</v>
      </c>
      <c r="CG134" s="151">
        <v>0.18750000000000003</v>
      </c>
      <c r="CH134" s="39">
        <f t="shared" si="15"/>
        <v>0.37500000000000006</v>
      </c>
      <c r="CI134" s="39" t="s">
        <v>110</v>
      </c>
    </row>
    <row r="135" spans="82:87" x14ac:dyDescent="0.3">
      <c r="CD135" s="39" t="str">
        <f t="shared" si="14"/>
        <v>TR9x5x0.5625</v>
      </c>
      <c r="CE135" s="151">
        <v>9</v>
      </c>
      <c r="CF135" s="151">
        <v>5</v>
      </c>
      <c r="CG135" s="151">
        <v>0.5625</v>
      </c>
      <c r="CH135" s="39">
        <f t="shared" si="15"/>
        <v>1.125</v>
      </c>
      <c r="CI135" s="39" t="s">
        <v>110</v>
      </c>
    </row>
    <row r="136" spans="82:87" x14ac:dyDescent="0.3">
      <c r="CD136" s="39" t="str">
        <f t="shared" si="14"/>
        <v>TR9x5x0.5</v>
      </c>
      <c r="CE136" s="151">
        <v>9</v>
      </c>
      <c r="CF136" s="151">
        <v>5</v>
      </c>
      <c r="CG136" s="151">
        <v>0.5</v>
      </c>
      <c r="CH136" s="39">
        <f t="shared" si="15"/>
        <v>1</v>
      </c>
      <c r="CI136" s="39" t="s">
        <v>110</v>
      </c>
    </row>
    <row r="137" spans="82:87" x14ac:dyDescent="0.3">
      <c r="CD137" s="39" t="str">
        <f t="shared" si="14"/>
        <v>TR9x5x0.375</v>
      </c>
      <c r="CE137" s="151">
        <v>9</v>
      </c>
      <c r="CF137" s="151">
        <v>5</v>
      </c>
      <c r="CG137" s="151">
        <v>0.37500000000000006</v>
      </c>
      <c r="CH137" s="39">
        <f t="shared" si="15"/>
        <v>0.75000000000000011</v>
      </c>
      <c r="CI137" s="39" t="s">
        <v>110</v>
      </c>
    </row>
    <row r="138" spans="82:87" x14ac:dyDescent="0.3">
      <c r="CD138" s="39" t="str">
        <f t="shared" si="14"/>
        <v>TR9x5x0.3125</v>
      </c>
      <c r="CE138" s="151">
        <v>9</v>
      </c>
      <c r="CF138" s="151">
        <v>5</v>
      </c>
      <c r="CG138" s="151">
        <v>0.3125</v>
      </c>
      <c r="CH138" s="39">
        <f t="shared" si="15"/>
        <v>0.625</v>
      </c>
      <c r="CI138" s="39" t="s">
        <v>110</v>
      </c>
    </row>
    <row r="139" spans="82:87" x14ac:dyDescent="0.3">
      <c r="CD139" s="39" t="str">
        <f t="shared" si="14"/>
        <v>TR9x5x0.25</v>
      </c>
      <c r="CE139" s="151">
        <v>9</v>
      </c>
      <c r="CF139" s="151">
        <v>5</v>
      </c>
      <c r="CG139" s="151">
        <v>0.25</v>
      </c>
      <c r="CH139" s="39">
        <f t="shared" si="15"/>
        <v>0.5</v>
      </c>
      <c r="CI139" s="39" t="s">
        <v>110</v>
      </c>
    </row>
    <row r="140" spans="82:87" x14ac:dyDescent="0.3">
      <c r="CD140" s="39" t="str">
        <f t="shared" si="14"/>
        <v>TR9x5x0.1875</v>
      </c>
      <c r="CE140" s="151">
        <v>9</v>
      </c>
      <c r="CF140" s="151">
        <v>5</v>
      </c>
      <c r="CG140" s="151">
        <v>0.18750000000000003</v>
      </c>
      <c r="CH140" s="39">
        <f t="shared" si="15"/>
        <v>0.37500000000000006</v>
      </c>
      <c r="CI140" s="39" t="s">
        <v>110</v>
      </c>
    </row>
    <row r="141" spans="82:87" x14ac:dyDescent="0.3">
      <c r="CD141" s="39" t="str">
        <f t="shared" si="14"/>
        <v>TR9x3x0.5</v>
      </c>
      <c r="CE141" s="151">
        <v>9</v>
      </c>
      <c r="CF141" s="151">
        <v>3.0000000000000004</v>
      </c>
      <c r="CG141" s="151">
        <v>0.5</v>
      </c>
      <c r="CH141" s="39">
        <f t="shared" si="15"/>
        <v>1</v>
      </c>
      <c r="CI141" s="39" t="s">
        <v>110</v>
      </c>
    </row>
    <row r="142" spans="82:87" x14ac:dyDescent="0.3">
      <c r="CD142" s="39" t="str">
        <f t="shared" si="14"/>
        <v>TR9x3x0.375</v>
      </c>
      <c r="CE142" s="151">
        <v>9</v>
      </c>
      <c r="CF142" s="151">
        <v>3.0000000000000004</v>
      </c>
      <c r="CG142" s="151">
        <v>0.37500000000000006</v>
      </c>
      <c r="CH142" s="39">
        <f t="shared" si="15"/>
        <v>0.75000000000000011</v>
      </c>
      <c r="CI142" s="39" t="s">
        <v>110</v>
      </c>
    </row>
    <row r="143" spans="82:87" x14ac:dyDescent="0.3">
      <c r="CD143" s="39" t="str">
        <f t="shared" si="14"/>
        <v>TR9x3x0.3125</v>
      </c>
      <c r="CE143" s="151">
        <v>9</v>
      </c>
      <c r="CF143" s="151">
        <v>3.0000000000000004</v>
      </c>
      <c r="CG143" s="151">
        <v>0.3125</v>
      </c>
      <c r="CH143" s="39">
        <f t="shared" si="15"/>
        <v>0.625</v>
      </c>
      <c r="CI143" s="39" t="s">
        <v>110</v>
      </c>
    </row>
    <row r="144" spans="82:87" x14ac:dyDescent="0.3">
      <c r="CD144" s="39" t="str">
        <f t="shared" si="14"/>
        <v>TR9x3x0.25</v>
      </c>
      <c r="CE144" s="151">
        <v>9</v>
      </c>
      <c r="CF144" s="151">
        <v>3.0000000000000004</v>
      </c>
      <c r="CG144" s="151">
        <v>0.25</v>
      </c>
      <c r="CH144" s="39">
        <f t="shared" si="15"/>
        <v>0.5</v>
      </c>
      <c r="CI144" s="39" t="s">
        <v>110</v>
      </c>
    </row>
    <row r="145" spans="82:87" x14ac:dyDescent="0.3">
      <c r="CD145" s="39" t="str">
        <f t="shared" si="14"/>
        <v>TR9x3x0.1875</v>
      </c>
      <c r="CE145" s="151">
        <v>9</v>
      </c>
      <c r="CF145" s="151">
        <v>3.0000000000000004</v>
      </c>
      <c r="CG145" s="151">
        <v>0.18750000000000003</v>
      </c>
      <c r="CH145" s="39">
        <f t="shared" si="15"/>
        <v>0.37500000000000006</v>
      </c>
      <c r="CI145" s="39" t="s">
        <v>110</v>
      </c>
    </row>
    <row r="146" spans="82:87" x14ac:dyDescent="0.3">
      <c r="CD146" s="97" t="str">
        <f t="shared" ref="CD146:CD152" si="16">CONCATENATE("TS",CE146,"x",CF146,"x",CG146)</f>
        <v>TS8x8x0.625</v>
      </c>
      <c r="CE146" s="152">
        <v>8</v>
      </c>
      <c r="CF146" s="152">
        <v>8</v>
      </c>
      <c r="CG146" s="152">
        <v>0.625</v>
      </c>
      <c r="CH146" s="97">
        <f t="shared" si="15"/>
        <v>1.25</v>
      </c>
      <c r="CI146" s="39" t="s">
        <v>110</v>
      </c>
    </row>
    <row r="147" spans="82:87" x14ac:dyDescent="0.3">
      <c r="CD147" s="97" t="str">
        <f t="shared" si="16"/>
        <v>TS8x8x0.5625</v>
      </c>
      <c r="CE147" s="152">
        <v>8</v>
      </c>
      <c r="CF147" s="152">
        <v>8</v>
      </c>
      <c r="CG147" s="152">
        <v>0.5625</v>
      </c>
      <c r="CH147" s="97">
        <f t="shared" si="15"/>
        <v>1.125</v>
      </c>
      <c r="CI147" s="39" t="s">
        <v>110</v>
      </c>
    </row>
    <row r="148" spans="82:87" x14ac:dyDescent="0.3">
      <c r="CD148" s="97" t="str">
        <f t="shared" si="16"/>
        <v>TS8x8x0.5</v>
      </c>
      <c r="CE148" s="152">
        <v>8</v>
      </c>
      <c r="CF148" s="152">
        <v>8</v>
      </c>
      <c r="CG148" s="152">
        <v>0.5</v>
      </c>
      <c r="CH148" s="97">
        <f t="shared" si="15"/>
        <v>1</v>
      </c>
      <c r="CI148" s="39" t="s">
        <v>110</v>
      </c>
    </row>
    <row r="149" spans="82:87" x14ac:dyDescent="0.3">
      <c r="CD149" s="97" t="str">
        <f t="shared" si="16"/>
        <v>TS8x8x0.375</v>
      </c>
      <c r="CE149" s="152">
        <v>8</v>
      </c>
      <c r="CF149" s="152">
        <v>8</v>
      </c>
      <c r="CG149" s="152">
        <v>0.37500000000000006</v>
      </c>
      <c r="CH149" s="97">
        <f t="shared" si="15"/>
        <v>0.75000000000000011</v>
      </c>
      <c r="CI149" s="39" t="s">
        <v>110</v>
      </c>
    </row>
    <row r="150" spans="82:87" x14ac:dyDescent="0.3">
      <c r="CD150" s="97" t="str">
        <f t="shared" si="16"/>
        <v>TS8x8x0.3125</v>
      </c>
      <c r="CE150" s="152">
        <v>8</v>
      </c>
      <c r="CF150" s="152">
        <v>8</v>
      </c>
      <c r="CG150" s="152">
        <v>0.3125</v>
      </c>
      <c r="CH150" s="97">
        <f t="shared" si="15"/>
        <v>0.625</v>
      </c>
      <c r="CI150" s="39" t="s">
        <v>110</v>
      </c>
    </row>
    <row r="151" spans="82:87" x14ac:dyDescent="0.3">
      <c r="CD151" s="97" t="str">
        <f t="shared" si="16"/>
        <v>TS8x8x0.25</v>
      </c>
      <c r="CE151" s="152">
        <v>8</v>
      </c>
      <c r="CF151" s="152">
        <v>8</v>
      </c>
      <c r="CG151" s="152">
        <v>0.25</v>
      </c>
      <c r="CH151" s="97">
        <f t="shared" si="15"/>
        <v>0.5</v>
      </c>
      <c r="CI151" s="39" t="s">
        <v>110</v>
      </c>
    </row>
    <row r="152" spans="82:87" x14ac:dyDescent="0.3">
      <c r="CD152" s="97" t="str">
        <f t="shared" si="16"/>
        <v>TS8x8x0.1875</v>
      </c>
      <c r="CE152" s="152">
        <v>8</v>
      </c>
      <c r="CF152" s="152">
        <v>8</v>
      </c>
      <c r="CG152" s="152">
        <v>0.18750000000000003</v>
      </c>
      <c r="CH152" s="97">
        <f t="shared" si="15"/>
        <v>0.37500000000000006</v>
      </c>
      <c r="CI152" s="39" t="s">
        <v>110</v>
      </c>
    </row>
    <row r="153" spans="82:87" x14ac:dyDescent="0.3">
      <c r="CD153" s="39" t="str">
        <f t="shared" ref="CD153:CD173" si="17">CONCATENATE("TR",CE153,"x",CF153,"x",CG153)</f>
        <v>TR8x6x0.5625</v>
      </c>
      <c r="CE153" s="151">
        <v>8</v>
      </c>
      <c r="CF153" s="151">
        <v>6.0000000000000009</v>
      </c>
      <c r="CG153" s="151">
        <v>0.5625</v>
      </c>
      <c r="CH153" s="39">
        <f t="shared" si="15"/>
        <v>1.125</v>
      </c>
      <c r="CI153" s="39" t="s">
        <v>110</v>
      </c>
    </row>
    <row r="154" spans="82:87" x14ac:dyDescent="0.3">
      <c r="CD154" s="39" t="str">
        <f t="shared" si="17"/>
        <v>TR8x6x0.5</v>
      </c>
      <c r="CE154" s="151">
        <v>8</v>
      </c>
      <c r="CF154" s="151">
        <v>6.0000000000000009</v>
      </c>
      <c r="CG154" s="151">
        <v>0.5</v>
      </c>
      <c r="CH154" s="39">
        <f t="shared" si="15"/>
        <v>1</v>
      </c>
      <c r="CI154" s="39" t="s">
        <v>110</v>
      </c>
    </row>
    <row r="155" spans="82:87" x14ac:dyDescent="0.3">
      <c r="CD155" s="39" t="str">
        <f t="shared" si="17"/>
        <v>TR8x6x0.375</v>
      </c>
      <c r="CE155" s="151">
        <v>8</v>
      </c>
      <c r="CF155" s="151">
        <v>6.0000000000000009</v>
      </c>
      <c r="CG155" s="151">
        <v>0.37500000000000006</v>
      </c>
      <c r="CH155" s="39">
        <f t="shared" si="15"/>
        <v>0.75000000000000011</v>
      </c>
      <c r="CI155" s="39" t="s">
        <v>110</v>
      </c>
    </row>
    <row r="156" spans="82:87" x14ac:dyDescent="0.3">
      <c r="CD156" s="39" t="str">
        <f t="shared" si="17"/>
        <v>TR8x6x0.3125</v>
      </c>
      <c r="CE156" s="151">
        <v>8</v>
      </c>
      <c r="CF156" s="151">
        <v>6.0000000000000009</v>
      </c>
      <c r="CG156" s="151">
        <v>0.3125</v>
      </c>
      <c r="CH156" s="39">
        <f t="shared" si="15"/>
        <v>0.625</v>
      </c>
      <c r="CI156" s="39" t="s">
        <v>110</v>
      </c>
    </row>
    <row r="157" spans="82:87" x14ac:dyDescent="0.3">
      <c r="CD157" s="39" t="str">
        <f t="shared" si="17"/>
        <v>TR8x6x0.25</v>
      </c>
      <c r="CE157" s="151">
        <v>8</v>
      </c>
      <c r="CF157" s="151">
        <v>6.0000000000000009</v>
      </c>
      <c r="CG157" s="151">
        <v>0.25</v>
      </c>
      <c r="CH157" s="39">
        <f t="shared" si="15"/>
        <v>0.5</v>
      </c>
      <c r="CI157" s="39" t="s">
        <v>110</v>
      </c>
    </row>
    <row r="158" spans="82:87" x14ac:dyDescent="0.3">
      <c r="CD158" s="39" t="str">
        <f t="shared" si="17"/>
        <v>TR8x6x0.1875</v>
      </c>
      <c r="CE158" s="151">
        <v>8</v>
      </c>
      <c r="CF158" s="151">
        <v>6.0000000000000009</v>
      </c>
      <c r="CG158" s="151">
        <v>0.18750000000000003</v>
      </c>
      <c r="CH158" s="39">
        <f t="shared" si="15"/>
        <v>0.37500000000000006</v>
      </c>
      <c r="CI158" s="39" t="s">
        <v>110</v>
      </c>
    </row>
    <row r="159" spans="82:87" x14ac:dyDescent="0.3">
      <c r="CD159" s="39" t="str">
        <f t="shared" si="17"/>
        <v>TR8x4x0.5625</v>
      </c>
      <c r="CE159" s="151">
        <v>8</v>
      </c>
      <c r="CF159" s="151">
        <v>4</v>
      </c>
      <c r="CG159" s="151">
        <v>0.5625</v>
      </c>
      <c r="CH159" s="39">
        <f t="shared" si="15"/>
        <v>1.125</v>
      </c>
      <c r="CI159" s="39" t="s">
        <v>110</v>
      </c>
    </row>
    <row r="160" spans="82:87" x14ac:dyDescent="0.3">
      <c r="CD160" s="39" t="str">
        <f t="shared" si="17"/>
        <v>TR8x4x0.5</v>
      </c>
      <c r="CE160" s="151">
        <v>8</v>
      </c>
      <c r="CF160" s="151">
        <v>4</v>
      </c>
      <c r="CG160" s="151">
        <v>0.5</v>
      </c>
      <c r="CH160" s="39">
        <f t="shared" si="15"/>
        <v>1</v>
      </c>
      <c r="CI160" s="39" t="s">
        <v>110</v>
      </c>
    </row>
    <row r="161" spans="82:87" x14ac:dyDescent="0.3">
      <c r="CD161" s="39" t="str">
        <f t="shared" si="17"/>
        <v>TR8x4x0.375</v>
      </c>
      <c r="CE161" s="151">
        <v>8</v>
      </c>
      <c r="CF161" s="151">
        <v>4</v>
      </c>
      <c r="CG161" s="151">
        <v>0.37500000000000006</v>
      </c>
      <c r="CH161" s="39">
        <f t="shared" si="15"/>
        <v>0.75000000000000011</v>
      </c>
      <c r="CI161" s="39" t="s">
        <v>110</v>
      </c>
    </row>
    <row r="162" spans="82:87" x14ac:dyDescent="0.3">
      <c r="CD162" s="39" t="str">
        <f t="shared" si="17"/>
        <v>TR8x4x0.3125</v>
      </c>
      <c r="CE162" s="151">
        <v>8</v>
      </c>
      <c r="CF162" s="151">
        <v>4</v>
      </c>
      <c r="CG162" s="151">
        <v>0.3125</v>
      </c>
      <c r="CH162" s="39">
        <f t="shared" si="15"/>
        <v>0.625</v>
      </c>
      <c r="CI162" s="39" t="s">
        <v>110</v>
      </c>
    </row>
    <row r="163" spans="82:87" x14ac:dyDescent="0.3">
      <c r="CD163" s="39" t="str">
        <f t="shared" si="17"/>
        <v>TR8x4x0.25</v>
      </c>
      <c r="CE163" s="151">
        <v>8</v>
      </c>
      <c r="CF163" s="151">
        <v>4</v>
      </c>
      <c r="CG163" s="151">
        <v>0.25</v>
      </c>
      <c r="CH163" s="39">
        <f t="shared" si="15"/>
        <v>0.5</v>
      </c>
      <c r="CI163" s="39" t="s">
        <v>110</v>
      </c>
    </row>
    <row r="164" spans="82:87" x14ac:dyDescent="0.3">
      <c r="CD164" s="39" t="str">
        <f t="shared" si="17"/>
        <v>TR8x4x0.1875</v>
      </c>
      <c r="CE164" s="151">
        <v>8</v>
      </c>
      <c r="CF164" s="151">
        <v>4</v>
      </c>
      <c r="CG164" s="151">
        <v>0.18750000000000003</v>
      </c>
      <c r="CH164" s="39">
        <f t="shared" si="15"/>
        <v>0.37500000000000006</v>
      </c>
      <c r="CI164" s="39" t="s">
        <v>110</v>
      </c>
    </row>
    <row r="165" spans="82:87" x14ac:dyDescent="0.3">
      <c r="CD165" s="39" t="str">
        <f t="shared" si="17"/>
        <v>TR8x3x0.5</v>
      </c>
      <c r="CE165" s="151">
        <v>8</v>
      </c>
      <c r="CF165" s="151">
        <v>3.0000000000000004</v>
      </c>
      <c r="CG165" s="151">
        <v>0.5</v>
      </c>
      <c r="CH165" s="39">
        <f t="shared" si="15"/>
        <v>1</v>
      </c>
      <c r="CI165" s="39" t="s">
        <v>110</v>
      </c>
    </row>
    <row r="166" spans="82:87" x14ac:dyDescent="0.3">
      <c r="CD166" s="39" t="str">
        <f t="shared" si="17"/>
        <v>TR8x3x0.375</v>
      </c>
      <c r="CE166" s="151">
        <v>8</v>
      </c>
      <c r="CF166" s="151">
        <v>3.0000000000000004</v>
      </c>
      <c r="CG166" s="151">
        <v>0.37500000000000006</v>
      </c>
      <c r="CH166" s="39">
        <f t="shared" si="15"/>
        <v>0.75000000000000011</v>
      </c>
      <c r="CI166" s="39" t="s">
        <v>110</v>
      </c>
    </row>
    <row r="167" spans="82:87" x14ac:dyDescent="0.3">
      <c r="CD167" s="39" t="str">
        <f t="shared" si="17"/>
        <v>TR8x3x0.3125</v>
      </c>
      <c r="CE167" s="151">
        <v>8</v>
      </c>
      <c r="CF167" s="151">
        <v>3.0000000000000004</v>
      </c>
      <c r="CG167" s="151">
        <v>0.3125</v>
      </c>
      <c r="CH167" s="39">
        <f t="shared" si="15"/>
        <v>0.625</v>
      </c>
      <c r="CI167" s="39" t="s">
        <v>110</v>
      </c>
    </row>
    <row r="168" spans="82:87" x14ac:dyDescent="0.3">
      <c r="CD168" s="39" t="str">
        <f t="shared" si="17"/>
        <v>TR8x3x0.25</v>
      </c>
      <c r="CE168" s="151">
        <v>8</v>
      </c>
      <c r="CF168" s="151">
        <v>3.0000000000000004</v>
      </c>
      <c r="CG168" s="151">
        <v>0.25</v>
      </c>
      <c r="CH168" s="39">
        <f t="shared" si="15"/>
        <v>0.5</v>
      </c>
      <c r="CI168" s="39" t="s">
        <v>110</v>
      </c>
    </row>
    <row r="169" spans="82:87" x14ac:dyDescent="0.3">
      <c r="CD169" s="39" t="str">
        <f t="shared" si="17"/>
        <v>TR8x3x0.1875</v>
      </c>
      <c r="CE169" s="151">
        <v>8</v>
      </c>
      <c r="CF169" s="151">
        <v>3.0000000000000004</v>
      </c>
      <c r="CG169" s="151">
        <v>0.18750000000000003</v>
      </c>
      <c r="CH169" s="39">
        <f t="shared" si="15"/>
        <v>0.37500000000000006</v>
      </c>
      <c r="CI169" s="39" t="s">
        <v>110</v>
      </c>
    </row>
    <row r="170" spans="82:87" x14ac:dyDescent="0.3">
      <c r="CD170" s="39" t="str">
        <f t="shared" si="17"/>
        <v>TR8x2x0.375</v>
      </c>
      <c r="CE170" s="151">
        <v>8</v>
      </c>
      <c r="CF170" s="151">
        <v>2</v>
      </c>
      <c r="CG170" s="151">
        <v>0.37500000000000006</v>
      </c>
      <c r="CH170" s="39">
        <f t="shared" si="15"/>
        <v>0.75000000000000011</v>
      </c>
      <c r="CI170" s="39" t="s">
        <v>110</v>
      </c>
    </row>
    <row r="171" spans="82:87" x14ac:dyDescent="0.3">
      <c r="CD171" s="39" t="str">
        <f t="shared" si="17"/>
        <v>TR8x2x0.3125</v>
      </c>
      <c r="CE171" s="151">
        <v>8</v>
      </c>
      <c r="CF171" s="151">
        <v>2</v>
      </c>
      <c r="CG171" s="151">
        <v>0.3125</v>
      </c>
      <c r="CH171" s="39">
        <f t="shared" si="15"/>
        <v>0.625</v>
      </c>
      <c r="CI171" s="39" t="s">
        <v>110</v>
      </c>
    </row>
    <row r="172" spans="82:87" x14ac:dyDescent="0.3">
      <c r="CD172" s="39" t="str">
        <f t="shared" si="17"/>
        <v>TR8x2x0.25</v>
      </c>
      <c r="CE172" s="151">
        <v>8</v>
      </c>
      <c r="CF172" s="151">
        <v>2</v>
      </c>
      <c r="CG172" s="151">
        <v>0.25</v>
      </c>
      <c r="CH172" s="39">
        <f t="shared" si="15"/>
        <v>0.5</v>
      </c>
      <c r="CI172" s="39" t="s">
        <v>110</v>
      </c>
    </row>
    <row r="173" spans="82:87" x14ac:dyDescent="0.3">
      <c r="CD173" s="39" t="str">
        <f t="shared" si="17"/>
        <v>TR8x2x0.1875</v>
      </c>
      <c r="CE173" s="151">
        <v>8</v>
      </c>
      <c r="CF173" s="151">
        <v>2</v>
      </c>
      <c r="CG173" s="151">
        <v>0.18750000000000003</v>
      </c>
      <c r="CH173" s="39">
        <f t="shared" si="15"/>
        <v>0.37500000000000006</v>
      </c>
      <c r="CI173" s="39" t="s">
        <v>110</v>
      </c>
    </row>
    <row r="174" spans="82:87" x14ac:dyDescent="0.3">
      <c r="CD174" s="97" t="str">
        <f t="shared" ref="CD174:CD179" si="18">CONCATENATE("TS",CE174,"x",CF174,"x",CG174)</f>
        <v>TS7x7x0.5625</v>
      </c>
      <c r="CE174" s="152">
        <v>7</v>
      </c>
      <c r="CF174" s="152">
        <v>7</v>
      </c>
      <c r="CG174" s="152">
        <v>0.5625</v>
      </c>
      <c r="CH174" s="97">
        <f t="shared" si="15"/>
        <v>1.125</v>
      </c>
      <c r="CI174" s="39" t="s">
        <v>110</v>
      </c>
    </row>
    <row r="175" spans="82:87" x14ac:dyDescent="0.3">
      <c r="CD175" s="97" t="str">
        <f t="shared" si="18"/>
        <v>TS7x7x0.5</v>
      </c>
      <c r="CE175" s="152">
        <v>7</v>
      </c>
      <c r="CF175" s="152">
        <v>7</v>
      </c>
      <c r="CG175" s="152">
        <v>0.5</v>
      </c>
      <c r="CH175" s="97">
        <f t="shared" si="15"/>
        <v>1</v>
      </c>
      <c r="CI175" s="39" t="s">
        <v>110</v>
      </c>
    </row>
    <row r="176" spans="82:87" x14ac:dyDescent="0.3">
      <c r="CD176" s="97" t="str">
        <f t="shared" si="18"/>
        <v>TS7x7x0.375</v>
      </c>
      <c r="CE176" s="152">
        <v>7</v>
      </c>
      <c r="CF176" s="152">
        <v>7</v>
      </c>
      <c r="CG176" s="152">
        <v>0.37500000000000006</v>
      </c>
      <c r="CH176" s="97">
        <f t="shared" si="15"/>
        <v>0.75000000000000011</v>
      </c>
      <c r="CI176" s="39" t="s">
        <v>110</v>
      </c>
    </row>
    <row r="177" spans="82:87" x14ac:dyDescent="0.3">
      <c r="CD177" s="97" t="str">
        <f t="shared" si="18"/>
        <v>TS7x7x0.3125</v>
      </c>
      <c r="CE177" s="152">
        <v>7</v>
      </c>
      <c r="CF177" s="152">
        <v>7</v>
      </c>
      <c r="CG177" s="152">
        <v>0.3125</v>
      </c>
      <c r="CH177" s="97">
        <f t="shared" si="15"/>
        <v>0.625</v>
      </c>
      <c r="CI177" s="39" t="s">
        <v>110</v>
      </c>
    </row>
    <row r="178" spans="82:87" x14ac:dyDescent="0.3">
      <c r="CD178" s="97" t="str">
        <f t="shared" si="18"/>
        <v>TS7x7x0.25</v>
      </c>
      <c r="CE178" s="152">
        <v>7</v>
      </c>
      <c r="CF178" s="152">
        <v>7</v>
      </c>
      <c r="CG178" s="152">
        <v>0.25</v>
      </c>
      <c r="CH178" s="97">
        <f t="shared" si="15"/>
        <v>0.5</v>
      </c>
      <c r="CI178" s="39" t="s">
        <v>110</v>
      </c>
    </row>
    <row r="179" spans="82:87" x14ac:dyDescent="0.3">
      <c r="CD179" s="97" t="str">
        <f t="shared" si="18"/>
        <v>TS7x7x0.1875</v>
      </c>
      <c r="CE179" s="152">
        <v>7</v>
      </c>
      <c r="CF179" s="152">
        <v>7</v>
      </c>
      <c r="CG179" s="152">
        <v>0.18750000000000003</v>
      </c>
      <c r="CH179" s="97">
        <f t="shared" si="15"/>
        <v>0.37500000000000006</v>
      </c>
      <c r="CI179" s="39" t="s">
        <v>110</v>
      </c>
    </row>
    <row r="180" spans="82:87" x14ac:dyDescent="0.3">
      <c r="CD180" s="39" t="str">
        <f t="shared" ref="CD180:CD196" si="19">CONCATENATE("TR",CE180,"x",CF180,"x",CG180)</f>
        <v>TR7x5x0.5</v>
      </c>
      <c r="CE180" s="151">
        <v>7</v>
      </c>
      <c r="CF180" s="151">
        <v>5</v>
      </c>
      <c r="CG180" s="151">
        <v>0.5</v>
      </c>
      <c r="CH180" s="39">
        <f t="shared" si="15"/>
        <v>1</v>
      </c>
      <c r="CI180" s="39" t="s">
        <v>110</v>
      </c>
    </row>
    <row r="181" spans="82:87" x14ac:dyDescent="0.3">
      <c r="CD181" s="39" t="str">
        <f t="shared" si="19"/>
        <v>TR7x5x0.375</v>
      </c>
      <c r="CE181" s="151">
        <v>7</v>
      </c>
      <c r="CF181" s="151">
        <v>5</v>
      </c>
      <c r="CG181" s="151">
        <v>0.37500000000000006</v>
      </c>
      <c r="CH181" s="39">
        <f t="shared" si="15"/>
        <v>0.75000000000000011</v>
      </c>
      <c r="CI181" s="39" t="s">
        <v>110</v>
      </c>
    </row>
    <row r="182" spans="82:87" x14ac:dyDescent="0.3">
      <c r="CD182" s="39" t="str">
        <f t="shared" si="19"/>
        <v>TR7x5x0.3125</v>
      </c>
      <c r="CE182" s="151">
        <v>7</v>
      </c>
      <c r="CF182" s="151">
        <v>5</v>
      </c>
      <c r="CG182" s="151">
        <v>0.3125</v>
      </c>
      <c r="CH182" s="39">
        <f t="shared" si="15"/>
        <v>0.625</v>
      </c>
      <c r="CI182" s="39" t="s">
        <v>110</v>
      </c>
    </row>
    <row r="183" spans="82:87" x14ac:dyDescent="0.3">
      <c r="CD183" s="39" t="str">
        <f t="shared" si="19"/>
        <v>TR7x5x0.25</v>
      </c>
      <c r="CE183" s="151">
        <v>7</v>
      </c>
      <c r="CF183" s="151">
        <v>5</v>
      </c>
      <c r="CG183" s="151">
        <v>0.25</v>
      </c>
      <c r="CH183" s="39">
        <f t="shared" si="15"/>
        <v>0.5</v>
      </c>
      <c r="CI183" s="39" t="s">
        <v>110</v>
      </c>
    </row>
    <row r="184" spans="82:87" x14ac:dyDescent="0.3">
      <c r="CD184" s="39" t="str">
        <f t="shared" si="19"/>
        <v>TR7x5x0.1875</v>
      </c>
      <c r="CE184" s="151">
        <v>7</v>
      </c>
      <c r="CF184" s="151">
        <v>5</v>
      </c>
      <c r="CG184" s="151">
        <v>0.18750000000000003</v>
      </c>
      <c r="CH184" s="39">
        <f t="shared" si="15"/>
        <v>0.37500000000000006</v>
      </c>
      <c r="CI184" s="39" t="s">
        <v>110</v>
      </c>
    </row>
    <row r="185" spans="82:87" x14ac:dyDescent="0.3">
      <c r="CD185" s="39" t="str">
        <f t="shared" si="19"/>
        <v>TR7x4x0.5</v>
      </c>
      <c r="CE185" s="151">
        <v>7</v>
      </c>
      <c r="CF185" s="151">
        <v>4</v>
      </c>
      <c r="CG185" s="151">
        <v>0.5</v>
      </c>
      <c r="CH185" s="39">
        <f t="shared" si="15"/>
        <v>1</v>
      </c>
      <c r="CI185" s="39" t="s">
        <v>110</v>
      </c>
    </row>
    <row r="186" spans="82:87" x14ac:dyDescent="0.3">
      <c r="CD186" s="39" t="str">
        <f t="shared" si="19"/>
        <v>TR7x4x0.375</v>
      </c>
      <c r="CE186" s="151">
        <v>7</v>
      </c>
      <c r="CF186" s="151">
        <v>4</v>
      </c>
      <c r="CG186" s="151">
        <v>0.37500000000000006</v>
      </c>
      <c r="CH186" s="39">
        <f t="shared" si="15"/>
        <v>0.75000000000000011</v>
      </c>
      <c r="CI186" s="39" t="s">
        <v>110</v>
      </c>
    </row>
    <row r="187" spans="82:87" x14ac:dyDescent="0.3">
      <c r="CD187" s="39" t="str">
        <f t="shared" si="19"/>
        <v>TR7x4x0.3125</v>
      </c>
      <c r="CE187" s="151">
        <v>7</v>
      </c>
      <c r="CF187" s="151">
        <v>4</v>
      </c>
      <c r="CG187" s="151">
        <v>0.3125</v>
      </c>
      <c r="CH187" s="39">
        <f t="shared" si="15"/>
        <v>0.625</v>
      </c>
      <c r="CI187" s="39" t="s">
        <v>110</v>
      </c>
    </row>
    <row r="188" spans="82:87" x14ac:dyDescent="0.3">
      <c r="CD188" s="39" t="str">
        <f t="shared" si="19"/>
        <v>TR7x4x0.25</v>
      </c>
      <c r="CE188" s="151">
        <v>7</v>
      </c>
      <c r="CF188" s="151">
        <v>4</v>
      </c>
      <c r="CG188" s="151">
        <v>0.25</v>
      </c>
      <c r="CH188" s="39">
        <f t="shared" si="15"/>
        <v>0.5</v>
      </c>
      <c r="CI188" s="39" t="s">
        <v>110</v>
      </c>
    </row>
    <row r="189" spans="82:87" x14ac:dyDescent="0.3">
      <c r="CD189" s="39" t="str">
        <f t="shared" si="19"/>
        <v>TR7x4x0.1875</v>
      </c>
      <c r="CE189" s="151">
        <v>7</v>
      </c>
      <c r="CF189" s="151">
        <v>4</v>
      </c>
      <c r="CG189" s="151">
        <v>0.18750000000000003</v>
      </c>
      <c r="CH189" s="39">
        <f t="shared" si="15"/>
        <v>0.37500000000000006</v>
      </c>
      <c r="CI189" s="39" t="s">
        <v>110</v>
      </c>
    </row>
    <row r="190" spans="82:87" x14ac:dyDescent="0.3">
      <c r="CD190" s="39" t="str">
        <f t="shared" si="19"/>
        <v>TR7x3x0.5</v>
      </c>
      <c r="CE190" s="151">
        <v>7</v>
      </c>
      <c r="CF190" s="151">
        <v>3.0000000000000004</v>
      </c>
      <c r="CG190" s="151">
        <v>0.5</v>
      </c>
      <c r="CH190" s="39">
        <f t="shared" si="15"/>
        <v>1</v>
      </c>
      <c r="CI190" s="39" t="s">
        <v>110</v>
      </c>
    </row>
    <row r="191" spans="82:87" x14ac:dyDescent="0.3">
      <c r="CD191" s="39" t="str">
        <f t="shared" si="19"/>
        <v>TR7x3x0.375</v>
      </c>
      <c r="CE191" s="151">
        <v>7</v>
      </c>
      <c r="CF191" s="151">
        <v>3.0000000000000004</v>
      </c>
      <c r="CG191" s="151">
        <v>0.37500000000000006</v>
      </c>
      <c r="CH191" s="39">
        <f t="shared" si="15"/>
        <v>0.75000000000000011</v>
      </c>
      <c r="CI191" s="39" t="s">
        <v>110</v>
      </c>
    </row>
    <row r="192" spans="82:87" x14ac:dyDescent="0.3">
      <c r="CD192" s="39" t="str">
        <f t="shared" si="19"/>
        <v>TR7x3x0.3125</v>
      </c>
      <c r="CE192" s="151">
        <v>7</v>
      </c>
      <c r="CF192" s="151">
        <v>3.0000000000000004</v>
      </c>
      <c r="CG192" s="151">
        <v>0.3125</v>
      </c>
      <c r="CH192" s="39">
        <f t="shared" si="15"/>
        <v>0.625</v>
      </c>
      <c r="CI192" s="39" t="s">
        <v>110</v>
      </c>
    </row>
    <row r="193" spans="82:87" x14ac:dyDescent="0.3">
      <c r="CD193" s="39" t="str">
        <f t="shared" si="19"/>
        <v>TR7x3x0.25</v>
      </c>
      <c r="CE193" s="151">
        <v>7</v>
      </c>
      <c r="CF193" s="151">
        <v>3.0000000000000004</v>
      </c>
      <c r="CG193" s="151">
        <v>0.25</v>
      </c>
      <c r="CH193" s="39">
        <f t="shared" si="15"/>
        <v>0.5</v>
      </c>
      <c r="CI193" s="39" t="s">
        <v>110</v>
      </c>
    </row>
    <row r="194" spans="82:87" x14ac:dyDescent="0.3">
      <c r="CD194" s="39" t="str">
        <f t="shared" si="19"/>
        <v>TR7x3x0.1875</v>
      </c>
      <c r="CE194" s="151">
        <v>7</v>
      </c>
      <c r="CF194" s="151">
        <v>3.0000000000000004</v>
      </c>
      <c r="CG194" s="151">
        <v>0.18750000000000003</v>
      </c>
      <c r="CH194" s="39">
        <f t="shared" si="15"/>
        <v>0.37500000000000006</v>
      </c>
      <c r="CI194" s="39" t="s">
        <v>110</v>
      </c>
    </row>
    <row r="195" spans="82:87" x14ac:dyDescent="0.3">
      <c r="CD195" s="39" t="str">
        <f t="shared" si="19"/>
        <v>TR7x2x0.25</v>
      </c>
      <c r="CE195" s="151">
        <v>7</v>
      </c>
      <c r="CF195" s="151">
        <v>2</v>
      </c>
      <c r="CG195" s="151">
        <v>0.25</v>
      </c>
      <c r="CH195" s="39">
        <f t="shared" si="15"/>
        <v>0.5</v>
      </c>
      <c r="CI195" s="39" t="s">
        <v>110</v>
      </c>
    </row>
    <row r="196" spans="82:87" x14ac:dyDescent="0.3">
      <c r="CD196" s="39" t="str">
        <f t="shared" si="19"/>
        <v>TR7x2x0.1875</v>
      </c>
      <c r="CE196" s="151">
        <v>7</v>
      </c>
      <c r="CF196" s="151">
        <v>2</v>
      </c>
      <c r="CG196" s="151">
        <v>0.18750000000000003</v>
      </c>
      <c r="CH196" s="39">
        <f t="shared" ref="CH196:CH259" si="20">CG196*2</f>
        <v>0.37500000000000006</v>
      </c>
      <c r="CI196" s="39" t="s">
        <v>110</v>
      </c>
    </row>
    <row r="197" spans="82:87" x14ac:dyDescent="0.3">
      <c r="CD197" s="97" t="str">
        <f t="shared" ref="CD197:CD202" si="21">CONCATENATE("TS",CE197,"x",CF197,"x",CG197)</f>
        <v>TS6x6x0.5625</v>
      </c>
      <c r="CE197" s="152">
        <v>6.0000000000000009</v>
      </c>
      <c r="CF197" s="152">
        <v>6.0000000000000009</v>
      </c>
      <c r="CG197" s="152">
        <v>0.5625</v>
      </c>
      <c r="CH197" s="97">
        <f t="shared" si="20"/>
        <v>1.125</v>
      </c>
      <c r="CI197" s="39" t="s">
        <v>110</v>
      </c>
    </row>
    <row r="198" spans="82:87" x14ac:dyDescent="0.3">
      <c r="CD198" s="97" t="str">
        <f t="shared" si="21"/>
        <v>TS6x6x0.5</v>
      </c>
      <c r="CE198" s="152">
        <v>6.0000000000000009</v>
      </c>
      <c r="CF198" s="152">
        <v>6.0000000000000009</v>
      </c>
      <c r="CG198" s="152">
        <v>0.5</v>
      </c>
      <c r="CH198" s="97">
        <f t="shared" si="20"/>
        <v>1</v>
      </c>
      <c r="CI198" s="39" t="s">
        <v>110</v>
      </c>
    </row>
    <row r="199" spans="82:87" x14ac:dyDescent="0.3">
      <c r="CD199" s="97" t="str">
        <f t="shared" si="21"/>
        <v>TS6x6x0.375</v>
      </c>
      <c r="CE199" s="152">
        <v>6.0000000000000009</v>
      </c>
      <c r="CF199" s="152">
        <v>6.0000000000000009</v>
      </c>
      <c r="CG199" s="152">
        <v>0.37500000000000006</v>
      </c>
      <c r="CH199" s="97">
        <f t="shared" si="20"/>
        <v>0.75000000000000011</v>
      </c>
      <c r="CI199" s="39" t="s">
        <v>110</v>
      </c>
    </row>
    <row r="200" spans="82:87" x14ac:dyDescent="0.3">
      <c r="CD200" s="97" t="str">
        <f t="shared" si="21"/>
        <v>TS6x6x0.3125</v>
      </c>
      <c r="CE200" s="152">
        <v>6.0000000000000009</v>
      </c>
      <c r="CF200" s="152">
        <v>6.0000000000000009</v>
      </c>
      <c r="CG200" s="152">
        <v>0.3125</v>
      </c>
      <c r="CH200" s="97">
        <f t="shared" si="20"/>
        <v>0.625</v>
      </c>
      <c r="CI200" s="39" t="s">
        <v>110</v>
      </c>
    </row>
    <row r="201" spans="82:87" x14ac:dyDescent="0.3">
      <c r="CD201" s="97" t="str">
        <f t="shared" si="21"/>
        <v>TS6x6x0.25</v>
      </c>
      <c r="CE201" s="152">
        <v>6.0000000000000009</v>
      </c>
      <c r="CF201" s="152">
        <v>6.0000000000000009</v>
      </c>
      <c r="CG201" s="152">
        <v>0.25</v>
      </c>
      <c r="CH201" s="97">
        <f t="shared" si="20"/>
        <v>0.5</v>
      </c>
      <c r="CI201" s="39" t="s">
        <v>110</v>
      </c>
    </row>
    <row r="202" spans="82:87" x14ac:dyDescent="0.3">
      <c r="CD202" s="97" t="str">
        <f t="shared" si="21"/>
        <v>TS6x6x0.1875</v>
      </c>
      <c r="CE202" s="152">
        <v>6.0000000000000009</v>
      </c>
      <c r="CF202" s="152">
        <v>6.0000000000000009</v>
      </c>
      <c r="CG202" s="152">
        <v>0.18750000000000003</v>
      </c>
      <c r="CH202" s="97">
        <f t="shared" si="20"/>
        <v>0.37500000000000006</v>
      </c>
      <c r="CI202" s="39" t="s">
        <v>110</v>
      </c>
    </row>
    <row r="203" spans="82:87" x14ac:dyDescent="0.3">
      <c r="CD203" s="39" t="str">
        <f t="shared" ref="CD203:CD220" si="22">CONCATENATE("TR",CE203,"x",CF203,"x",CG203)</f>
        <v>TR6x5x0.5</v>
      </c>
      <c r="CE203" s="151">
        <v>6.0000000000000009</v>
      </c>
      <c r="CF203" s="151">
        <v>5</v>
      </c>
      <c r="CG203" s="151">
        <v>0.5</v>
      </c>
      <c r="CH203" s="39">
        <f t="shared" si="20"/>
        <v>1</v>
      </c>
      <c r="CI203" s="39" t="s">
        <v>110</v>
      </c>
    </row>
    <row r="204" spans="82:87" x14ac:dyDescent="0.3">
      <c r="CD204" s="39" t="str">
        <f t="shared" si="22"/>
        <v>TR6x5x0.375</v>
      </c>
      <c r="CE204" s="151">
        <v>6.0000000000000009</v>
      </c>
      <c r="CF204" s="151">
        <v>5</v>
      </c>
      <c r="CG204" s="151">
        <v>0.37500000000000006</v>
      </c>
      <c r="CH204" s="39">
        <f t="shared" si="20"/>
        <v>0.75000000000000011</v>
      </c>
      <c r="CI204" s="39" t="s">
        <v>110</v>
      </c>
    </row>
    <row r="205" spans="82:87" x14ac:dyDescent="0.3">
      <c r="CD205" s="39" t="str">
        <f t="shared" si="22"/>
        <v>TR6x5x0.3125</v>
      </c>
      <c r="CE205" s="151">
        <v>6.0000000000000009</v>
      </c>
      <c r="CF205" s="151">
        <v>5</v>
      </c>
      <c r="CG205" s="151">
        <v>0.3125</v>
      </c>
      <c r="CH205" s="39">
        <f t="shared" si="20"/>
        <v>0.625</v>
      </c>
      <c r="CI205" s="39" t="s">
        <v>110</v>
      </c>
    </row>
    <row r="206" spans="82:87" x14ac:dyDescent="0.3">
      <c r="CD206" s="39" t="str">
        <f t="shared" si="22"/>
        <v>TR6x5x0.25</v>
      </c>
      <c r="CE206" s="151">
        <v>6.0000000000000009</v>
      </c>
      <c r="CF206" s="151">
        <v>5</v>
      </c>
      <c r="CG206" s="151">
        <v>0.25</v>
      </c>
      <c r="CH206" s="39">
        <f t="shared" si="20"/>
        <v>0.5</v>
      </c>
      <c r="CI206" s="39" t="s">
        <v>110</v>
      </c>
    </row>
    <row r="207" spans="82:87" x14ac:dyDescent="0.3">
      <c r="CD207" s="39" t="str">
        <f t="shared" si="22"/>
        <v>TR6x5x0.1875</v>
      </c>
      <c r="CE207" s="151">
        <v>6.0000000000000009</v>
      </c>
      <c r="CF207" s="151">
        <v>5</v>
      </c>
      <c r="CG207" s="151">
        <v>0.18750000000000003</v>
      </c>
      <c r="CH207" s="39">
        <f t="shared" si="20"/>
        <v>0.37500000000000006</v>
      </c>
      <c r="CI207" s="39" t="s">
        <v>110</v>
      </c>
    </row>
    <row r="208" spans="82:87" x14ac:dyDescent="0.3">
      <c r="CD208" s="39" t="str">
        <f t="shared" si="22"/>
        <v>TR6x4x0.5</v>
      </c>
      <c r="CE208" s="151">
        <v>6.0000000000000009</v>
      </c>
      <c r="CF208" s="151">
        <v>4</v>
      </c>
      <c r="CG208" s="151">
        <v>0.5</v>
      </c>
      <c r="CH208" s="39">
        <f t="shared" si="20"/>
        <v>1</v>
      </c>
      <c r="CI208" s="39" t="s">
        <v>110</v>
      </c>
    </row>
    <row r="209" spans="82:87" x14ac:dyDescent="0.3">
      <c r="CD209" s="39" t="str">
        <f t="shared" si="22"/>
        <v>TR6x4x0.375</v>
      </c>
      <c r="CE209" s="151">
        <v>6.0000000000000009</v>
      </c>
      <c r="CF209" s="151">
        <v>4</v>
      </c>
      <c r="CG209" s="151">
        <v>0.37500000000000006</v>
      </c>
      <c r="CH209" s="39">
        <f t="shared" si="20"/>
        <v>0.75000000000000011</v>
      </c>
      <c r="CI209" s="39" t="s">
        <v>110</v>
      </c>
    </row>
    <row r="210" spans="82:87" x14ac:dyDescent="0.3">
      <c r="CD210" s="39" t="str">
        <f t="shared" si="22"/>
        <v>TR6x4x0.3125</v>
      </c>
      <c r="CE210" s="151">
        <v>6.0000000000000009</v>
      </c>
      <c r="CF210" s="151">
        <v>4</v>
      </c>
      <c r="CG210" s="151">
        <v>0.3125</v>
      </c>
      <c r="CH210" s="39">
        <f t="shared" si="20"/>
        <v>0.625</v>
      </c>
      <c r="CI210" s="39" t="s">
        <v>110</v>
      </c>
    </row>
    <row r="211" spans="82:87" x14ac:dyDescent="0.3">
      <c r="CD211" s="39" t="str">
        <f t="shared" si="22"/>
        <v>TR6x4x0.25</v>
      </c>
      <c r="CE211" s="151">
        <v>6.0000000000000009</v>
      </c>
      <c r="CF211" s="151">
        <v>4</v>
      </c>
      <c r="CG211" s="151">
        <v>0.25</v>
      </c>
      <c r="CH211" s="39">
        <f t="shared" si="20"/>
        <v>0.5</v>
      </c>
      <c r="CI211" s="39" t="s">
        <v>110</v>
      </c>
    </row>
    <row r="212" spans="82:87" x14ac:dyDescent="0.3">
      <c r="CD212" s="39" t="str">
        <f t="shared" si="22"/>
        <v>TR6x4x0.1875</v>
      </c>
      <c r="CE212" s="151">
        <v>6.0000000000000009</v>
      </c>
      <c r="CF212" s="151">
        <v>4</v>
      </c>
      <c r="CG212" s="151">
        <v>0.18750000000000003</v>
      </c>
      <c r="CH212" s="39">
        <f t="shared" si="20"/>
        <v>0.37500000000000006</v>
      </c>
      <c r="CI212" s="39" t="s">
        <v>110</v>
      </c>
    </row>
    <row r="213" spans="82:87" x14ac:dyDescent="0.3">
      <c r="CD213" s="39" t="str">
        <f t="shared" si="22"/>
        <v>TR6x3x0.375</v>
      </c>
      <c r="CE213" s="151">
        <v>6.0000000000000009</v>
      </c>
      <c r="CF213" s="151">
        <v>3.0000000000000004</v>
      </c>
      <c r="CG213" s="151">
        <v>0.37500000000000006</v>
      </c>
      <c r="CH213" s="39">
        <f t="shared" si="20"/>
        <v>0.75000000000000011</v>
      </c>
      <c r="CI213" s="39" t="s">
        <v>110</v>
      </c>
    </row>
    <row r="214" spans="82:87" x14ac:dyDescent="0.3">
      <c r="CD214" s="39" t="str">
        <f t="shared" si="22"/>
        <v>TR6x3x0.3125</v>
      </c>
      <c r="CE214" s="151">
        <v>6.0000000000000009</v>
      </c>
      <c r="CF214" s="151">
        <v>3.0000000000000004</v>
      </c>
      <c r="CG214" s="151">
        <v>0.3125</v>
      </c>
      <c r="CH214" s="39">
        <f t="shared" si="20"/>
        <v>0.625</v>
      </c>
      <c r="CI214" s="39" t="s">
        <v>110</v>
      </c>
    </row>
    <row r="215" spans="82:87" x14ac:dyDescent="0.3">
      <c r="CD215" s="39" t="str">
        <f t="shared" si="22"/>
        <v>TR6x3x0.25</v>
      </c>
      <c r="CE215" s="151">
        <v>6.0000000000000009</v>
      </c>
      <c r="CF215" s="151">
        <v>3.0000000000000004</v>
      </c>
      <c r="CG215" s="151">
        <v>0.25</v>
      </c>
      <c r="CH215" s="39">
        <f t="shared" si="20"/>
        <v>0.5</v>
      </c>
      <c r="CI215" s="39" t="s">
        <v>110</v>
      </c>
    </row>
    <row r="216" spans="82:87" x14ac:dyDescent="0.3">
      <c r="CD216" s="39" t="str">
        <f t="shared" si="22"/>
        <v>TR6x3x0.1875</v>
      </c>
      <c r="CE216" s="151">
        <v>6.0000000000000009</v>
      </c>
      <c r="CF216" s="151">
        <v>3.0000000000000004</v>
      </c>
      <c r="CG216" s="151">
        <v>0.18750000000000003</v>
      </c>
      <c r="CH216" s="39">
        <f t="shared" si="20"/>
        <v>0.37500000000000006</v>
      </c>
      <c r="CI216" s="39" t="s">
        <v>110</v>
      </c>
    </row>
    <row r="217" spans="82:87" x14ac:dyDescent="0.3">
      <c r="CD217" s="39" t="str">
        <f t="shared" si="22"/>
        <v>TR6x2x0.375</v>
      </c>
      <c r="CE217" s="151">
        <v>6.0000000000000009</v>
      </c>
      <c r="CF217" s="151">
        <v>2</v>
      </c>
      <c r="CG217" s="151">
        <v>0.37500000000000006</v>
      </c>
      <c r="CH217" s="39">
        <f t="shared" si="20"/>
        <v>0.75000000000000011</v>
      </c>
      <c r="CI217" s="39" t="s">
        <v>110</v>
      </c>
    </row>
    <row r="218" spans="82:87" x14ac:dyDescent="0.3">
      <c r="CD218" s="39" t="str">
        <f t="shared" si="22"/>
        <v>TR6x2x0.3125</v>
      </c>
      <c r="CE218" s="151">
        <v>6.0000000000000009</v>
      </c>
      <c r="CF218" s="151">
        <v>2</v>
      </c>
      <c r="CG218" s="151">
        <v>0.3125</v>
      </c>
      <c r="CH218" s="39">
        <f t="shared" si="20"/>
        <v>0.625</v>
      </c>
      <c r="CI218" s="39" t="s">
        <v>110</v>
      </c>
    </row>
    <row r="219" spans="82:87" x14ac:dyDescent="0.3">
      <c r="CD219" s="39" t="str">
        <f t="shared" si="22"/>
        <v>TR6x2x0.25</v>
      </c>
      <c r="CE219" s="151">
        <v>6.0000000000000009</v>
      </c>
      <c r="CF219" s="151">
        <v>2</v>
      </c>
      <c r="CG219" s="151">
        <v>0.25</v>
      </c>
      <c r="CH219" s="39">
        <f t="shared" si="20"/>
        <v>0.5</v>
      </c>
      <c r="CI219" s="39" t="s">
        <v>110</v>
      </c>
    </row>
    <row r="220" spans="82:87" x14ac:dyDescent="0.3">
      <c r="CD220" s="39" t="str">
        <f t="shared" si="22"/>
        <v>TR6x2x0.1875</v>
      </c>
      <c r="CE220" s="151">
        <v>6.0000000000000009</v>
      </c>
      <c r="CF220" s="151">
        <v>2</v>
      </c>
      <c r="CG220" s="151">
        <v>0.18750000000000003</v>
      </c>
      <c r="CH220" s="39">
        <f t="shared" si="20"/>
        <v>0.37500000000000006</v>
      </c>
      <c r="CI220" s="39" t="s">
        <v>110</v>
      </c>
    </row>
    <row r="221" spans="82:87" x14ac:dyDescent="0.3">
      <c r="CD221" s="97" t="str">
        <f>CONCATENATE("TS",CE221,"x",CF221,"x",CG221)</f>
        <v>TS5x5x0.5</v>
      </c>
      <c r="CE221" s="152">
        <v>5</v>
      </c>
      <c r="CF221" s="152">
        <v>5</v>
      </c>
      <c r="CG221" s="152">
        <v>0.5</v>
      </c>
      <c r="CH221" s="97">
        <f t="shared" si="20"/>
        <v>1</v>
      </c>
      <c r="CI221" s="39" t="s">
        <v>110</v>
      </c>
    </row>
    <row r="222" spans="82:87" x14ac:dyDescent="0.3">
      <c r="CD222" s="97" t="str">
        <f>CONCATENATE("TS",CE222,"x",CF222,"x",CG222)</f>
        <v>TS5x5x0.375</v>
      </c>
      <c r="CE222" s="152">
        <v>5</v>
      </c>
      <c r="CF222" s="152">
        <v>5</v>
      </c>
      <c r="CG222" s="152">
        <v>0.37500000000000006</v>
      </c>
      <c r="CH222" s="97">
        <f t="shared" si="20"/>
        <v>0.75000000000000011</v>
      </c>
      <c r="CI222" s="39" t="s">
        <v>110</v>
      </c>
    </row>
    <row r="223" spans="82:87" x14ac:dyDescent="0.3">
      <c r="CD223" s="97" t="str">
        <f>CONCATENATE("TS",CE223,"x",CF223,"x",CG223)</f>
        <v>TS5x5x0.3125</v>
      </c>
      <c r="CE223" s="152">
        <v>5</v>
      </c>
      <c r="CF223" s="152">
        <v>5</v>
      </c>
      <c r="CG223" s="152">
        <v>0.3125</v>
      </c>
      <c r="CH223" s="97">
        <f t="shared" si="20"/>
        <v>0.625</v>
      </c>
      <c r="CI223" s="39" t="s">
        <v>110</v>
      </c>
    </row>
    <row r="224" spans="82:87" x14ac:dyDescent="0.3">
      <c r="CD224" s="97" t="str">
        <f>CONCATENATE("TS",CE224,"x",CF224,"x",CG224)</f>
        <v>TS5x5x0.25</v>
      </c>
      <c r="CE224" s="152">
        <v>5</v>
      </c>
      <c r="CF224" s="152">
        <v>5</v>
      </c>
      <c r="CG224" s="152">
        <v>0.25</v>
      </c>
      <c r="CH224" s="97">
        <f t="shared" si="20"/>
        <v>0.5</v>
      </c>
      <c r="CI224" s="39" t="s">
        <v>110</v>
      </c>
    </row>
    <row r="225" spans="82:87" x14ac:dyDescent="0.3">
      <c r="CD225" s="97" t="str">
        <f>CONCATENATE("TS",CE225,"x",CF225,"x",CG225)</f>
        <v>TS5x5x0.1875</v>
      </c>
      <c r="CE225" s="152">
        <v>5</v>
      </c>
      <c r="CF225" s="152">
        <v>5</v>
      </c>
      <c r="CG225" s="152">
        <v>0.18750000000000003</v>
      </c>
      <c r="CH225" s="97">
        <f t="shared" si="20"/>
        <v>0.37500000000000006</v>
      </c>
      <c r="CI225" s="39" t="s">
        <v>110</v>
      </c>
    </row>
    <row r="226" spans="82:87" x14ac:dyDescent="0.3">
      <c r="CD226" s="39" t="str">
        <f t="shared" ref="CD226:CD237" si="23">CONCATENATE("TR",CE226,"x",CF226,"x",CG226)</f>
        <v>TR5x4x0.375</v>
      </c>
      <c r="CE226" s="151">
        <v>5</v>
      </c>
      <c r="CF226" s="151">
        <v>4</v>
      </c>
      <c r="CG226" s="151">
        <v>0.37500000000000006</v>
      </c>
      <c r="CH226" s="39">
        <f t="shared" si="20"/>
        <v>0.75000000000000011</v>
      </c>
      <c r="CI226" s="39" t="s">
        <v>110</v>
      </c>
    </row>
    <row r="227" spans="82:87" x14ac:dyDescent="0.3">
      <c r="CD227" s="39" t="str">
        <f t="shared" si="23"/>
        <v>TR5x4x0.3125</v>
      </c>
      <c r="CE227" s="151">
        <v>5</v>
      </c>
      <c r="CF227" s="151">
        <v>4</v>
      </c>
      <c r="CG227" s="151">
        <v>0.3125</v>
      </c>
      <c r="CH227" s="39">
        <f t="shared" si="20"/>
        <v>0.625</v>
      </c>
      <c r="CI227" s="39" t="s">
        <v>110</v>
      </c>
    </row>
    <row r="228" spans="82:87" x14ac:dyDescent="0.3">
      <c r="CD228" s="39" t="str">
        <f t="shared" si="23"/>
        <v>TR5x4x0.25</v>
      </c>
      <c r="CE228" s="151">
        <v>5</v>
      </c>
      <c r="CF228" s="151">
        <v>4</v>
      </c>
      <c r="CG228" s="151">
        <v>0.25</v>
      </c>
      <c r="CH228" s="39">
        <f t="shared" si="20"/>
        <v>0.5</v>
      </c>
      <c r="CI228" s="39" t="s">
        <v>110</v>
      </c>
    </row>
    <row r="229" spans="82:87" x14ac:dyDescent="0.3">
      <c r="CD229" s="39" t="str">
        <f t="shared" si="23"/>
        <v>TR5x4x0.1875</v>
      </c>
      <c r="CE229" s="151">
        <v>5</v>
      </c>
      <c r="CF229" s="151">
        <v>4</v>
      </c>
      <c r="CG229" s="151">
        <v>0.18750000000000003</v>
      </c>
      <c r="CH229" s="39">
        <f t="shared" si="20"/>
        <v>0.37500000000000006</v>
      </c>
      <c r="CI229" s="39" t="s">
        <v>110</v>
      </c>
    </row>
    <row r="230" spans="82:87" x14ac:dyDescent="0.3">
      <c r="CD230" s="39" t="str">
        <f t="shared" si="23"/>
        <v>TR5x3x0.5</v>
      </c>
      <c r="CE230" s="151">
        <v>5</v>
      </c>
      <c r="CF230" s="151">
        <v>3.0000000000000004</v>
      </c>
      <c r="CG230" s="151">
        <v>0.5</v>
      </c>
      <c r="CH230" s="39">
        <f t="shared" si="20"/>
        <v>1</v>
      </c>
      <c r="CI230" s="39" t="s">
        <v>110</v>
      </c>
    </row>
    <row r="231" spans="82:87" x14ac:dyDescent="0.3">
      <c r="CD231" s="39" t="str">
        <f t="shared" si="23"/>
        <v>TR5x3x0.375</v>
      </c>
      <c r="CE231" s="151">
        <v>5</v>
      </c>
      <c r="CF231" s="151">
        <v>3.0000000000000004</v>
      </c>
      <c r="CG231" s="151">
        <v>0.37500000000000006</v>
      </c>
      <c r="CH231" s="39">
        <f t="shared" si="20"/>
        <v>0.75000000000000011</v>
      </c>
      <c r="CI231" s="39" t="s">
        <v>110</v>
      </c>
    </row>
    <row r="232" spans="82:87" x14ac:dyDescent="0.3">
      <c r="CD232" s="39" t="str">
        <f t="shared" si="23"/>
        <v>TR5x3x0.3125</v>
      </c>
      <c r="CE232" s="151">
        <v>5</v>
      </c>
      <c r="CF232" s="151">
        <v>3.0000000000000004</v>
      </c>
      <c r="CG232" s="151">
        <v>0.3125</v>
      </c>
      <c r="CH232" s="39">
        <f t="shared" si="20"/>
        <v>0.625</v>
      </c>
      <c r="CI232" s="39" t="s">
        <v>110</v>
      </c>
    </row>
    <row r="233" spans="82:87" x14ac:dyDescent="0.3">
      <c r="CD233" s="39" t="str">
        <f t="shared" si="23"/>
        <v>TR5x3x0.25</v>
      </c>
      <c r="CE233" s="151">
        <v>5</v>
      </c>
      <c r="CF233" s="151">
        <v>3.0000000000000004</v>
      </c>
      <c r="CG233" s="151">
        <v>0.25</v>
      </c>
      <c r="CH233" s="39">
        <f t="shared" si="20"/>
        <v>0.5</v>
      </c>
      <c r="CI233" s="39" t="s">
        <v>110</v>
      </c>
    </row>
    <row r="234" spans="82:87" x14ac:dyDescent="0.3">
      <c r="CD234" s="39" t="str">
        <f t="shared" si="23"/>
        <v>TR5x3x0.1875</v>
      </c>
      <c r="CE234" s="151">
        <v>5</v>
      </c>
      <c r="CF234" s="151">
        <v>3.0000000000000004</v>
      </c>
      <c r="CG234" s="151">
        <v>0.18750000000000003</v>
      </c>
      <c r="CH234" s="39">
        <f t="shared" si="20"/>
        <v>0.37500000000000006</v>
      </c>
      <c r="CI234" s="39" t="s">
        <v>110</v>
      </c>
    </row>
    <row r="235" spans="82:87" x14ac:dyDescent="0.3">
      <c r="CD235" s="39" t="str">
        <f t="shared" si="23"/>
        <v>TR5x2x0.3125</v>
      </c>
      <c r="CE235" s="151">
        <v>5</v>
      </c>
      <c r="CF235" s="151">
        <v>2</v>
      </c>
      <c r="CG235" s="151">
        <v>0.3125</v>
      </c>
      <c r="CH235" s="39">
        <f t="shared" si="20"/>
        <v>0.625</v>
      </c>
      <c r="CI235" s="39" t="s">
        <v>110</v>
      </c>
    </row>
    <row r="236" spans="82:87" x14ac:dyDescent="0.3">
      <c r="CD236" s="39" t="str">
        <f t="shared" si="23"/>
        <v>TR5x2x0.25</v>
      </c>
      <c r="CE236" s="151">
        <v>5</v>
      </c>
      <c r="CF236" s="151">
        <v>2</v>
      </c>
      <c r="CG236" s="151">
        <v>0.25</v>
      </c>
      <c r="CH236" s="39">
        <f t="shared" si="20"/>
        <v>0.5</v>
      </c>
      <c r="CI236" s="39" t="s">
        <v>110</v>
      </c>
    </row>
    <row r="237" spans="82:87" x14ac:dyDescent="0.3">
      <c r="CD237" s="39" t="str">
        <f t="shared" si="23"/>
        <v>TR5x2x0.1875</v>
      </c>
      <c r="CE237" s="151">
        <v>5</v>
      </c>
      <c r="CF237" s="151">
        <v>2</v>
      </c>
      <c r="CG237" s="151">
        <v>0.18750000000000003</v>
      </c>
      <c r="CH237" s="39">
        <f t="shared" si="20"/>
        <v>0.37500000000000006</v>
      </c>
      <c r="CI237" s="39" t="s">
        <v>110</v>
      </c>
    </row>
    <row r="238" spans="82:87" x14ac:dyDescent="0.3">
      <c r="CD238" s="97" t="str">
        <f t="shared" ref="CD238:CD244" si="24">CONCATENATE("TS",CE238,"x",CF238,"x",CG238)</f>
        <v>TS4.5x4.5x0.25</v>
      </c>
      <c r="CE238" s="152">
        <v>4.5</v>
      </c>
      <c r="CF238" s="152">
        <v>4.5</v>
      </c>
      <c r="CG238" s="152">
        <v>0.25</v>
      </c>
      <c r="CH238" s="97">
        <f t="shared" si="20"/>
        <v>0.5</v>
      </c>
      <c r="CI238" s="39" t="s">
        <v>110</v>
      </c>
    </row>
    <row r="239" spans="82:87" x14ac:dyDescent="0.3">
      <c r="CD239" s="97" t="str">
        <f t="shared" si="24"/>
        <v>TS4.5x4.5x0.1875</v>
      </c>
      <c r="CE239" s="152">
        <v>4.5</v>
      </c>
      <c r="CF239" s="152">
        <v>4.5</v>
      </c>
      <c r="CG239" s="152">
        <v>0.18750000000000003</v>
      </c>
      <c r="CH239" s="97">
        <f t="shared" si="20"/>
        <v>0.37500000000000006</v>
      </c>
      <c r="CI239" s="39" t="s">
        <v>110</v>
      </c>
    </row>
    <row r="240" spans="82:87" x14ac:dyDescent="0.3">
      <c r="CD240" s="97" t="str">
        <f t="shared" si="24"/>
        <v>TS4x4x0.5</v>
      </c>
      <c r="CE240" s="152">
        <v>4</v>
      </c>
      <c r="CF240" s="152">
        <v>4</v>
      </c>
      <c r="CG240" s="152">
        <v>0.5</v>
      </c>
      <c r="CH240" s="97">
        <f t="shared" si="20"/>
        <v>1</v>
      </c>
      <c r="CI240" s="39" t="s">
        <v>110</v>
      </c>
    </row>
    <row r="241" spans="82:87" x14ac:dyDescent="0.3">
      <c r="CD241" s="97" t="str">
        <f t="shared" si="24"/>
        <v>TS4x4x0.375</v>
      </c>
      <c r="CE241" s="152">
        <v>4</v>
      </c>
      <c r="CF241" s="152">
        <v>4</v>
      </c>
      <c r="CG241" s="152">
        <v>0.37500000000000006</v>
      </c>
      <c r="CH241" s="97">
        <f t="shared" si="20"/>
        <v>0.75000000000000011</v>
      </c>
      <c r="CI241" s="39" t="s">
        <v>110</v>
      </c>
    </row>
    <row r="242" spans="82:87" x14ac:dyDescent="0.3">
      <c r="CD242" s="97" t="str">
        <f t="shared" si="24"/>
        <v>TS4x4x0.3125</v>
      </c>
      <c r="CE242" s="152">
        <v>4</v>
      </c>
      <c r="CF242" s="152">
        <v>4</v>
      </c>
      <c r="CG242" s="152">
        <v>0.3125</v>
      </c>
      <c r="CH242" s="97">
        <f t="shared" si="20"/>
        <v>0.625</v>
      </c>
      <c r="CI242" s="39" t="s">
        <v>110</v>
      </c>
    </row>
    <row r="243" spans="82:87" x14ac:dyDescent="0.3">
      <c r="CD243" s="97" t="str">
        <f t="shared" si="24"/>
        <v>TS4x4x0.25</v>
      </c>
      <c r="CE243" s="152">
        <v>4</v>
      </c>
      <c r="CF243" s="152">
        <v>4</v>
      </c>
      <c r="CG243" s="152">
        <v>0.25</v>
      </c>
      <c r="CH243" s="97">
        <f t="shared" si="20"/>
        <v>0.5</v>
      </c>
      <c r="CI243" s="39" t="s">
        <v>110</v>
      </c>
    </row>
    <row r="244" spans="82:87" x14ac:dyDescent="0.3">
      <c r="CD244" s="97" t="str">
        <f t="shared" si="24"/>
        <v>TS4x4x0.1875</v>
      </c>
      <c r="CE244" s="152">
        <v>4</v>
      </c>
      <c r="CF244" s="152">
        <v>4</v>
      </c>
      <c r="CG244" s="152">
        <v>0.18750000000000003</v>
      </c>
      <c r="CH244" s="97">
        <f t="shared" si="20"/>
        <v>0.37500000000000006</v>
      </c>
      <c r="CI244" s="39" t="s">
        <v>110</v>
      </c>
    </row>
    <row r="245" spans="82:87" x14ac:dyDescent="0.3">
      <c r="CD245" s="39" t="str">
        <f t="shared" ref="CD245:CD250" si="25">CONCATENATE("TR",CE245,"x",CF245,"x",CG245)</f>
        <v>TR4x3x0.3125</v>
      </c>
      <c r="CE245" s="151">
        <v>4</v>
      </c>
      <c r="CF245" s="151">
        <v>3.0000000000000004</v>
      </c>
      <c r="CG245" s="151">
        <v>0.3125</v>
      </c>
      <c r="CH245" s="39">
        <f t="shared" si="20"/>
        <v>0.625</v>
      </c>
      <c r="CI245" s="39" t="s">
        <v>110</v>
      </c>
    </row>
    <row r="246" spans="82:87" x14ac:dyDescent="0.3">
      <c r="CD246" s="39" t="str">
        <f t="shared" si="25"/>
        <v>TR4x3x0.25</v>
      </c>
      <c r="CE246" s="151">
        <v>4</v>
      </c>
      <c r="CF246" s="151">
        <v>3.0000000000000004</v>
      </c>
      <c r="CG246" s="151">
        <v>0.25</v>
      </c>
      <c r="CH246" s="39">
        <f t="shared" si="20"/>
        <v>0.5</v>
      </c>
      <c r="CI246" s="39" t="s">
        <v>110</v>
      </c>
    </row>
    <row r="247" spans="82:87" x14ac:dyDescent="0.3">
      <c r="CD247" s="39" t="str">
        <f t="shared" si="25"/>
        <v>TR4x3x0.1875</v>
      </c>
      <c r="CE247" s="151">
        <v>4</v>
      </c>
      <c r="CF247" s="151">
        <v>3.0000000000000004</v>
      </c>
      <c r="CG247" s="151">
        <v>0.18750000000000003</v>
      </c>
      <c r="CH247" s="39">
        <f t="shared" si="20"/>
        <v>0.37500000000000006</v>
      </c>
      <c r="CI247" s="39" t="s">
        <v>110</v>
      </c>
    </row>
    <row r="248" spans="82:87" x14ac:dyDescent="0.3">
      <c r="CD248" s="39" t="str">
        <f t="shared" si="25"/>
        <v>TR4x2x0.3125</v>
      </c>
      <c r="CE248" s="151">
        <v>4</v>
      </c>
      <c r="CF248" s="151">
        <v>2</v>
      </c>
      <c r="CG248" s="151">
        <v>0.3125</v>
      </c>
      <c r="CH248" s="39">
        <f t="shared" si="20"/>
        <v>0.625</v>
      </c>
      <c r="CI248" s="39" t="s">
        <v>110</v>
      </c>
    </row>
    <row r="249" spans="82:87" x14ac:dyDescent="0.3">
      <c r="CD249" s="39" t="str">
        <f t="shared" si="25"/>
        <v>TR4x2x0.25</v>
      </c>
      <c r="CE249" s="151">
        <v>4</v>
      </c>
      <c r="CF249" s="151">
        <v>2</v>
      </c>
      <c r="CG249" s="151">
        <v>0.25</v>
      </c>
      <c r="CH249" s="39">
        <f t="shared" si="20"/>
        <v>0.5</v>
      </c>
      <c r="CI249" s="39" t="s">
        <v>110</v>
      </c>
    </row>
    <row r="250" spans="82:87" x14ac:dyDescent="0.3">
      <c r="CD250" s="39" t="str">
        <f t="shared" si="25"/>
        <v>TR4x2x0.1875</v>
      </c>
      <c r="CE250" s="151">
        <v>4</v>
      </c>
      <c r="CF250" s="151">
        <v>2</v>
      </c>
      <c r="CG250" s="151">
        <v>0.18750000000000003</v>
      </c>
      <c r="CH250" s="39">
        <f t="shared" si="20"/>
        <v>0.37500000000000006</v>
      </c>
      <c r="CI250" s="39" t="s">
        <v>110</v>
      </c>
    </row>
    <row r="251" spans="82:87" x14ac:dyDescent="0.3">
      <c r="CD251" s="97" t="str">
        <f>CONCATENATE("TS",CE251,"x",CF251,"x",CG251)</f>
        <v>TS3.5x3.5x0.3125</v>
      </c>
      <c r="CE251" s="152">
        <v>3.5</v>
      </c>
      <c r="CF251" s="152">
        <v>3.5</v>
      </c>
      <c r="CG251" s="152">
        <v>0.3125</v>
      </c>
      <c r="CH251" s="97">
        <f t="shared" si="20"/>
        <v>0.625</v>
      </c>
      <c r="CI251" s="39" t="s">
        <v>110</v>
      </c>
    </row>
    <row r="252" spans="82:87" x14ac:dyDescent="0.3">
      <c r="CD252" s="97" t="str">
        <f>CONCATENATE("TS",CE252,"x",CF252,"x",CG252)</f>
        <v>TS3.5x3.5x0.25</v>
      </c>
      <c r="CE252" s="152">
        <v>3.5</v>
      </c>
      <c r="CF252" s="152">
        <v>3.5</v>
      </c>
      <c r="CG252" s="152">
        <v>0.25</v>
      </c>
      <c r="CH252" s="97">
        <f t="shared" si="20"/>
        <v>0.5</v>
      </c>
      <c r="CI252" s="39" t="s">
        <v>110</v>
      </c>
    </row>
    <row r="253" spans="82:87" x14ac:dyDescent="0.3">
      <c r="CD253" s="97" t="str">
        <f>CONCATENATE("TS",CE253,"x",CF253,"x",CG253)</f>
        <v>TS3.5x3.5x0.1875</v>
      </c>
      <c r="CE253" s="152">
        <v>3.5</v>
      </c>
      <c r="CF253" s="152">
        <v>3.5</v>
      </c>
      <c r="CG253" s="152">
        <v>0.18750000000000003</v>
      </c>
      <c r="CH253" s="97">
        <f t="shared" si="20"/>
        <v>0.37500000000000006</v>
      </c>
      <c r="CI253" s="39" t="s">
        <v>110</v>
      </c>
    </row>
    <row r="254" spans="82:87" x14ac:dyDescent="0.3">
      <c r="CD254" s="39" t="str">
        <f>CONCATENATE("TR",CE254,"x",CF254,"x",CG254)</f>
        <v>TR3.5x2.5x0.25</v>
      </c>
      <c r="CE254" s="151">
        <v>3.5</v>
      </c>
      <c r="CF254" s="151">
        <v>2.5</v>
      </c>
      <c r="CG254" s="151">
        <v>0.25</v>
      </c>
      <c r="CH254" s="39">
        <f t="shared" si="20"/>
        <v>0.5</v>
      </c>
      <c r="CI254" s="39" t="s">
        <v>110</v>
      </c>
    </row>
    <row r="255" spans="82:87" x14ac:dyDescent="0.3">
      <c r="CD255" s="39" t="str">
        <f>CONCATENATE("TR",CE255,"x",CF255,"x",CG255)</f>
        <v>TR3.5x2.5x0.1875</v>
      </c>
      <c r="CE255" s="151">
        <v>3.5</v>
      </c>
      <c r="CF255" s="151">
        <v>2.5</v>
      </c>
      <c r="CG255" s="151">
        <v>0.18750000000000003</v>
      </c>
      <c r="CH255" s="39">
        <f t="shared" si="20"/>
        <v>0.37500000000000006</v>
      </c>
      <c r="CI255" s="39" t="s">
        <v>110</v>
      </c>
    </row>
    <row r="256" spans="82:87" x14ac:dyDescent="0.3">
      <c r="CD256" s="97" t="str">
        <f>CONCATENATE("TS",CE256,"x",CF256,"x",CG256)</f>
        <v>TS3x3x0.3125</v>
      </c>
      <c r="CE256" s="152">
        <v>3.0000000000000004</v>
      </c>
      <c r="CF256" s="152">
        <v>3.0000000000000004</v>
      </c>
      <c r="CG256" s="152">
        <v>0.3125</v>
      </c>
      <c r="CH256" s="97">
        <f t="shared" si="20"/>
        <v>0.625</v>
      </c>
      <c r="CI256" s="39" t="s">
        <v>110</v>
      </c>
    </row>
    <row r="257" spans="82:87" x14ac:dyDescent="0.3">
      <c r="CD257" s="97" t="str">
        <f>CONCATENATE("TS",CE257,"x",CF257,"x",CG257)</f>
        <v>TS3x3x0.25</v>
      </c>
      <c r="CE257" s="152">
        <v>3.0000000000000004</v>
      </c>
      <c r="CF257" s="152">
        <v>3.0000000000000004</v>
      </c>
      <c r="CG257" s="152">
        <v>0.25</v>
      </c>
      <c r="CH257" s="97">
        <f t="shared" si="20"/>
        <v>0.5</v>
      </c>
      <c r="CI257" s="39" t="s">
        <v>110</v>
      </c>
    </row>
    <row r="258" spans="82:87" x14ac:dyDescent="0.3">
      <c r="CD258" s="97" t="str">
        <f>CONCATENATE("TS",CE258,"x",CF258,"x",CG258)</f>
        <v>TS3x3x0.1875</v>
      </c>
      <c r="CE258" s="152">
        <v>3.0000000000000004</v>
      </c>
      <c r="CF258" s="152">
        <v>3.0000000000000004</v>
      </c>
      <c r="CG258" s="152">
        <v>0.18750000000000003</v>
      </c>
      <c r="CH258" s="97">
        <f t="shared" si="20"/>
        <v>0.37500000000000006</v>
      </c>
      <c r="CI258" s="39" t="s">
        <v>110</v>
      </c>
    </row>
    <row r="259" spans="82:87" x14ac:dyDescent="0.3">
      <c r="CD259" s="39" t="str">
        <f>CONCATENATE("TR",CE259,"x",CF259,"x",CG259)</f>
        <v>TR3x2x0.25</v>
      </c>
      <c r="CE259" s="151">
        <v>3.0000000000000004</v>
      </c>
      <c r="CF259" s="151">
        <v>2</v>
      </c>
      <c r="CG259" s="151">
        <v>0.25</v>
      </c>
      <c r="CH259" s="39">
        <f t="shared" si="20"/>
        <v>0.5</v>
      </c>
      <c r="CI259" s="39" t="s">
        <v>110</v>
      </c>
    </row>
    <row r="260" spans="82:87" x14ac:dyDescent="0.3">
      <c r="CD260" s="39" t="str">
        <f>CONCATENATE("TR",CE260,"x",CF260,"x",CG260)</f>
        <v>TR3x2x0.1875</v>
      </c>
      <c r="CE260" s="151">
        <v>3.0000000000000004</v>
      </c>
      <c r="CF260" s="151">
        <v>2</v>
      </c>
      <c r="CG260" s="151">
        <v>0.18750000000000003</v>
      </c>
      <c r="CH260" s="39">
        <f t="shared" ref="CH260:CH266" si="26">CG260*2</f>
        <v>0.37500000000000006</v>
      </c>
      <c r="CI260" s="39" t="s">
        <v>110</v>
      </c>
    </row>
    <row r="261" spans="82:87" x14ac:dyDescent="0.3">
      <c r="CD261" s="97" t="str">
        <f t="shared" ref="CD261:CD266" si="27">CONCATENATE("TS",CE261,"x",CF261,"x",CG261)</f>
        <v>TS2.5x2.5x0.3125</v>
      </c>
      <c r="CE261" s="152">
        <v>2.5</v>
      </c>
      <c r="CF261" s="152">
        <v>2.5</v>
      </c>
      <c r="CG261" s="152">
        <v>0.3125</v>
      </c>
      <c r="CH261" s="97">
        <f t="shared" si="26"/>
        <v>0.625</v>
      </c>
      <c r="CI261" s="39" t="s">
        <v>110</v>
      </c>
    </row>
    <row r="262" spans="82:87" x14ac:dyDescent="0.3">
      <c r="CD262" s="97" t="str">
        <f t="shared" si="27"/>
        <v>TS2.5x2.5x0.25</v>
      </c>
      <c r="CE262" s="152">
        <v>2.5</v>
      </c>
      <c r="CF262" s="152">
        <v>2.5</v>
      </c>
      <c r="CG262" s="152">
        <v>0.25</v>
      </c>
      <c r="CH262" s="97">
        <f t="shared" si="26"/>
        <v>0.5</v>
      </c>
      <c r="CI262" s="39" t="s">
        <v>110</v>
      </c>
    </row>
    <row r="263" spans="82:87" x14ac:dyDescent="0.3">
      <c r="CD263" s="97" t="str">
        <f t="shared" si="27"/>
        <v>TS2.5x2.5x0.1875</v>
      </c>
      <c r="CE263" s="152">
        <v>2.5</v>
      </c>
      <c r="CF263" s="152">
        <v>2.5</v>
      </c>
      <c r="CG263" s="152">
        <v>0.18750000000000003</v>
      </c>
      <c r="CH263" s="97">
        <f t="shared" si="26"/>
        <v>0.37500000000000006</v>
      </c>
      <c r="CI263" s="39" t="s">
        <v>110</v>
      </c>
    </row>
    <row r="264" spans="82:87" x14ac:dyDescent="0.3">
      <c r="CD264" s="97" t="str">
        <f t="shared" si="27"/>
        <v>TS2x2x0.3125</v>
      </c>
      <c r="CE264" s="152">
        <v>2</v>
      </c>
      <c r="CF264" s="152">
        <v>2</v>
      </c>
      <c r="CG264" s="152">
        <v>0.3125</v>
      </c>
      <c r="CH264" s="97">
        <f t="shared" si="26"/>
        <v>0.625</v>
      </c>
      <c r="CI264" s="39" t="s">
        <v>110</v>
      </c>
    </row>
    <row r="265" spans="82:87" x14ac:dyDescent="0.3">
      <c r="CD265" s="97" t="str">
        <f t="shared" si="27"/>
        <v>TS2x2x0.25</v>
      </c>
      <c r="CE265" s="152">
        <v>2</v>
      </c>
      <c r="CF265" s="152">
        <v>2</v>
      </c>
      <c r="CG265" s="152">
        <v>0.25</v>
      </c>
      <c r="CH265" s="97">
        <f t="shared" si="26"/>
        <v>0.5</v>
      </c>
      <c r="CI265" s="39" t="s">
        <v>110</v>
      </c>
    </row>
    <row r="266" spans="82:87" x14ac:dyDescent="0.3">
      <c r="CD266" s="97" t="str">
        <f t="shared" si="27"/>
        <v>TS2x2x0.1875</v>
      </c>
      <c r="CE266" s="152">
        <v>2</v>
      </c>
      <c r="CF266" s="152">
        <v>2</v>
      </c>
      <c r="CG266" s="152">
        <v>0.18750000000000003</v>
      </c>
      <c r="CH266" s="97">
        <f t="shared" si="26"/>
        <v>0.37500000000000006</v>
      </c>
      <c r="CI266" s="39" t="s">
        <v>110</v>
      </c>
    </row>
    <row r="267" spans="82:87" x14ac:dyDescent="0.3">
      <c r="CD267" s="105" t="s">
        <v>104</v>
      </c>
      <c r="CE267" s="105" t="s">
        <v>104</v>
      </c>
      <c r="CF267" s="105" t="s">
        <v>104</v>
      </c>
      <c r="CG267" s="105" t="s">
        <v>104</v>
      </c>
      <c r="CH267" s="105" t="s">
        <v>104</v>
      </c>
      <c r="CI267" s="105"/>
    </row>
  </sheetData>
  <sortState xmlns:xlrd2="http://schemas.microsoft.com/office/spreadsheetml/2017/richdata2" ref="CD4:CI266">
    <sortCondition descending="1" ref="CE4:CE266"/>
    <sortCondition descending="1" ref="CF4:CF266"/>
    <sortCondition descending="1" ref="CG4:CG266"/>
  </sortState>
  <mergeCells count="8">
    <mergeCell ref="Y1:AA1"/>
    <mergeCell ref="N16:N20"/>
    <mergeCell ref="U2:U3"/>
    <mergeCell ref="V2:V3"/>
    <mergeCell ref="T2:T3"/>
    <mergeCell ref="O2:O3"/>
    <mergeCell ref="P2:P3"/>
    <mergeCell ref="Q2:Q3"/>
  </mergeCells>
  <phoneticPr fontId="25" type="noConversion"/>
  <dataValidations disablePrompts="1" count="1">
    <dataValidation allowBlank="1" sqref="CD1:CM1048576" xr:uid="{88ACAB9C-D5E6-4AAB-BC15-F52839B89339}"/>
  </dataValidations>
  <pageMargins left="0.7" right="0.7" top="0.75" bottom="0.75" header="0.3" footer="0.3"/>
  <pageSetup orientation="portrait" r:id="rId1"/>
  <cellWatches>
    <cellWatch r="AU3"/>
    <cellWatch r="AV3"/>
    <cellWatch r="AW3"/>
    <cellWatch r="AX3"/>
    <cellWatch r="AY3"/>
    <cellWatch r="AZ3"/>
    <cellWatch r="BA3"/>
    <cellWatch r="BB3"/>
    <cellWatch r="BC3"/>
    <cellWatch r="BD3"/>
    <cellWatch r="BE3"/>
    <cellWatch r="BF3"/>
    <cellWatch r="BG3"/>
    <cellWatch r="BH3"/>
  </cellWatche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87</vt:i4>
      </vt:variant>
    </vt:vector>
  </HeadingPairs>
  <TitlesOfParts>
    <vt:vector size="89" baseType="lpstr">
      <vt:lpstr>Sheet1</vt:lpstr>
      <vt:lpstr>Data</vt:lpstr>
      <vt:lpstr>Additional_Tubes_SS</vt:lpstr>
      <vt:lpstr>Bevel_Angle</vt:lpstr>
      <vt:lpstr>Bevel_Type</vt:lpstr>
      <vt:lpstr>Bottom_Row_Type</vt:lpstr>
      <vt:lpstr>BWG_Table</vt:lpstr>
      <vt:lpstr>End_Drill</vt:lpstr>
      <vt:lpstr>End_Plate_Thk</vt:lpstr>
      <vt:lpstr>End_Plate_Thk_Rear</vt:lpstr>
      <vt:lpstr>ErrorMSG1</vt:lpstr>
      <vt:lpstr>Extra_length_4_Beasley_MFG?</vt:lpstr>
      <vt:lpstr>Family</vt:lpstr>
      <vt:lpstr>Fan_Shaft_Angle</vt:lpstr>
      <vt:lpstr>Fan_Shaft_Angle_ShortLeg</vt:lpstr>
      <vt:lpstr>Fin_Dia</vt:lpstr>
      <vt:lpstr>Half_Tube_Face</vt:lpstr>
      <vt:lpstr>Half_Tube_Face_SS</vt:lpstr>
      <vt:lpstr>Header_Length</vt:lpstr>
      <vt:lpstr>Header_Type</vt:lpstr>
      <vt:lpstr>Header_Type_List</vt:lpstr>
      <vt:lpstr>Header_Type_Number</vt:lpstr>
      <vt:lpstr>Header_Type_Table</vt:lpstr>
      <vt:lpstr>Height_of_all_Rows</vt:lpstr>
      <vt:lpstr>Hole_Table</vt:lpstr>
      <vt:lpstr>HWSizes_List</vt:lpstr>
      <vt:lpstr>JBevel_Land</vt:lpstr>
      <vt:lpstr>Length_of_Long_Row</vt:lpstr>
      <vt:lpstr>Length_of_Long_Row_SS</vt:lpstr>
      <vt:lpstr>Length_of_Short_Row</vt:lpstr>
      <vt:lpstr>Length_of_Short_Row_SS</vt:lpstr>
      <vt:lpstr>Lethal?</vt:lpstr>
      <vt:lpstr>Material_List</vt:lpstr>
      <vt:lpstr>Material_Table</vt:lpstr>
      <vt:lpstr>Material_Type</vt:lpstr>
      <vt:lpstr>MFG_Method</vt:lpstr>
      <vt:lpstr>MFG_Method_List</vt:lpstr>
      <vt:lpstr>MFG_Method_Table</vt:lpstr>
      <vt:lpstr>Pitch</vt:lpstr>
      <vt:lpstr>PreDrill_Hole_Dia</vt:lpstr>
      <vt:lpstr>ProductLine</vt:lpstr>
      <vt:lpstr>QTY_in_Long_Row</vt:lpstr>
      <vt:lpstr>QTY_in_Long_Row_Pattern</vt:lpstr>
      <vt:lpstr>QTY_in_Long_Row_SS</vt:lpstr>
      <vt:lpstr>QTY_in_Long_Row_SS_Pattern</vt:lpstr>
      <vt:lpstr>QTY_in_Short_Row_Pattern</vt:lpstr>
      <vt:lpstr>QTY_in_Short_Row_SS_Pattern</vt:lpstr>
      <vt:lpstr>QTY_of_Long_Rows_Actual</vt:lpstr>
      <vt:lpstr>QTY_of_Short_Rows_Actual</vt:lpstr>
      <vt:lpstr>Raw_Fin_Table</vt:lpstr>
      <vt:lpstr>Side_Frame_Sizes_List</vt:lpstr>
      <vt:lpstr>Side_Frame_Table</vt:lpstr>
      <vt:lpstr>Slide_Pad_Configs</vt:lpstr>
      <vt:lpstr>SS_1</vt:lpstr>
      <vt:lpstr>SSS_After_Tube</vt:lpstr>
      <vt:lpstr>SSS_After_Tube_Adjustment</vt:lpstr>
      <vt:lpstr>SSS_After_Tube_Adjustment_SS</vt:lpstr>
      <vt:lpstr>SSS_After_Tube_SS</vt:lpstr>
      <vt:lpstr>Structural_Tube_Size_List</vt:lpstr>
      <vt:lpstr>Structural_Tube_Size_Table</vt:lpstr>
      <vt:lpstr>T_and_P_Span_Front</vt:lpstr>
      <vt:lpstr>T_and_P_Span_Rear</vt:lpstr>
      <vt:lpstr>T_and_P_Thk</vt:lpstr>
      <vt:lpstr>T_and_P_Thk_Rear</vt:lpstr>
      <vt:lpstr>Top_Drill</vt:lpstr>
      <vt:lpstr>Total_No_of_Rows</vt:lpstr>
      <vt:lpstr>TP_Chamfer_Angle</vt:lpstr>
      <vt:lpstr>TP_Chamfer_Angle_SS</vt:lpstr>
      <vt:lpstr>TP_Land</vt:lpstr>
      <vt:lpstr>TP_Land_Rear</vt:lpstr>
      <vt:lpstr>TPW_Cham_Ang_at_EndPlate</vt:lpstr>
      <vt:lpstr>Tube_Connection_Type</vt:lpstr>
      <vt:lpstr>Tube_Connection_Type_List</vt:lpstr>
      <vt:lpstr>Tube_Connection_Type_Table</vt:lpstr>
      <vt:lpstr>Tube_Dia</vt:lpstr>
      <vt:lpstr>Tube_Hole_Chamfer_OD</vt:lpstr>
      <vt:lpstr>Tube_Material_List</vt:lpstr>
      <vt:lpstr>Tube_Size</vt:lpstr>
      <vt:lpstr>Tube_Size_List</vt:lpstr>
      <vt:lpstr>Tube_Types_List</vt:lpstr>
      <vt:lpstr>Tube_Wall_Thk</vt:lpstr>
      <vt:lpstr>Tube_Wall_Thk_List</vt:lpstr>
      <vt:lpstr>Tubes_Reamed?</vt:lpstr>
      <vt:lpstr>Vertical_Pitch</vt:lpstr>
      <vt:lpstr>Welding_Method</vt:lpstr>
      <vt:lpstr>Welding_Method_List</vt:lpstr>
      <vt:lpstr>Wrapper_Span</vt:lpstr>
      <vt:lpstr>Wrapper_Span_Rear</vt:lpstr>
      <vt:lpstr>Wrapper_Thk</vt:lpstr>
    </vt:vector>
  </TitlesOfParts>
  <Company>Harsco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Stietz</dc:creator>
  <cp:lastModifiedBy>Tietz, Steven</cp:lastModifiedBy>
  <dcterms:created xsi:type="dcterms:W3CDTF">2014-06-30T01:57:30Z</dcterms:created>
  <dcterms:modified xsi:type="dcterms:W3CDTF">2025-10-03T02:20:51Z</dcterms:modified>
</cp:coreProperties>
</file>