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xr:revisionPtr revIDLastSave="0" documentId="8_{B4F2422E-C584-48D9-92F5-D58ADCB167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Data" sheetId="2" state="hidden" r:id="rId2"/>
  </sheets>
  <definedNames>
    <definedName name="AddedLength">Sheet1!$W$6</definedName>
    <definedName name="Additional_Tubes_SS">Sheet1!$O$6</definedName>
    <definedName name="ASME_Code_Stamp?">Sheet1!$F$6</definedName>
    <definedName name="Bevel_Angle">Sheet1!$FE$6</definedName>
    <definedName name="Bevel_Type">Sheet1!$E$6</definedName>
    <definedName name="Bottom_Row_Type">Sheet1!$CP$6</definedName>
    <definedName name="COMB_Additional_Tubes_SS">Sheet1!$AE$6</definedName>
    <definedName name="COMB_Bottom_Row_Type">Sheet1!$DY$6</definedName>
    <definedName name="COMB_End_Drill">Sheet1!$AJ$6</definedName>
    <definedName name="COMB_Fan_Shaft_Angle">Sheet1!$GF$6</definedName>
    <definedName name="COMB_Fan_Shaft_Angle_ShortLeg">Sheet1!$GH$6</definedName>
    <definedName name="COMB_Fin_Dia">Sheet1!$DF$6</definedName>
    <definedName name="COMB_Half_Tube_Face">Sheet1!$AB$6</definedName>
    <definedName name="COMB_Half_Tube_Face_SS">Sheet1!$AG$6</definedName>
    <definedName name="COMB_Height_of_all_Rows">Sheet1!$EB$6</definedName>
    <definedName name="COMB_Length_of_Long_Row">Sheet1!$EC$6</definedName>
    <definedName name="COMB_Length_of_Long_Row_SS">Sheet1!$DW$6</definedName>
    <definedName name="COMB_Length_of_Short_Row">Sheet1!$ED$6</definedName>
    <definedName name="COMB_Length_of_Short_Row_SS">Sheet1!$DX$6</definedName>
    <definedName name="COMB_Pitch">Sheet1!$AL$6</definedName>
    <definedName name="COMB_Pitch_Actual">Sheet1!$DG$6</definedName>
    <definedName name="COMB_Pitch_Standard">Sheet1!$AL$12</definedName>
    <definedName name="COMB_PreDrill_Hole_Dia">Sheet1!$DB$6</definedName>
    <definedName name="COMB_QTY_in_Long_Row">Sheet1!$Z$6</definedName>
    <definedName name="COMB_QTY_in_Long_Row_Pattern">Sheet1!$DK$6</definedName>
    <definedName name="COMB_QTY_in_Long_Row_SS">Sheet1!$AD$6</definedName>
    <definedName name="COMB_QTY_in_Long_Row_SS_Pattern">Sheet1!$DS$6</definedName>
    <definedName name="COMB_QTY_in_Short_Row_Pattern">Sheet1!$DL$6</definedName>
    <definedName name="COMB_QTY_in_Short_Row_SS_Pattern">Sheet1!$DT$6</definedName>
    <definedName name="COMB_QTY_of_Long_Rows_Actual">Sheet1!$DM$6</definedName>
    <definedName name="COMB_QTY_of_Short_Rows_Actual">Sheet1!$DN$6</definedName>
    <definedName name="COMB_SSS_After_Tube">Sheet1!$AI$6</definedName>
    <definedName name="COMB_SSS_After_Tube_Adjustment">Sheet1!$AI$10</definedName>
    <definedName name="COMB_SSS_After_Tube_Adjustment_SS">Sheet1!$AH$10</definedName>
    <definedName name="COMB_SSS_After_Tube_SS">Sheet1!$AH$6</definedName>
    <definedName name="COMB_Top_Drill">Sheet1!$AK$6</definedName>
    <definedName name="COMB_Total_No_of_Rows">Sheet1!$AA$6</definedName>
    <definedName name="COMB_Tube_Dia">Sheet1!$DE$6</definedName>
    <definedName name="COMB_Tube_Hole_Chamfer_OD">Sheet1!$X$6</definedName>
    <definedName name="COMB_Tube_Size">Sheet1!$Y$6</definedName>
    <definedName name="COMB_Vertical_Pitch">Sheet1!$DH$6</definedName>
    <definedName name="Divider_Plate_Location">Sheet1!$AS$6</definedName>
    <definedName name="Divider_Plate_Location_Right">Sheet1!$AT$6</definedName>
    <definedName name="Divider_Plate_Thk">Sheet1!$AR$6</definedName>
    <definedName name="End_Drill">Sheet1!$T$6</definedName>
    <definedName name="End_Plate_Thk">Sheet1!$AQ$6</definedName>
    <definedName name="ErrorMSG1">Sheet1!$E$10</definedName>
    <definedName name="Extra_length_4_Beasley_MFG?">Sheet1!$FL$7</definedName>
    <definedName name="Family">Sheet1!$A$5</definedName>
    <definedName name="Fan_Shaft_Angle">Sheet1!$GE$6</definedName>
    <definedName name="Fan_Shaft_Angle_ShortLeg">Sheet1!$GG$6</definedName>
    <definedName name="Fin_Dia">Sheet1!$BW$6</definedName>
    <definedName name="Half_Tube_Face">Sheet1!$L$6</definedName>
    <definedName name="Half_Tube_Face_SS">Sheet1!$Q$6</definedName>
    <definedName name="Header_Length">Sheet1!$AU$6</definedName>
    <definedName name="Header_Type">Sheet1!$D$6</definedName>
    <definedName name="Header_Type_List">Data!$N$4:$N$8</definedName>
    <definedName name="Header_Type_Number">Sheet1!$BB$6</definedName>
    <definedName name="Header_Type_Table">Data!$N$4:$R$8</definedName>
    <definedName name="Height_of_all_Rows">Sheet1!$CS$6</definedName>
    <definedName name="Hole_Table">Data!$AN$4:$BC$10</definedName>
    <definedName name="HWSizes_List">Data!$B$4:$B$9</definedName>
    <definedName name="JBevel_Land">Sheet1!$FG$6</definedName>
    <definedName name="Length_of_Long_Row">Sheet1!$CN$6</definedName>
    <definedName name="Length_of_Long_Row_SS">Sheet1!$CT$6</definedName>
    <definedName name="Length_of_Short_Row">Sheet1!$CO$6</definedName>
    <definedName name="Length_of_Short_Row_SS">Sheet1!$CU$6</definedName>
    <definedName name="Material_List">Data!$D$4:$D$14</definedName>
    <definedName name="Material_Table">Data!$D$4:$F$14</definedName>
    <definedName name="Material_Type">Sheet1!$C$6</definedName>
    <definedName name="Max_Squeeze">Sheet1!$P$11</definedName>
    <definedName name="Pitch">Sheet1!$V$6</definedName>
    <definedName name="Pitch_Actual">Sheet1!$BX$6</definedName>
    <definedName name="Pitch_Standard">Sheet1!$V$12</definedName>
    <definedName name="Possible_Tab_QTY">Sheet1!#REF!</definedName>
    <definedName name="Possible_Tab_Spacing">Sheet1!#REF!</definedName>
    <definedName name="PreDrill_Hole_Dia">Sheet1!$BS$6</definedName>
    <definedName name="QTY_in_Long_Row">Sheet1!$J$6</definedName>
    <definedName name="QTY_in_Long_Row_Pattern">Sheet1!$CB$6</definedName>
    <definedName name="QTY_in_Long_Row_SS">Sheet1!$N$6</definedName>
    <definedName name="QTY_in_Long_Row_SS_Pattern">Sheet1!$CJ$6</definedName>
    <definedName name="QTY_in_Short_Row_Pattern">Sheet1!$CC$6</definedName>
    <definedName name="QTY_in_Short_Row_SS_Pattern">Sheet1!$CK$6</definedName>
    <definedName name="QTY_of_Long_Rows_Actual">Sheet1!$CD$6</definedName>
    <definedName name="QTY_of_Short_Rows_Actual">Sheet1!$CE$6</definedName>
    <definedName name="Shaft_Split?">Sheet1!#REF!</definedName>
    <definedName name="Side_Frame_Sizes_List">Data!$T$4:$T$10</definedName>
    <definedName name="Side_Frame_Table">Data!$T$4:$Y$10</definedName>
    <definedName name="SS_1">Sheet1!$M$6</definedName>
    <definedName name="SS_2">Sheet1!$AC$6</definedName>
    <definedName name="SSS_After_Tube">Sheet1!$R$6</definedName>
    <definedName name="SSS_After_Tube_Adjustment">Sheet1!$R$10</definedName>
    <definedName name="SSS_After_Tube_Adjustment_SS">Sheet1!$S$10</definedName>
    <definedName name="SSS_After_Tube_SS">Sheet1!$S$6</definedName>
    <definedName name="Structural_Tube_Size_List">Data!$BE$4:$BE$267</definedName>
    <definedName name="Structural_Tube_Size_Table">Data!$BE$4:$BJ$267</definedName>
    <definedName name="T_and_P_Span">Sheet1!$AO$6</definedName>
    <definedName name="T_and_P_Span_Front">Sheet1!$X$6</definedName>
    <definedName name="T_and_P_Thk">Sheet1!$AN$6</definedName>
    <definedName name="T_and_P_Thk_Rear">Sheet1!$AN$8</definedName>
    <definedName name="Tab_Pattern_Length">Sheet1!#REF!</definedName>
    <definedName name="Tab_QTY">Sheet1!#REF!</definedName>
    <definedName name="Top_Drill">Sheet1!$U$6</definedName>
    <definedName name="Total_No_of_Rows">Sheet1!$K$6</definedName>
    <definedName name="TP_Chamfer_Angle">Data!$AA$4:$AC$25</definedName>
    <definedName name="TP_Chamfer_Angle_SS">Data!$AJ$2:$AL$25</definedName>
    <definedName name="TP_Land">Sheet1!$AN$10</definedName>
    <definedName name="TP_Land_Rear">Sheet1!$AN$11</definedName>
    <definedName name="TPW_Cham_Ang_at_EndPlate">Data!$I$4:$K$10</definedName>
    <definedName name="Tube_Connection_Type">Sheet1!$G$6</definedName>
    <definedName name="Tube_Dia">Sheet1!$BV$6</definedName>
    <definedName name="Tube_Hole_Chamfer_OD">Sheet1!$H$6</definedName>
    <definedName name="Tube_Size">Sheet1!$I$6</definedName>
    <definedName name="Tube_Size_List">Data!$AN$4:$AN$10</definedName>
    <definedName name="Vertical_Pitch">Sheet1!$BY$6</definedName>
    <definedName name="Weld_Gap">Sheet1!$EY$6</definedName>
    <definedName name="Wrapper_Span">Sheet1!$AP$6</definedName>
    <definedName name="Wrapper_Span_Rear">Sheet1!$AP$8</definedName>
    <definedName name="Wrapper_Thk">Sheet1!$AM$6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267" i="2" l="1"/>
  <c r="BE267" i="2"/>
  <c r="BI266" i="2"/>
  <c r="BE266" i="2"/>
  <c r="BI265" i="2"/>
  <c r="BE265" i="2"/>
  <c r="BI264" i="2"/>
  <c r="BE264" i="2"/>
  <c r="BI263" i="2"/>
  <c r="BE263" i="2"/>
  <c r="BI262" i="2"/>
  <c r="BE262" i="2"/>
  <c r="BI261" i="2"/>
  <c r="BE261" i="2"/>
  <c r="BI260" i="2"/>
  <c r="BE260" i="2"/>
  <c r="BI259" i="2"/>
  <c r="BE259" i="2"/>
  <c r="BI258" i="2"/>
  <c r="BE258" i="2"/>
  <c r="BI257" i="2"/>
  <c r="BE257" i="2"/>
  <c r="BI256" i="2"/>
  <c r="BE256" i="2"/>
  <c r="BI255" i="2"/>
  <c r="BE255" i="2"/>
  <c r="BI254" i="2"/>
  <c r="BE254" i="2"/>
  <c r="BI253" i="2"/>
  <c r="BE253" i="2"/>
  <c r="BI252" i="2"/>
  <c r="BE252" i="2"/>
  <c r="BI251" i="2"/>
  <c r="BE251" i="2"/>
  <c r="BI250" i="2"/>
  <c r="BE250" i="2"/>
  <c r="BI249" i="2"/>
  <c r="BE249" i="2"/>
  <c r="BI248" i="2"/>
  <c r="BE248" i="2"/>
  <c r="BI247" i="2"/>
  <c r="BE247" i="2"/>
  <c r="BI246" i="2"/>
  <c r="BE246" i="2"/>
  <c r="BI245" i="2"/>
  <c r="BE245" i="2"/>
  <c r="BI244" i="2"/>
  <c r="BE244" i="2"/>
  <c r="BI243" i="2"/>
  <c r="BE243" i="2"/>
  <c r="BI242" i="2"/>
  <c r="BE242" i="2"/>
  <c r="BI241" i="2"/>
  <c r="BE241" i="2"/>
  <c r="BI240" i="2"/>
  <c r="BE240" i="2"/>
  <c r="BI239" i="2"/>
  <c r="BE239" i="2"/>
  <c r="BI238" i="2"/>
  <c r="BE238" i="2"/>
  <c r="BI237" i="2"/>
  <c r="BE237" i="2"/>
  <c r="BI236" i="2"/>
  <c r="BE236" i="2"/>
  <c r="BI235" i="2"/>
  <c r="BE235" i="2"/>
  <c r="BI234" i="2"/>
  <c r="BE234" i="2"/>
  <c r="BI233" i="2"/>
  <c r="BE233" i="2"/>
  <c r="BI232" i="2"/>
  <c r="BE232" i="2"/>
  <c r="BI231" i="2"/>
  <c r="BE231" i="2"/>
  <c r="BI230" i="2"/>
  <c r="BE230" i="2"/>
  <c r="BI229" i="2"/>
  <c r="BE229" i="2"/>
  <c r="BI228" i="2"/>
  <c r="BE228" i="2"/>
  <c r="BI227" i="2"/>
  <c r="BE227" i="2"/>
  <c r="BI226" i="2"/>
  <c r="BE226" i="2"/>
  <c r="BI225" i="2"/>
  <c r="BE225" i="2"/>
  <c r="BI224" i="2"/>
  <c r="BE224" i="2"/>
  <c r="BI223" i="2"/>
  <c r="BE223" i="2"/>
  <c r="BI222" i="2"/>
  <c r="BE222" i="2"/>
  <c r="BI221" i="2"/>
  <c r="BE221" i="2"/>
  <c r="BI220" i="2"/>
  <c r="BE220" i="2"/>
  <c r="BI219" i="2"/>
  <c r="BE219" i="2"/>
  <c r="BI218" i="2"/>
  <c r="BE218" i="2"/>
  <c r="BI217" i="2"/>
  <c r="BE217" i="2"/>
  <c r="BI216" i="2"/>
  <c r="BE216" i="2"/>
  <c r="BI215" i="2"/>
  <c r="BE215" i="2"/>
  <c r="BI214" i="2"/>
  <c r="BE214" i="2"/>
  <c r="BI213" i="2"/>
  <c r="BE213" i="2"/>
  <c r="BI212" i="2"/>
  <c r="BE212" i="2"/>
  <c r="BI211" i="2"/>
  <c r="BE211" i="2"/>
  <c r="BI210" i="2"/>
  <c r="BE210" i="2"/>
  <c r="BI209" i="2"/>
  <c r="BE209" i="2"/>
  <c r="BI208" i="2"/>
  <c r="BE208" i="2"/>
  <c r="BI207" i="2"/>
  <c r="BE207" i="2"/>
  <c r="BI206" i="2"/>
  <c r="BE206" i="2"/>
  <c r="BI205" i="2"/>
  <c r="BE205" i="2"/>
  <c r="BI204" i="2"/>
  <c r="BE204" i="2"/>
  <c r="BI203" i="2"/>
  <c r="BE203" i="2"/>
  <c r="BI202" i="2"/>
  <c r="BE202" i="2"/>
  <c r="BI201" i="2"/>
  <c r="BE201" i="2"/>
  <c r="BI200" i="2"/>
  <c r="BE200" i="2"/>
  <c r="BI199" i="2"/>
  <c r="BE199" i="2"/>
  <c r="BI198" i="2"/>
  <c r="BE198" i="2"/>
  <c r="BI197" i="2"/>
  <c r="BE197" i="2"/>
  <c r="BI196" i="2"/>
  <c r="BE196" i="2"/>
  <c r="BI195" i="2"/>
  <c r="BE195" i="2"/>
  <c r="BI194" i="2"/>
  <c r="BE194" i="2"/>
  <c r="BI193" i="2"/>
  <c r="BE193" i="2"/>
  <c r="BI192" i="2"/>
  <c r="BE192" i="2"/>
  <c r="BI191" i="2"/>
  <c r="BE191" i="2"/>
  <c r="BI190" i="2"/>
  <c r="BE190" i="2"/>
  <c r="BI189" i="2"/>
  <c r="BE189" i="2"/>
  <c r="BI188" i="2"/>
  <c r="BE188" i="2"/>
  <c r="BI187" i="2"/>
  <c r="BE187" i="2"/>
  <c r="BI186" i="2"/>
  <c r="BE186" i="2"/>
  <c r="BI185" i="2"/>
  <c r="BE185" i="2"/>
  <c r="BI184" i="2"/>
  <c r="BE184" i="2"/>
  <c r="BI183" i="2"/>
  <c r="BE183" i="2"/>
  <c r="BI182" i="2"/>
  <c r="BE182" i="2"/>
  <c r="BI181" i="2"/>
  <c r="BE181" i="2"/>
  <c r="BI180" i="2"/>
  <c r="BE180" i="2"/>
  <c r="BI179" i="2"/>
  <c r="BE179" i="2"/>
  <c r="BI178" i="2"/>
  <c r="BE178" i="2"/>
  <c r="BI177" i="2"/>
  <c r="BE177" i="2"/>
  <c r="BI176" i="2"/>
  <c r="BE176" i="2"/>
  <c r="BI175" i="2"/>
  <c r="BE175" i="2"/>
  <c r="BI174" i="2"/>
  <c r="BE174" i="2"/>
  <c r="BI173" i="2"/>
  <c r="BE173" i="2"/>
  <c r="BI172" i="2"/>
  <c r="BE172" i="2"/>
  <c r="BI171" i="2"/>
  <c r="BE171" i="2"/>
  <c r="BI170" i="2"/>
  <c r="BE170" i="2"/>
  <c r="BI169" i="2"/>
  <c r="BE169" i="2"/>
  <c r="BI168" i="2"/>
  <c r="BE168" i="2"/>
  <c r="BI167" i="2"/>
  <c r="BE167" i="2"/>
  <c r="BI166" i="2"/>
  <c r="BE166" i="2"/>
  <c r="BI165" i="2"/>
  <c r="BE165" i="2"/>
  <c r="BI164" i="2"/>
  <c r="BE164" i="2"/>
  <c r="BI163" i="2"/>
  <c r="BE163" i="2"/>
  <c r="BI162" i="2"/>
  <c r="BE162" i="2"/>
  <c r="BI161" i="2"/>
  <c r="BE161" i="2"/>
  <c r="BI160" i="2"/>
  <c r="BE160" i="2"/>
  <c r="BI159" i="2"/>
  <c r="BE159" i="2"/>
  <c r="BI158" i="2"/>
  <c r="BE158" i="2"/>
  <c r="BI157" i="2"/>
  <c r="BE157" i="2"/>
  <c r="BI156" i="2"/>
  <c r="BE156" i="2"/>
  <c r="BI155" i="2"/>
  <c r="BE155" i="2"/>
  <c r="BI154" i="2"/>
  <c r="BE154" i="2"/>
  <c r="BI153" i="2"/>
  <c r="BE153" i="2"/>
  <c r="BI152" i="2"/>
  <c r="BE152" i="2"/>
  <c r="BI151" i="2"/>
  <c r="BE151" i="2"/>
  <c r="BI150" i="2"/>
  <c r="BE150" i="2"/>
  <c r="BI149" i="2"/>
  <c r="BE149" i="2"/>
  <c r="BI148" i="2"/>
  <c r="BE148" i="2"/>
  <c r="BI147" i="2"/>
  <c r="BE147" i="2"/>
  <c r="BI146" i="2"/>
  <c r="BE146" i="2"/>
  <c r="BI145" i="2"/>
  <c r="BE145" i="2"/>
  <c r="BI144" i="2"/>
  <c r="BE144" i="2"/>
  <c r="BI143" i="2"/>
  <c r="BE143" i="2"/>
  <c r="BI142" i="2"/>
  <c r="BE142" i="2"/>
  <c r="BI141" i="2"/>
  <c r="BE141" i="2"/>
  <c r="BI140" i="2"/>
  <c r="BE140" i="2"/>
  <c r="BI139" i="2"/>
  <c r="BE139" i="2"/>
  <c r="BI138" i="2"/>
  <c r="BE138" i="2"/>
  <c r="BI137" i="2"/>
  <c r="BE137" i="2"/>
  <c r="BI136" i="2"/>
  <c r="BE136" i="2"/>
  <c r="BI135" i="2"/>
  <c r="BE135" i="2"/>
  <c r="BI134" i="2"/>
  <c r="BE134" i="2"/>
  <c r="BI133" i="2"/>
  <c r="BE133" i="2"/>
  <c r="BI132" i="2"/>
  <c r="BE132" i="2"/>
  <c r="BI131" i="2"/>
  <c r="BE131" i="2"/>
  <c r="BI130" i="2"/>
  <c r="BE130" i="2"/>
  <c r="BI129" i="2"/>
  <c r="BE129" i="2"/>
  <c r="BI128" i="2"/>
  <c r="BE128" i="2"/>
  <c r="BI127" i="2"/>
  <c r="BE127" i="2"/>
  <c r="BI126" i="2"/>
  <c r="BE126" i="2"/>
  <c r="BI125" i="2"/>
  <c r="BE125" i="2"/>
  <c r="BI124" i="2"/>
  <c r="BE124" i="2"/>
  <c r="BI123" i="2"/>
  <c r="BE123" i="2"/>
  <c r="BI122" i="2"/>
  <c r="BE122" i="2"/>
  <c r="BI121" i="2"/>
  <c r="BE121" i="2"/>
  <c r="BI120" i="2"/>
  <c r="BE120" i="2"/>
  <c r="BI119" i="2"/>
  <c r="BE119" i="2"/>
  <c r="BI118" i="2"/>
  <c r="BE118" i="2"/>
  <c r="BI117" i="2"/>
  <c r="BE117" i="2"/>
  <c r="BI116" i="2"/>
  <c r="BE116" i="2"/>
  <c r="BI115" i="2"/>
  <c r="BE115" i="2"/>
  <c r="BI114" i="2"/>
  <c r="BE114" i="2"/>
  <c r="BI113" i="2"/>
  <c r="BE113" i="2"/>
  <c r="BI112" i="2"/>
  <c r="BE112" i="2"/>
  <c r="BI111" i="2"/>
  <c r="BE111" i="2"/>
  <c r="BI110" i="2"/>
  <c r="BE110" i="2"/>
  <c r="BI109" i="2"/>
  <c r="BE109" i="2"/>
  <c r="BI108" i="2"/>
  <c r="BE108" i="2"/>
  <c r="BI107" i="2"/>
  <c r="BE107" i="2"/>
  <c r="BI106" i="2"/>
  <c r="BE106" i="2"/>
  <c r="BI105" i="2"/>
  <c r="BE105" i="2"/>
  <c r="BI104" i="2"/>
  <c r="BE104" i="2"/>
  <c r="BI103" i="2"/>
  <c r="BE103" i="2"/>
  <c r="BI102" i="2"/>
  <c r="BE102" i="2"/>
  <c r="BI101" i="2"/>
  <c r="BE101" i="2"/>
  <c r="BI100" i="2"/>
  <c r="BE100" i="2"/>
  <c r="BI99" i="2"/>
  <c r="BE99" i="2"/>
  <c r="BI98" i="2"/>
  <c r="BE98" i="2"/>
  <c r="BI97" i="2"/>
  <c r="BE97" i="2"/>
  <c r="BI96" i="2"/>
  <c r="BE96" i="2"/>
  <c r="BI95" i="2"/>
  <c r="BE95" i="2"/>
  <c r="BI94" i="2"/>
  <c r="BE94" i="2"/>
  <c r="BI93" i="2"/>
  <c r="BE93" i="2"/>
  <c r="BI92" i="2"/>
  <c r="BE92" i="2"/>
  <c r="BI91" i="2"/>
  <c r="BE91" i="2"/>
  <c r="BI90" i="2"/>
  <c r="BE90" i="2"/>
  <c r="BI89" i="2"/>
  <c r="BE89" i="2"/>
  <c r="BI88" i="2"/>
  <c r="BE88" i="2"/>
  <c r="BI87" i="2"/>
  <c r="BE87" i="2"/>
  <c r="BI86" i="2"/>
  <c r="BE86" i="2"/>
  <c r="BI85" i="2"/>
  <c r="BE85" i="2"/>
  <c r="BI84" i="2"/>
  <c r="BE84" i="2"/>
  <c r="BI83" i="2"/>
  <c r="BE83" i="2"/>
  <c r="BI82" i="2"/>
  <c r="BE82" i="2"/>
  <c r="BI81" i="2"/>
  <c r="BE81" i="2"/>
  <c r="BI80" i="2"/>
  <c r="BE80" i="2"/>
  <c r="BI79" i="2"/>
  <c r="BE79" i="2"/>
  <c r="BI78" i="2"/>
  <c r="BE78" i="2"/>
  <c r="BI77" i="2"/>
  <c r="BE77" i="2"/>
  <c r="BI76" i="2"/>
  <c r="BE76" i="2"/>
  <c r="BI75" i="2"/>
  <c r="BE75" i="2"/>
  <c r="BI74" i="2"/>
  <c r="BE74" i="2"/>
  <c r="BI73" i="2"/>
  <c r="BE73" i="2"/>
  <c r="BI72" i="2"/>
  <c r="BE72" i="2"/>
  <c r="BI71" i="2"/>
  <c r="BE71" i="2"/>
  <c r="BI70" i="2"/>
  <c r="BE70" i="2"/>
  <c r="BI69" i="2"/>
  <c r="BE69" i="2"/>
  <c r="BI68" i="2"/>
  <c r="BE68" i="2"/>
  <c r="BI67" i="2"/>
  <c r="BE67" i="2"/>
  <c r="BI66" i="2"/>
  <c r="BE66" i="2"/>
  <c r="BI65" i="2"/>
  <c r="BE65" i="2"/>
  <c r="BI64" i="2"/>
  <c r="BE64" i="2"/>
  <c r="BI63" i="2"/>
  <c r="BE63" i="2"/>
  <c r="BI62" i="2"/>
  <c r="BE62" i="2"/>
  <c r="BI61" i="2"/>
  <c r="BE61" i="2"/>
  <c r="BI60" i="2"/>
  <c r="BE60" i="2"/>
  <c r="BI59" i="2"/>
  <c r="BE59" i="2"/>
  <c r="BI58" i="2"/>
  <c r="BE58" i="2"/>
  <c r="BI57" i="2"/>
  <c r="BE57" i="2"/>
  <c r="BI56" i="2"/>
  <c r="BE56" i="2"/>
  <c r="BI55" i="2"/>
  <c r="BE55" i="2"/>
  <c r="BI54" i="2"/>
  <c r="BE54" i="2"/>
  <c r="BI53" i="2"/>
  <c r="BE53" i="2"/>
  <c r="BI52" i="2"/>
  <c r="BE52" i="2"/>
  <c r="BI51" i="2"/>
  <c r="BE51" i="2"/>
  <c r="BI50" i="2"/>
  <c r="BE50" i="2"/>
  <c r="BI49" i="2"/>
  <c r="BE49" i="2"/>
  <c r="BI48" i="2"/>
  <c r="BE48" i="2"/>
  <c r="BI47" i="2"/>
  <c r="BE47" i="2"/>
  <c r="BI46" i="2"/>
  <c r="BE46" i="2"/>
  <c r="BI45" i="2"/>
  <c r="BE45" i="2"/>
  <c r="BI44" i="2"/>
  <c r="BE44" i="2"/>
  <c r="BI43" i="2"/>
  <c r="BE43" i="2"/>
  <c r="BI42" i="2"/>
  <c r="BE42" i="2"/>
  <c r="BI41" i="2"/>
  <c r="BE41" i="2"/>
  <c r="BI40" i="2"/>
  <c r="BE40" i="2"/>
  <c r="BI39" i="2"/>
  <c r="BE39" i="2"/>
  <c r="BI38" i="2"/>
  <c r="BE38" i="2"/>
  <c r="BI37" i="2"/>
  <c r="BE37" i="2"/>
  <c r="BI36" i="2"/>
  <c r="BE36" i="2"/>
  <c r="BI35" i="2"/>
  <c r="BE35" i="2"/>
  <c r="BI34" i="2"/>
  <c r="BE34" i="2"/>
  <c r="BI33" i="2"/>
  <c r="BE33" i="2"/>
  <c r="BI32" i="2"/>
  <c r="BE32" i="2"/>
  <c r="BI31" i="2"/>
  <c r="BE31" i="2"/>
  <c r="BI30" i="2"/>
  <c r="BE30" i="2"/>
  <c r="BI29" i="2"/>
  <c r="BE29" i="2"/>
  <c r="BI28" i="2"/>
  <c r="BE28" i="2"/>
  <c r="BI27" i="2"/>
  <c r="BE27" i="2"/>
  <c r="BI26" i="2"/>
  <c r="BE26" i="2"/>
  <c r="BI25" i="2"/>
  <c r="BE25" i="2"/>
  <c r="BI24" i="2"/>
  <c r="BE24" i="2"/>
  <c r="AK24" i="2"/>
  <c r="AC24" i="2"/>
  <c r="BI23" i="2"/>
  <c r="BE23" i="2"/>
  <c r="AK23" i="2"/>
  <c r="AC23" i="2"/>
  <c r="BI22" i="2"/>
  <c r="BE22" i="2"/>
  <c r="AK22" i="2"/>
  <c r="AC22" i="2"/>
  <c r="BI21" i="2"/>
  <c r="BE21" i="2"/>
  <c r="AK21" i="2"/>
  <c r="AC21" i="2"/>
  <c r="BI20" i="2"/>
  <c r="BE20" i="2"/>
  <c r="AK20" i="2"/>
  <c r="AC20" i="2"/>
  <c r="BI19" i="2"/>
  <c r="BE19" i="2"/>
  <c r="AK19" i="2"/>
  <c r="AC19" i="2"/>
  <c r="BI18" i="2"/>
  <c r="BE18" i="2"/>
  <c r="AK18" i="2"/>
  <c r="AC18" i="2"/>
  <c r="BI17" i="2"/>
  <c r="BE17" i="2"/>
  <c r="AK17" i="2"/>
  <c r="AC17" i="2"/>
  <c r="BI16" i="2"/>
  <c r="BE16" i="2"/>
  <c r="AK16" i="2"/>
  <c r="AC16" i="2"/>
  <c r="BI15" i="2"/>
  <c r="BE15" i="2"/>
  <c r="AK15" i="2"/>
  <c r="AC15" i="2"/>
  <c r="BI14" i="2"/>
  <c r="BE14" i="2"/>
  <c r="AK14" i="2"/>
  <c r="AC14" i="2"/>
  <c r="BI13" i="2"/>
  <c r="BE13" i="2"/>
  <c r="AK13" i="2"/>
  <c r="AC13" i="2"/>
  <c r="BI12" i="2"/>
  <c r="BE12" i="2"/>
  <c r="AK12" i="2"/>
  <c r="AC12" i="2"/>
  <c r="BI11" i="2"/>
  <c r="BE11" i="2"/>
  <c r="AK11" i="2"/>
  <c r="AC11" i="2"/>
  <c r="BI10" i="2"/>
  <c r="BE10" i="2"/>
  <c r="AK10" i="2"/>
  <c r="AC10" i="2"/>
  <c r="BI9" i="2"/>
  <c r="BE9" i="2"/>
  <c r="BA9" i="2"/>
  <c r="AZ9" i="2"/>
  <c r="AK9" i="2"/>
  <c r="AC9" i="2"/>
  <c r="BI8" i="2"/>
  <c r="BE8" i="2"/>
  <c r="BA8" i="2"/>
  <c r="AZ8" i="2"/>
  <c r="AK8" i="2"/>
  <c r="AC8" i="2"/>
  <c r="BI7" i="2"/>
  <c r="BE7" i="2"/>
  <c r="BA7" i="2"/>
  <c r="AZ7" i="2"/>
  <c r="AK7" i="2"/>
  <c r="AC7" i="2"/>
  <c r="BI6" i="2"/>
  <c r="BE6" i="2"/>
  <c r="AY6" i="2"/>
  <c r="AX6" i="2"/>
  <c r="AW6" i="2"/>
  <c r="AV6" i="2"/>
  <c r="AU6" i="2"/>
  <c r="AT6" i="2"/>
  <c r="BA6" i="2" s="1"/>
  <c r="AS6" i="2"/>
  <c r="AZ6" i="2" s="1"/>
  <c r="AR6" i="2"/>
  <c r="AP6" i="2"/>
  <c r="AQ6" i="2" s="1"/>
  <c r="AO6" i="2"/>
  <c r="AK6" i="2"/>
  <c r="AC6" i="2"/>
  <c r="BI5" i="2"/>
  <c r="BE5" i="2"/>
  <c r="BA5" i="2"/>
  <c r="AZ5" i="2"/>
  <c r="AK5" i="2"/>
  <c r="AC5" i="2"/>
  <c r="BO4" i="2" a="1"/>
  <c r="BO4" i="2" s="1"/>
  <c r="BA4" i="2"/>
  <c r="AZ4" i="2"/>
  <c r="AK4" i="2"/>
  <c r="AC4" i="2"/>
  <c r="AL12" i="1"/>
  <c r="AK12" i="1"/>
  <c r="AJ12" i="1"/>
  <c r="AG12" i="1"/>
  <c r="V12" i="1"/>
  <c r="U12" i="1"/>
  <c r="T12" i="1"/>
  <c r="EA11" i="1"/>
  <c r="AH11" i="1"/>
  <c r="G11" i="1"/>
  <c r="DS10" i="1"/>
  <c r="DS6" i="1" s="1"/>
  <c r="DS7" i="1" s="1"/>
  <c r="DK10" i="1"/>
  <c r="DK6" i="1" s="1"/>
  <c r="DK7" i="1" s="1"/>
  <c r="CZ10" i="1"/>
  <c r="CB10" i="1"/>
  <c r="I10" i="1"/>
  <c r="DC9" i="1"/>
  <c r="AQ9" i="1"/>
  <c r="W9" i="1"/>
  <c r="N9" i="1"/>
  <c r="B9" i="1"/>
  <c r="GD8" i="1"/>
  <c r="GD9" i="1" s="1"/>
  <c r="GC8" i="1"/>
  <c r="GC9" i="1" s="1"/>
  <c r="FL8" i="1"/>
  <c r="EZ8" i="1"/>
  <c r="EZ9" i="1" s="1"/>
  <c r="DI8" i="1"/>
  <c r="DJ8" i="1" s="1"/>
  <c r="DC8" i="1"/>
  <c r="BZ8" i="1"/>
  <c r="CA8" i="1" s="1"/>
  <c r="BT8" i="1"/>
  <c r="BT9" i="1" s="1"/>
  <c r="AQ8" i="1"/>
  <c r="AP8" i="1"/>
  <c r="AP9" i="1" s="1"/>
  <c r="AY9" i="1" s="1"/>
  <c r="AN8" i="1"/>
  <c r="AN9" i="1" s="1"/>
  <c r="AM8" i="1"/>
  <c r="AM9" i="1" s="1"/>
  <c r="AG8" i="1"/>
  <c r="AG9" i="1" s="1"/>
  <c r="AD8" i="1"/>
  <c r="AD9" i="1" s="1"/>
  <c r="AC8" i="1"/>
  <c r="AC9" i="1" s="1"/>
  <c r="AB8" i="1"/>
  <c r="AB9" i="1" s="1"/>
  <c r="AA8" i="1"/>
  <c r="AA9" i="1" s="1"/>
  <c r="Z8" i="1"/>
  <c r="Z9" i="1" s="1"/>
  <c r="Y8" i="1"/>
  <c r="Y9" i="1" s="1"/>
  <c r="X8" i="1"/>
  <c r="X9" i="1" s="1"/>
  <c r="W8" i="1"/>
  <c r="N8" i="1"/>
  <c r="M8" i="1"/>
  <c r="M9" i="1" s="1"/>
  <c r="L8" i="1"/>
  <c r="L9" i="1" s="1"/>
  <c r="K8" i="1"/>
  <c r="K9" i="1" s="1"/>
  <c r="J8" i="1"/>
  <c r="J9" i="1" s="1"/>
  <c r="I8" i="1"/>
  <c r="I9" i="1" s="1"/>
  <c r="H8" i="1"/>
  <c r="H9" i="1" s="1"/>
  <c r="G8" i="1"/>
  <c r="G9" i="1" s="1"/>
  <c r="F8" i="1"/>
  <c r="F9" i="1" s="1"/>
  <c r="E8" i="1"/>
  <c r="E9" i="1" s="1"/>
  <c r="D8" i="1"/>
  <c r="D9" i="1" s="1"/>
  <c r="B8" i="1"/>
  <c r="FL7" i="1"/>
  <c r="BZ7" i="1" s="1"/>
  <c r="FA7" i="1"/>
  <c r="FB7" i="1" s="1"/>
  <c r="EZ7" i="1"/>
  <c r="EY7" i="1"/>
  <c r="EW7" i="1"/>
  <c r="AQ7" i="1"/>
  <c r="AP7" i="1"/>
  <c r="AN7" i="1"/>
  <c r="AM7" i="1"/>
  <c r="AD7" i="1"/>
  <c r="AC7" i="1"/>
  <c r="AB7" i="1"/>
  <c r="AA7" i="1"/>
  <c r="Z7" i="1"/>
  <c r="Y7" i="1"/>
  <c r="X7" i="1"/>
  <c r="W7" i="1"/>
  <c r="N7" i="1"/>
  <c r="M7" i="1"/>
  <c r="L7" i="1"/>
  <c r="K7" i="1"/>
  <c r="J7" i="1"/>
  <c r="I7" i="1"/>
  <c r="H7" i="1"/>
  <c r="G7" i="1"/>
  <c r="F7" i="1"/>
  <c r="E7" i="1"/>
  <c r="D7" i="1"/>
  <c r="B7" i="1"/>
  <c r="GF6" i="1"/>
  <c r="GF7" i="1" s="1"/>
  <c r="GE6" i="1"/>
  <c r="GE8" i="1" s="1"/>
  <c r="GE9" i="1" s="1"/>
  <c r="GD6" i="1"/>
  <c r="GD7" i="1" s="1"/>
  <c r="GC6" i="1"/>
  <c r="GC7" i="1" s="1"/>
  <c r="FT6" i="1"/>
  <c r="FT7" i="1" s="1"/>
  <c r="FS6" i="1"/>
  <c r="FS8" i="1" s="1"/>
  <c r="FM6" i="1"/>
  <c r="FM8" i="1" s="1"/>
  <c r="FL6" i="1"/>
  <c r="FC6" i="1"/>
  <c r="FC8" i="1" s="1"/>
  <c r="FC9" i="1" s="1"/>
  <c r="FA6" i="1"/>
  <c r="FA8" i="1" s="1"/>
  <c r="FB8" i="1" s="1"/>
  <c r="EY6" i="1"/>
  <c r="EY8" i="1" s="1"/>
  <c r="EY9" i="1" s="1"/>
  <c r="EW6" i="1"/>
  <c r="EW8" i="1" s="1"/>
  <c r="EW9" i="1" s="1"/>
  <c r="DY6" i="1"/>
  <c r="DQ6" i="1"/>
  <c r="DQ8" i="1" s="1"/>
  <c r="DM6" i="1"/>
  <c r="DN6" i="1" s="1"/>
  <c r="DI6" i="1"/>
  <c r="DJ6" i="1" s="1"/>
  <c r="DF6" i="1"/>
  <c r="DF8" i="1" s="1"/>
  <c r="DF9" i="1" s="1"/>
  <c r="DE6" i="1"/>
  <c r="DB6" i="1" s="1"/>
  <c r="DD6" i="1"/>
  <c r="DD7" i="1" s="1"/>
  <c r="DC6" i="1"/>
  <c r="DD8" i="1" s="1"/>
  <c r="DD9" i="1" s="1"/>
  <c r="CZ6" i="1"/>
  <c r="CZ8" i="1" s="1"/>
  <c r="CZ9" i="1" s="1"/>
  <c r="CP6" i="1"/>
  <c r="CP8" i="1" s="1"/>
  <c r="CP9" i="1" s="1"/>
  <c r="CH6" i="1"/>
  <c r="CD6" i="1"/>
  <c r="CD8" i="1" s="1"/>
  <c r="CD9" i="1" s="1"/>
  <c r="CB6" i="1"/>
  <c r="CC10" i="1" s="1"/>
  <c r="CC6" i="1" s="1"/>
  <c r="BZ6" i="1"/>
  <c r="CA6" i="1" s="1"/>
  <c r="BW6" i="1"/>
  <c r="BW7" i="1" s="1"/>
  <c r="BV6" i="1"/>
  <c r="H11" i="1" s="1"/>
  <c r="BU6" i="1"/>
  <c r="BU7" i="1" s="1"/>
  <c r="BT6" i="1"/>
  <c r="BU8" i="1" s="1"/>
  <c r="BU9" i="1" s="1"/>
  <c r="BQ6" i="1"/>
  <c r="BQ7" i="1" s="1"/>
  <c r="BO6" i="1"/>
  <c r="BP6" i="1" s="1"/>
  <c r="BN6" i="1"/>
  <c r="BN8" i="1" s="1"/>
  <c r="BN9" i="1" s="1"/>
  <c r="BM6" i="1"/>
  <c r="BM7" i="1" s="1"/>
  <c r="BK6" i="1"/>
  <c r="BK7" i="1" s="1"/>
  <c r="BI6" i="1"/>
  <c r="BI7" i="1" s="1"/>
  <c r="BH6" i="1"/>
  <c r="BH8" i="1" s="1"/>
  <c r="BH9" i="1" s="1"/>
  <c r="BB6" i="1"/>
  <c r="BD6" i="1" s="1"/>
  <c r="BA6" i="1"/>
  <c r="BA7" i="1" s="1"/>
  <c r="AR6" i="1"/>
  <c r="AR8" i="1" s="1"/>
  <c r="AR9" i="1" s="1"/>
  <c r="AL6" i="1"/>
  <c r="AL7" i="1" s="1"/>
  <c r="AK6" i="1"/>
  <c r="AK7" i="1" s="1"/>
  <c r="AJ6" i="1"/>
  <c r="AJ7" i="1" s="1"/>
  <c r="AG6" i="1"/>
  <c r="AG7" i="1" s="1"/>
  <c r="V6" i="1"/>
  <c r="V8" i="1" s="1"/>
  <c r="V9" i="1" s="1"/>
  <c r="U6" i="1"/>
  <c r="U8" i="1" s="1"/>
  <c r="U9" i="1" s="1"/>
  <c r="T6" i="1"/>
  <c r="T8" i="1" s="1"/>
  <c r="T9" i="1" s="1"/>
  <c r="Q6" i="1"/>
  <c r="C6" i="1"/>
  <c r="FD6" i="1" s="1"/>
  <c r="AO2" i="1"/>
  <c r="AL2" i="1"/>
  <c r="A2" i="1"/>
  <c r="GB6" i="1" s="1"/>
  <c r="AP1" i="1"/>
  <c r="AH1" i="1"/>
  <c r="FE6" i="1"/>
  <c r="FT8" i="1" l="1"/>
  <c r="FM7" i="1"/>
  <c r="FM9" i="1" s="1"/>
  <c r="FL9" i="1"/>
  <c r="FS7" i="1"/>
  <c r="FS9" i="1"/>
  <c r="GF8" i="1"/>
  <c r="GF9" i="1" s="1"/>
  <c r="FT9" i="1"/>
  <c r="BA8" i="1"/>
  <c r="BA9" i="1" s="1"/>
  <c r="EX6" i="1"/>
  <c r="EX8" i="1" s="1"/>
  <c r="EX9" i="1" s="1"/>
  <c r="BM8" i="1"/>
  <c r="BM9" i="1" s="1"/>
  <c r="C7" i="1"/>
  <c r="DT10" i="1"/>
  <c r="DT6" i="1" s="1"/>
  <c r="DT7" i="1" s="1"/>
  <c r="BN7" i="1"/>
  <c r="BF6" i="1"/>
  <c r="BF8" i="1" s="1"/>
  <c r="BF9" i="1" s="1"/>
  <c r="DZ6" i="1"/>
  <c r="ER6" i="1"/>
  <c r="ER7" i="1" s="1"/>
  <c r="BB7" i="1"/>
  <c r="C8" i="1"/>
  <c r="C9" i="1" s="1"/>
  <c r="BC6" i="1"/>
  <c r="BC8" i="1" s="1"/>
  <c r="BC9" i="1" s="1"/>
  <c r="BF7" i="1"/>
  <c r="BE6" i="1"/>
  <c r="BE8" i="1" s="1"/>
  <c r="BE9" i="1" s="1"/>
  <c r="BK8" i="1"/>
  <c r="BK9" i="1" s="1"/>
  <c r="BG6" i="1"/>
  <c r="BG8" i="1" s="1"/>
  <c r="BG9" i="1" s="1"/>
  <c r="AY8" i="1"/>
  <c r="BQ8" i="1"/>
  <c r="BQ9" i="1" s="1"/>
  <c r="DK8" i="1"/>
  <c r="DK9" i="1" s="1"/>
  <c r="GE7" i="1"/>
  <c r="FE7" i="1"/>
  <c r="FE8" i="1"/>
  <c r="FE9" i="1" s="1"/>
  <c r="B12" i="1"/>
  <c r="DN8" i="1"/>
  <c r="DN9" i="1" s="1"/>
  <c r="DN7" i="1"/>
  <c r="DP6" i="1"/>
  <c r="GB7" i="1"/>
  <c r="GB8" i="1"/>
  <c r="GB9" i="1" s="1"/>
  <c r="BP8" i="1"/>
  <c r="BP9" i="1" s="1"/>
  <c r="BP7" i="1"/>
  <c r="DB8" i="1"/>
  <c r="DB9" i="1" s="1"/>
  <c r="DB7" i="1"/>
  <c r="FD7" i="1"/>
  <c r="FD8" i="1"/>
  <c r="FD9" i="1" s="1"/>
  <c r="CC8" i="1"/>
  <c r="CC9" i="1" s="1"/>
  <c r="CC7" i="1"/>
  <c r="DZ8" i="1"/>
  <c r="DZ9" i="1" s="1"/>
  <c r="EE6" i="1"/>
  <c r="DZ7" i="1"/>
  <c r="BD8" i="1"/>
  <c r="BD9" i="1" s="1"/>
  <c r="BD7" i="1"/>
  <c r="BZ9" i="1"/>
  <c r="CA9" i="1" s="1"/>
  <c r="DI7" i="1"/>
  <c r="CH7" i="1"/>
  <c r="CH8" i="1" s="1"/>
  <c r="CH9" i="1" s="1"/>
  <c r="CA7" i="1"/>
  <c r="B2" i="1"/>
  <c r="BV8" i="1"/>
  <c r="BV9" i="1" s="1"/>
  <c r="ER8" i="1"/>
  <c r="ER9" i="1" s="1"/>
  <c r="BS6" i="1"/>
  <c r="CE6" i="1"/>
  <c r="CQ6" i="1"/>
  <c r="EO6" i="1"/>
  <c r="FB6" i="1"/>
  <c r="BO7" i="1"/>
  <c r="CB7" i="1"/>
  <c r="CZ7" i="1"/>
  <c r="DM7" i="1"/>
  <c r="DY7" i="1"/>
  <c r="EX7" i="1"/>
  <c r="AJ8" i="1"/>
  <c r="AJ9" i="1" s="1"/>
  <c r="BW8" i="1"/>
  <c r="BW9" i="1" s="1"/>
  <c r="DO6" i="1"/>
  <c r="BI8" i="1"/>
  <c r="BI9" i="1" s="1"/>
  <c r="DS8" i="1"/>
  <c r="DS9" i="1" s="1"/>
  <c r="CW13" i="1"/>
  <c r="CW6" i="1" s="1"/>
  <c r="C2" i="1"/>
  <c r="E2" i="1" s="1"/>
  <c r="AK8" i="1"/>
  <c r="AK9" i="1" s="1"/>
  <c r="FA9" i="1"/>
  <c r="FB9" i="1" s="1"/>
  <c r="H10" i="1"/>
  <c r="EF13" i="1"/>
  <c r="EF6" i="1" s="1"/>
  <c r="CF6" i="1"/>
  <c r="EP6" i="1"/>
  <c r="Q7" i="1"/>
  <c r="AS6" i="1"/>
  <c r="AU6" i="1" s="1"/>
  <c r="EQ6" i="1"/>
  <c r="FP6" i="1"/>
  <c r="CD7" i="1"/>
  <c r="CP7" i="1"/>
  <c r="DC7" i="1"/>
  <c r="AL8" i="1"/>
  <c r="AL9" i="1" s="1"/>
  <c r="AZ8" i="1"/>
  <c r="AZ9" i="1" s="1"/>
  <c r="CO11" i="1"/>
  <c r="DH6" i="1"/>
  <c r="ES6" i="1"/>
  <c r="FF6" i="1"/>
  <c r="T7" i="1"/>
  <c r="AR7" i="1"/>
  <c r="BT7" i="1"/>
  <c r="DE7" i="1"/>
  <c r="BB8" i="1"/>
  <c r="BB9" i="1" s="1"/>
  <c r="BJ6" i="1"/>
  <c r="FR6" i="1"/>
  <c r="ET6" i="1"/>
  <c r="FG6" i="1"/>
  <c r="U7" i="1"/>
  <c r="BH7" i="1"/>
  <c r="DF7" i="1"/>
  <c r="FC7" i="1"/>
  <c r="Q8" i="1"/>
  <c r="Q9" i="1" s="1"/>
  <c r="BO8" i="1"/>
  <c r="BO9" i="1" s="1"/>
  <c r="CB8" i="1"/>
  <c r="CB9" i="1" s="1"/>
  <c r="DM8" i="1"/>
  <c r="DM9" i="1" s="1"/>
  <c r="DY8" i="1"/>
  <c r="DY9" i="1" s="1"/>
  <c r="AZ6" i="1"/>
  <c r="AZ7" i="1" s="1"/>
  <c r="BL6" i="1"/>
  <c r="BY6" i="1"/>
  <c r="EU6" i="1"/>
  <c r="FH6" i="1"/>
  <c r="V7" i="1"/>
  <c r="BV7" i="1"/>
  <c r="A11" i="1"/>
  <c r="EV6" i="1"/>
  <c r="B11" i="1"/>
  <c r="FJ6" i="1"/>
  <c r="DL10" i="1"/>
  <c r="DL6" i="1" s="1"/>
  <c r="DE8" i="1"/>
  <c r="DE9" i="1" s="1"/>
  <c r="DT8" i="1" l="1"/>
  <c r="DT9" i="1" s="1"/>
  <c r="BG7" i="1"/>
  <c r="BC7" i="1"/>
  <c r="BE7" i="1"/>
  <c r="EF7" i="1"/>
  <c r="EG6" i="1"/>
  <c r="EF8" i="1"/>
  <c r="EF9" i="1" s="1"/>
  <c r="A12" i="1"/>
  <c r="CE8" i="1"/>
  <c r="CE9" i="1" s="1"/>
  <c r="CE7" i="1"/>
  <c r="CG6" i="1"/>
  <c r="EU7" i="1"/>
  <c r="EU8" i="1"/>
  <c r="EU9" i="1" s="1"/>
  <c r="CW7" i="1"/>
  <c r="CX6" i="1"/>
  <c r="CW8" i="1"/>
  <c r="CW9" i="1" s="1"/>
  <c r="EE7" i="1"/>
  <c r="EE8" i="1"/>
  <c r="EE9" i="1" s="1"/>
  <c r="DL8" i="1"/>
  <c r="DL9" i="1" s="1"/>
  <c r="DL7" i="1"/>
  <c r="FV6" i="1"/>
  <c r="FU6" i="1"/>
  <c r="BL7" i="1"/>
  <c r="BL8" i="1"/>
  <c r="BL9" i="1" s="1"/>
  <c r="DP8" i="1"/>
  <c r="DP9" i="1" s="1"/>
  <c r="DV6" i="1"/>
  <c r="DP7" i="1"/>
  <c r="BY7" i="1"/>
  <c r="CS10" i="1"/>
  <c r="CS6" i="1" s="1"/>
  <c r="BY8" i="1"/>
  <c r="BY9" i="1" s="1"/>
  <c r="AO6" i="1"/>
  <c r="FF7" i="1"/>
  <c r="FF8" i="1"/>
  <c r="FF9" i="1" s="1"/>
  <c r="FP7" i="1"/>
  <c r="FP8" i="1"/>
  <c r="FP9" i="1" s="1"/>
  <c r="EQ8" i="1"/>
  <c r="EQ9" i="1" s="1"/>
  <c r="EQ7" i="1"/>
  <c r="FG7" i="1"/>
  <c r="AN10" i="1"/>
  <c r="AM10" i="1" s="1"/>
  <c r="FG8" i="1"/>
  <c r="FG9" i="1" s="1"/>
  <c r="AU7" i="1"/>
  <c r="AV6" i="1"/>
  <c r="AT6" i="1"/>
  <c r="E10" i="1"/>
  <c r="FN6" i="1" s="1"/>
  <c r="AU8" i="1"/>
  <c r="AU9" i="1" s="1"/>
  <c r="AS8" i="1"/>
  <c r="AS9" i="1" s="1"/>
  <c r="P13" i="1"/>
  <c r="P14" i="1" s="1"/>
  <c r="BX14" i="1" s="1"/>
  <c r="BX13" i="1" s="1"/>
  <c r="BX6" i="1" s="1"/>
  <c r="AS7" i="1"/>
  <c r="DJ7" i="1"/>
  <c r="DI9" i="1"/>
  <c r="DJ9" i="1" s="1"/>
  <c r="DQ7" i="1"/>
  <c r="DQ9" i="1" s="1"/>
  <c r="CF8" i="1"/>
  <c r="CF9" i="1" s="1"/>
  <c r="CL6" i="1"/>
  <c r="CF7" i="1"/>
  <c r="FH7" i="1"/>
  <c r="FI6" i="1"/>
  <c r="FH8" i="1"/>
  <c r="FH9" i="1" s="1"/>
  <c r="AI6" i="1"/>
  <c r="EV7" i="1"/>
  <c r="EV8" i="1"/>
  <c r="EV9" i="1" s="1"/>
  <c r="BJ7" i="1"/>
  <c r="BJ8" i="1"/>
  <c r="BJ9" i="1" s="1"/>
  <c r="DH7" i="1"/>
  <c r="DH8" i="1"/>
  <c r="DH9" i="1" s="1"/>
  <c r="EB6" i="1"/>
  <c r="DO8" i="1"/>
  <c r="DO9" i="1" s="1"/>
  <c r="DU6" i="1"/>
  <c r="DO7" i="1"/>
  <c r="EO8" i="1"/>
  <c r="EO9" i="1" s="1"/>
  <c r="EO7" i="1"/>
  <c r="BS8" i="1"/>
  <c r="BS9" i="1" s="1"/>
  <c r="BS7" i="1"/>
  <c r="FJ8" i="1"/>
  <c r="FJ9" i="1" s="1"/>
  <c r="FK6" i="1"/>
  <c r="FJ7" i="1"/>
  <c r="ET7" i="1"/>
  <c r="ET8" i="1"/>
  <c r="ET9" i="1" s="1"/>
  <c r="FR7" i="1"/>
  <c r="FR8" i="1"/>
  <c r="FR9" i="1" s="1"/>
  <c r="ES7" i="1"/>
  <c r="ES8" i="1"/>
  <c r="ES9" i="1" s="1"/>
  <c r="AO12" i="1"/>
  <c r="AO13" i="1" s="1"/>
  <c r="AA2" i="1"/>
  <c r="Q2" i="1"/>
  <c r="EP8" i="1"/>
  <c r="EP9" i="1" s="1"/>
  <c r="EP7" i="1"/>
  <c r="AN11" i="1"/>
  <c r="AM11" i="1" s="1"/>
  <c r="CQ8" i="1"/>
  <c r="CQ9" i="1" s="1"/>
  <c r="CV6" i="1"/>
  <c r="CQ7" i="1"/>
  <c r="K2" i="1" l="1"/>
  <c r="BX7" i="1"/>
  <c r="CI6" i="1"/>
  <c r="CN11" i="1"/>
  <c r="BX8" i="1"/>
  <c r="BX9" i="1" s="1"/>
  <c r="FO6" i="1"/>
  <c r="CN10" i="1"/>
  <c r="CN6" i="1" s="1"/>
  <c r="CO10" i="1"/>
  <c r="CO6" i="1" s="1"/>
  <c r="FX6" i="1"/>
  <c r="FW6" i="1"/>
  <c r="FU8" i="1"/>
  <c r="FU9" i="1" s="1"/>
  <c r="FU7" i="1"/>
  <c r="CG8" i="1"/>
  <c r="CG9" i="1" s="1"/>
  <c r="CM6" i="1"/>
  <c r="CG7" i="1"/>
  <c r="DV7" i="1"/>
  <c r="DV8" i="1"/>
  <c r="DV9" i="1" s="1"/>
  <c r="AO8" i="1"/>
  <c r="AO9" i="1" s="1"/>
  <c r="AO7" i="1"/>
  <c r="CX7" i="1"/>
  <c r="CX8" i="1"/>
  <c r="CX9" i="1" s="1"/>
  <c r="AI7" i="1"/>
  <c r="AI8" i="1"/>
  <c r="AI9" i="1" s="1"/>
  <c r="FN8" i="1"/>
  <c r="FN7" i="1"/>
  <c r="FN9" i="1"/>
  <c r="DU7" i="1"/>
  <c r="DU8" i="1"/>
  <c r="DU9" i="1" s="1"/>
  <c r="AT8" i="1"/>
  <c r="AT9" i="1" s="1"/>
  <c r="Y13" i="1"/>
  <c r="Y14" i="1" s="1"/>
  <c r="DG14" i="1" s="1"/>
  <c r="DG13" i="1" s="1"/>
  <c r="DG6" i="1" s="1"/>
  <c r="AT7" i="1"/>
  <c r="AV7" i="1"/>
  <c r="AV8" i="1"/>
  <c r="AV9" i="1" s="1"/>
  <c r="EG7" i="1"/>
  <c r="EG8" i="1"/>
  <c r="EG9" i="1" s="1"/>
  <c r="FK8" i="1"/>
  <c r="FK9" i="1" s="1"/>
  <c r="FK7" i="1"/>
  <c r="FV8" i="1"/>
  <c r="FV9" i="1" s="1"/>
  <c r="FY6" i="1"/>
  <c r="FV7" i="1"/>
  <c r="FI8" i="1"/>
  <c r="FI9" i="1" s="1"/>
  <c r="FI7" i="1"/>
  <c r="CV7" i="1"/>
  <c r="CV8" i="1"/>
  <c r="CV9" i="1" s="1"/>
  <c r="EB8" i="1"/>
  <c r="EB9" i="1" s="1"/>
  <c r="GH6" i="1"/>
  <c r="EB7" i="1"/>
  <c r="CL7" i="1"/>
  <c r="CL8" i="1"/>
  <c r="CL9" i="1" s="1"/>
  <c r="CS8" i="1"/>
  <c r="CS9" i="1" s="1"/>
  <c r="EM6" i="1"/>
  <c r="EK6" i="1"/>
  <c r="GG6" i="1"/>
  <c r="CS7" i="1"/>
  <c r="EL6" i="1"/>
  <c r="EN6" i="1"/>
  <c r="CO8" i="1" l="1"/>
  <c r="CO9" i="1" s="1"/>
  <c r="CO7" i="1"/>
  <c r="EN8" i="1"/>
  <c r="EN9" i="1" s="1"/>
  <c r="EN7" i="1"/>
  <c r="DX11" i="1"/>
  <c r="DG7" i="1"/>
  <c r="DW11" i="1"/>
  <c r="EI10" i="1"/>
  <c r="EI6" i="1" s="1"/>
  <c r="ED10" i="1"/>
  <c r="ED6" i="1" s="1"/>
  <c r="FQ6" i="1"/>
  <c r="EH10" i="1"/>
  <c r="EH6" i="1" s="1"/>
  <c r="EC10" i="1"/>
  <c r="EC6" i="1" s="1"/>
  <c r="DR6" i="1"/>
  <c r="DW10" i="1"/>
  <c r="DW6" i="1" s="1"/>
  <c r="DX10" i="1"/>
  <c r="DX6" i="1" s="1"/>
  <c r="DG8" i="1"/>
  <c r="DG9" i="1" s="1"/>
  <c r="EL8" i="1"/>
  <c r="EL9" i="1" s="1"/>
  <c r="EL7" i="1"/>
  <c r="FO8" i="1"/>
  <c r="FO9" i="1" s="1"/>
  <c r="FO7" i="1"/>
  <c r="EM8" i="1"/>
  <c r="EM9" i="1" s="1"/>
  <c r="EM7" i="1"/>
  <c r="GH8" i="1"/>
  <c r="GH9" i="1" s="1"/>
  <c r="AF6" i="1"/>
  <c r="AE6" i="1"/>
  <c r="AF10" i="1"/>
  <c r="GH7" i="1"/>
  <c r="CN8" i="1"/>
  <c r="CN9" i="1" s="1"/>
  <c r="CN7" i="1"/>
  <c r="CR11" i="1"/>
  <c r="CI7" i="1"/>
  <c r="CI8" i="1"/>
  <c r="CI9" i="1" s="1"/>
  <c r="FX8" i="1"/>
  <c r="FX9" i="1" s="1"/>
  <c r="FX7" i="1"/>
  <c r="O6" i="1"/>
  <c r="P10" i="1"/>
  <c r="P6" i="1"/>
  <c r="GG8" i="1"/>
  <c r="GG9" i="1" s="1"/>
  <c r="GG7" i="1"/>
  <c r="FY8" i="1"/>
  <c r="FY9" i="1" s="1"/>
  <c r="FY7" i="1"/>
  <c r="EK8" i="1"/>
  <c r="EK9" i="1" s="1"/>
  <c r="EK7" i="1"/>
  <c r="CM8" i="1"/>
  <c r="CM9" i="1" s="1"/>
  <c r="CM7" i="1"/>
  <c r="GR6" i="1"/>
  <c r="FW8" i="1"/>
  <c r="FW7" i="1"/>
  <c r="GA6" i="1"/>
  <c r="FZ6" i="1"/>
  <c r="FZ7" i="1" s="1"/>
  <c r="CJ10" i="1" l="1"/>
  <c r="CJ6" i="1" s="1"/>
  <c r="O8" i="1"/>
  <c r="O9" i="1" s="1"/>
  <c r="O7" i="1"/>
  <c r="R6" i="1"/>
  <c r="FQ7" i="1"/>
  <c r="FQ8" i="1"/>
  <c r="FQ9" i="1" s="1"/>
  <c r="GR8" i="1"/>
  <c r="GR9" i="1" s="1"/>
  <c r="GR7" i="1"/>
  <c r="EH7" i="1"/>
  <c r="EH8" i="1"/>
  <c r="EH9" i="1" s="1"/>
  <c r="DX8" i="1"/>
  <c r="DX9" i="1" s="1"/>
  <c r="DX7" i="1"/>
  <c r="EC8" i="1"/>
  <c r="EC9" i="1" s="1"/>
  <c r="EC7" i="1"/>
  <c r="ED8" i="1"/>
  <c r="ED9" i="1" s="1"/>
  <c r="ED7" i="1"/>
  <c r="EH11" i="1"/>
  <c r="DW7" i="1"/>
  <c r="DW8" i="1"/>
  <c r="DW9" i="1" s="1"/>
  <c r="EI7" i="1"/>
  <c r="EI8" i="1"/>
  <c r="EI9" i="1" s="1"/>
  <c r="GA8" i="1"/>
  <c r="GA9" i="1" s="1"/>
  <c r="GA7" i="1"/>
  <c r="P8" i="1"/>
  <c r="P9" i="1" s="1"/>
  <c r="P7" i="1"/>
  <c r="AE8" i="1"/>
  <c r="AE9" i="1" s="1"/>
  <c r="AE7" i="1"/>
  <c r="AH6" i="1"/>
  <c r="FZ8" i="1"/>
  <c r="FZ9" i="1" s="1"/>
  <c r="FW9" i="1"/>
  <c r="AF8" i="1"/>
  <c r="AF9" i="1" s="1"/>
  <c r="AF7" i="1"/>
  <c r="DR8" i="1"/>
  <c r="DR9" i="1" s="1"/>
  <c r="DR7" i="1"/>
  <c r="AH8" i="1" l="1"/>
  <c r="AH9" i="1" s="1"/>
  <c r="AH7" i="1"/>
  <c r="EA10" i="1"/>
  <c r="EA6" i="1" s="1"/>
  <c r="R8" i="1"/>
  <c r="R9" i="1" s="1"/>
  <c r="R7" i="1"/>
  <c r="CR10" i="1"/>
  <c r="CR6" i="1" s="1"/>
  <c r="CJ7" i="1"/>
  <c r="CJ8" i="1"/>
  <c r="CJ9" i="1" s="1"/>
  <c r="CK10" i="1"/>
  <c r="CK6" i="1" s="1"/>
  <c r="S6" i="1"/>
  <c r="CT10" i="1"/>
  <c r="CT6" i="1" s="1"/>
  <c r="CT7" i="1" l="1"/>
  <c r="CT8" i="1"/>
  <c r="CT9" i="1" s="1"/>
  <c r="CY11" i="1"/>
  <c r="S8" i="1"/>
  <c r="S9" i="1" s="1"/>
  <c r="S7" i="1"/>
  <c r="CY10" i="1"/>
  <c r="CY6" i="1" s="1"/>
  <c r="CK7" i="1"/>
  <c r="CK8" i="1"/>
  <c r="CK9" i="1" s="1"/>
  <c r="CU10" i="1"/>
  <c r="CU6" i="1" s="1"/>
  <c r="CR8" i="1"/>
  <c r="CR9" i="1" s="1"/>
  <c r="CR7" i="1"/>
  <c r="EA8" i="1"/>
  <c r="EA9" i="1" s="1"/>
  <c r="EA7" i="1"/>
  <c r="CU7" i="1" l="1"/>
  <c r="CU8" i="1"/>
  <c r="CU9" i="1" s="1"/>
  <c r="CY8" i="1"/>
  <c r="CY9" i="1" s="1"/>
  <c r="CY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stietz</author>
    <author>Tietz, Steven</author>
    <author>Stietz</author>
    <author>Tietz, Steve</author>
  </authors>
  <commentList>
    <comment ref="H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Ref "Strength Weld Calculator.xlsx"</t>
        </r>
      </text>
    </comment>
    <comment ref="W6" authorId="1" shapeId="0" xr:uid="{F9485545-6C53-4D9B-BC26-546862FE5678}">
      <text>
        <r>
          <rPr>
            <sz val="9"/>
            <color indexed="81"/>
            <rFont val="Tahoma"/>
            <family val="2"/>
          </rPr>
          <t>If tubes are squeezed and you do not want this to affect tube squeeze then you will have to add half of this amount to the "min gap between div plate &amp; tube" cell below</t>
        </r>
      </text>
    </comment>
    <comment ref="X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Ref "Strength Weld Calculator.xlsx"</t>
        </r>
      </text>
    </comment>
    <comment ref="CF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this may not match "Actual" value bc 
SolidWorks wont let you pattern less than 2</t>
        </r>
      </text>
    </comment>
    <comment ref="CG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this may not match "Actual" value bc 
SolidWorks wont let you pattern less than 2</t>
        </r>
      </text>
    </comment>
    <comment ref="CL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this may not match "Actual" value bc 
SolidWorks wont let you pattern less than 2</t>
        </r>
      </text>
    </comment>
    <comment ref="CM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this may not match "Actual" value bc 
SolidWorks wont let you pattern less than 2</t>
        </r>
      </text>
    </comment>
    <comment ref="DO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this may not match "Actual" value bc 
SolidWorks wont let you pattern less than 2</t>
        </r>
      </text>
    </comment>
    <comment ref="DP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this may not match "Actual" value bc 
SolidWorks wont let you pattern less than 2</t>
        </r>
      </text>
    </comment>
    <comment ref="DU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this may not match "Actual" value bc 
SolidWorks wont let you pattern less than 2</t>
        </r>
      </text>
    </comment>
    <comment ref="DV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this may not match "Actual" value bc 
SolidWorks wont let you pattern less than 2</t>
        </r>
      </text>
    </comment>
    <comment ref="K8" authorId="2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Typically used with sections with 3 or more headers.
Override value if top front header has different row QTY than rear header. </t>
        </r>
      </text>
    </comment>
    <comment ref="AO8" authorId="2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Typically used with sections with 3 or more headers.
Override value if top front header has different row QTY than rear header. </t>
        </r>
      </text>
    </comment>
    <comment ref="AN10" authorId="3" shapeId="0" xr:uid="{00000000-0006-0000-0000-00000D000000}">
      <text/>
    </comment>
    <comment ref="AN11" authorId="3" shapeId="0" xr:uid="{00000000-0006-0000-0000-00000E000000}">
      <text/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<sst xmlns="http://schemas.openxmlformats.org/spreadsheetml/2006/main" count="888" uniqueCount="462">
  <si>
    <t/>
  </si>
  <si>
    <t>Front</t>
  </si>
  <si>
    <t>$PARENT</t>
  </si>
  <si>
    <t>Rear</t>
  </si>
  <si>
    <t>D1@FRONT or REAR HEADER</t>
  </si>
  <si>
    <t>Location@Divider Plate Sketch</t>
  </si>
  <si>
    <t>Header Length@Header Sketch</t>
  </si>
  <si>
    <t>Offset@Hole Layout</t>
  </si>
  <si>
    <t>Wrapper Span@Header Sketch</t>
  </si>
  <si>
    <t>QTY in Long Row@Tapped Hole Sketch</t>
  </si>
  <si>
    <t>_Total # of Rows_@Tapped Hole Sketch</t>
  </si>
  <si>
    <t>Tube Dia@Tapped Hole Sketch</t>
  </si>
  <si>
    <t>End Drill@Tapped Hole Sketch</t>
  </si>
  <si>
    <t>Top Drill@Tapped Hole Sketch</t>
  </si>
  <si>
    <t>_Pitch_@Tapped Hole Sketch</t>
  </si>
  <si>
    <t>3/4-16 (0.625 tube)</t>
  </si>
  <si>
    <t>7/8-14 (0.75 tube)</t>
  </si>
  <si>
    <t>1-1/8-12 (1 tube)</t>
  </si>
  <si>
    <t>1-3/8-12 (1.25 tube)</t>
  </si>
  <si>
    <t>1-5/8-12 (1.5 tube)</t>
  </si>
  <si>
    <t>HWSizes_List</t>
  </si>
  <si>
    <t>End of list</t>
  </si>
  <si>
    <t>Fin Dia@Tapped Hole Sketch</t>
  </si>
  <si>
    <t xml:space="preserve">iif ( "Tube Dia@Tapped Plug Hole Sketch" like 0.625 </t>
  </si>
  <si>
    <t xml:space="preserve"> iif ( "Tube Dia@Tapped Plug Hole Sketch" like 0.75 </t>
  </si>
  <si>
    <t xml:space="preserve"> iif ( "Tube Dia@Tapped Plug Hole Sketch" like 1 </t>
  </si>
  <si>
    <t>Fin Dia</t>
  </si>
  <si>
    <t>STD pitch</t>
  </si>
  <si>
    <t>Spot Face Dia</t>
  </si>
  <si>
    <t>End Drill for end plate &gt; 1</t>
  </si>
  <si>
    <t>End Drill for end plate &lt; = 1</t>
  </si>
  <si>
    <t>Top Drill for end plate &lt; = 1</t>
  </si>
  <si>
    <t>Top Drill for end plate &gt; 1</t>
  </si>
  <si>
    <t>End Of List</t>
  </si>
  <si>
    <t>Hole_Table</t>
  </si>
  <si>
    <t>Wrapper Thk@Header Sketch</t>
  </si>
  <si>
    <t>T&amp;P Thk@Header Sketch</t>
  </si>
  <si>
    <t>T&amp;P Span Dim@Header Sketch</t>
  </si>
  <si>
    <t>Thickness@End Plate Sketch</t>
  </si>
  <si>
    <t>Wrapper Thickness</t>
  </si>
  <si>
    <t>T&amp;P Thickness</t>
  </si>
  <si>
    <t>End Plate Thickness Sketch</t>
  </si>
  <si>
    <t>Header Length</t>
  </si>
  <si>
    <t>Tube Dia</t>
  </si>
  <si>
    <t>QTY in Long Row</t>
  </si>
  <si>
    <t>Total # of Rows</t>
  </si>
  <si>
    <t>End Drill</t>
  </si>
  <si>
    <t>Top Drill</t>
  </si>
  <si>
    <t>Pitch</t>
  </si>
  <si>
    <t>Header Box</t>
  </si>
  <si>
    <t>Vertical Pitch</t>
  </si>
  <si>
    <t>$User_Notes</t>
  </si>
  <si>
    <t>Height of all Rows</t>
  </si>
  <si>
    <t>Pattern</t>
  </si>
  <si>
    <t>QTY in Long Row {SS}</t>
  </si>
  <si>
    <t>Holes {SS} folder on/off</t>
  </si>
  <si>
    <t>Pattern {SS}</t>
  </si>
  <si>
    <t xml:space="preserve"> QTY of Long Rows</t>
  </si>
  <si>
    <t>QTY of Short Rows</t>
  </si>
  <si>
    <t>Short Row Offset@Row Dims Layout</t>
  </si>
  <si>
    <t>Row Length@Row Dims Layout</t>
  </si>
  <si>
    <t>Height of all Rows@Row Dims Layout</t>
  </si>
  <si>
    <t>Row offset</t>
  </si>
  <si>
    <t>QTY in Long Row Pattern</t>
  </si>
  <si>
    <t>QTY in Short Row Pattern</t>
  </si>
  <si>
    <t>QTY of Long Rows (Actual)</t>
  </si>
  <si>
    <t>QTY of Short Rows (Actual)</t>
  </si>
  <si>
    <t>QTY in Long Row {SS} Pattern</t>
  </si>
  <si>
    <t>QTY in Short Row {SS} Pattern</t>
  </si>
  <si>
    <t xml:space="preserve"> QTY of Long Rows {SS} Pattern</t>
  </si>
  <si>
    <t>QTY of Short Rows {SS} Pattern</t>
  </si>
  <si>
    <r>
      <t>Bottom row type
"</t>
    </r>
    <r>
      <rPr>
        <b/>
        <sz val="11"/>
        <color theme="1"/>
        <rFont val="Calibri"/>
        <family val="2"/>
        <scheme val="minor"/>
      </rPr>
      <t>Short Row</t>
    </r>
    <r>
      <rPr>
        <sz val="11"/>
        <color theme="1"/>
        <rFont val="Calibri"/>
        <family val="2"/>
        <scheme val="minor"/>
      </rPr>
      <t>" or "</t>
    </r>
    <r>
      <rPr>
        <b/>
        <sz val="11"/>
        <color theme="1"/>
        <rFont val="Calibri"/>
        <family val="2"/>
        <scheme val="minor"/>
      </rPr>
      <t>Long Row</t>
    </r>
    <r>
      <rPr>
        <sz val="11"/>
        <color theme="1"/>
        <rFont val="Calibri"/>
        <family val="2"/>
        <scheme val="minor"/>
      </rPr>
      <t>"??</t>
    </r>
  </si>
  <si>
    <t>COMB QTY in Long Row@COMB Tapped Hole Sketch</t>
  </si>
  <si>
    <t>_COMB Total # of Rows_@COMB Tapped Hole Sketch</t>
  </si>
  <si>
    <t>COMB End Drill@COMB Tapped Hole Sketch</t>
  </si>
  <si>
    <t>COMB Top Drill@COMB Tapped Hole Sketch</t>
  </si>
  <si>
    <t>_Pitch_@COMB Tapped Hole Sketch</t>
  </si>
  <si>
    <t>COMB QTY in Long Row</t>
  </si>
  <si>
    <t>COMB Total # of Rows</t>
  </si>
  <si>
    <t>COMB Fin Dia</t>
  </si>
  <si>
    <t>COMB End Drill</t>
  </si>
  <si>
    <t>COMB Top Drill</t>
  </si>
  <si>
    <t>COMB Pitch</t>
  </si>
  <si>
    <t>COMB Vertical Pitch</t>
  </si>
  <si>
    <t>COMB QTY in Long Row Pattern</t>
  </si>
  <si>
    <t>COMB QTY in Short Row Pattern</t>
  </si>
  <si>
    <t>COMB QTY of Long Rows (Actual)</t>
  </si>
  <si>
    <t>COMB QTY of Short Rows (Actual)</t>
  </si>
  <si>
    <t xml:space="preserve"> COMB QTY of Long Rows</t>
  </si>
  <si>
    <t>COMB QTY of Short Rows</t>
  </si>
  <si>
    <t>COMB QTY in Long Row {SS}</t>
  </si>
  <si>
    <t>COMB Holes {SS} folder on/off</t>
  </si>
  <si>
    <t>COMB QTY in Long Row {SS} Pattern</t>
  </si>
  <si>
    <t>COMB QTY in Short Row {SS} Pattern</t>
  </si>
  <si>
    <t xml:space="preserve"> COMB QTY of Long Rows {SS} Pattern</t>
  </si>
  <si>
    <t>COMB QTY of Short Rows {SS} Pattern</t>
  </si>
  <si>
    <r>
      <t>COMB Bottom row type
"</t>
    </r>
    <r>
      <rPr>
        <b/>
        <sz val="11"/>
        <color theme="1"/>
        <rFont val="Calibri"/>
        <family val="2"/>
        <scheme val="minor"/>
      </rPr>
      <t>Short Row</t>
    </r>
    <r>
      <rPr>
        <sz val="11"/>
        <color theme="1"/>
        <rFont val="Calibri"/>
        <family val="2"/>
        <scheme val="minor"/>
      </rPr>
      <t>" or "</t>
    </r>
    <r>
      <rPr>
        <b/>
        <sz val="11"/>
        <color theme="1"/>
        <rFont val="Calibri"/>
        <family val="2"/>
        <scheme val="minor"/>
      </rPr>
      <t>Long Row</t>
    </r>
    <r>
      <rPr>
        <sz val="11"/>
        <color theme="1"/>
        <rFont val="Calibri"/>
        <family val="2"/>
        <scheme val="minor"/>
      </rPr>
      <t>"??</t>
    </r>
  </si>
  <si>
    <t>COMB Row offset</t>
  </si>
  <si>
    <t>COMB Row Length@Row Dims Layout</t>
  </si>
  <si>
    <t>COMB Height of all Rows@Row Dims Layout</t>
  </si>
  <si>
    <t>COMB Height of all Rows</t>
  </si>
  <si>
    <t>Fin Dia@COMB Tapped Hole Sketch</t>
  </si>
  <si>
    <t>COMB Tube Dia@COMB Tapped Hole Sketch</t>
  </si>
  <si>
    <t>COMB Tube Dia</t>
  </si>
  <si>
    <t>Hole Dia.@Sketch140</t>
  </si>
  <si>
    <t>Pre drill hole Dia</t>
  </si>
  <si>
    <t>Finish Ream Dia</t>
  </si>
  <si>
    <t>PreDrill Hole Dia</t>
  </si>
  <si>
    <t>Hole Dia.@Sketch161</t>
  </si>
  <si>
    <t>COMB PreDrill Hole Dia</t>
  </si>
  <si>
    <t>Length of Bottom Long Row</t>
  </si>
  <si>
    <t>Length of Bottom Short Row</t>
  </si>
  <si>
    <t>Row Length {SS}@Row Dims Layout</t>
  </si>
  <si>
    <t>COMB Row Length {SS}@Row Dims Layout</t>
  </si>
  <si>
    <t>COMB Length of Top Row</t>
  </si>
  <si>
    <t>Thickness@Sketch1</t>
  </si>
  <si>
    <t>Divider Plate Thickness</t>
  </si>
  <si>
    <r>
      <rPr>
        <b/>
        <sz val="14"/>
        <color theme="1"/>
        <rFont val="Calibri"/>
        <family val="2"/>
        <scheme val="minor"/>
      </rPr>
      <t>Shaft Split?</t>
    </r>
    <r>
      <rPr>
        <sz val="11"/>
        <color theme="1"/>
        <rFont val="Calibri"/>
        <family val="2"/>
        <scheme val="minor"/>
      </rPr>
      <t xml:space="preserve"> (additional Length)</t>
    </r>
  </si>
  <si>
    <t>Spans &amp; Thicknesses</t>
  </si>
  <si>
    <t>Pitch to achive 0.375 min
clearance from Divider</t>
  </si>
  <si>
    <t>COMB Pitch to achive 0.375 min
clearance from Divider</t>
  </si>
  <si>
    <t>Above Lowest@BTS Layout</t>
  </si>
  <si>
    <t>Lowest@BTS Layout</t>
  </si>
  <si>
    <t>Left Possition@BTS Layout</t>
  </si>
  <si>
    <t>Right Possition@BTS Layout</t>
  </si>
  <si>
    <t>$STATE@Plate Header Option</t>
  </si>
  <si>
    <t>$STATE@Tube Header Option</t>
  </si>
  <si>
    <t>Header Type</t>
  </si>
  <si>
    <t>Option@Header Sketch</t>
  </si>
  <si>
    <t>Tube Header On/Off?</t>
  </si>
  <si>
    <t>Plate Header Option On/Off?</t>
  </si>
  <si>
    <t>$STATE@Workaround 1A</t>
  </si>
  <si>
    <t>$STATE@Workaround 1B</t>
  </si>
  <si>
    <t>Workaround 1A On/Off?</t>
  </si>
  <si>
    <t>Workaround 1B On/Off?</t>
  </si>
  <si>
    <t>BTS Location</t>
  </si>
  <si>
    <t>BTS Above Location</t>
  </si>
  <si>
    <t>BTS Above Left Possition</t>
  </si>
  <si>
    <t>BTS Above Right Possition</t>
  </si>
  <si>
    <t>Header Type Options</t>
  </si>
  <si>
    <t>Bottom Tube Support</t>
  </si>
  <si>
    <t>Width@Retarder Size</t>
  </si>
  <si>
    <t>Gauge@Retarder Size</t>
  </si>
  <si>
    <t>thk@Retarder Size</t>
  </si>
  <si>
    <t>COMB Width@COMB Retarder Size</t>
  </si>
  <si>
    <t>COMB Gauge@COMB Retarder Size</t>
  </si>
  <si>
    <t>COMB thk@COMB Retarder Size</t>
  </si>
  <si>
    <t>Retarder Width</t>
  </si>
  <si>
    <t>Retarder Thk</t>
  </si>
  <si>
    <t>Retarder Guage</t>
  </si>
  <si>
    <t>Retarder Thickness</t>
  </si>
  <si>
    <t>COMB Retarder Width</t>
  </si>
  <si>
    <t>COMB Retarder Thickness</t>
  </si>
  <si>
    <t>COMB Retarder Guage</t>
  </si>
  <si>
    <t xml:space="preserve"> Header Type Ref</t>
  </si>
  <si>
    <t>SS1@Header Sketch</t>
  </si>
  <si>
    <t>SS2@Header Sketch</t>
  </si>
  <si>
    <t>Side_Frame_Sizes_List</t>
  </si>
  <si>
    <t>C15 x 33.9</t>
  </si>
  <si>
    <t>C12 x 20.7</t>
  </si>
  <si>
    <t>C10 x 15.3</t>
  </si>
  <si>
    <t>MC12 x 10.6</t>
  </si>
  <si>
    <t>MC10 x 8.4</t>
  </si>
  <si>
    <t>Broke Channel</t>
  </si>
  <si>
    <t>End of List</t>
  </si>
  <si>
    <t>Weld Bar Top Offset</t>
  </si>
  <si>
    <t>Weld Bar Bottom Offset</t>
  </si>
  <si>
    <t>Float Bar Top Offset</t>
  </si>
  <si>
    <t>Float Bar Bottom Offset</t>
  </si>
  <si>
    <t>Side_Frame_Table</t>
  </si>
  <si>
    <t>End of Row</t>
  </si>
  <si>
    <t>Overall Dims</t>
  </si>
  <si>
    <t>Shaft Split Supports Layout</t>
  </si>
  <si>
    <t>Hole Sizes</t>
  </si>
  <si>
    <t>COMB Hole Sizes</t>
  </si>
  <si>
    <t>COMB Shaft Split Supports Layout</t>
  </si>
  <si>
    <t>Retarder Layout</t>
  </si>
  <si>
    <t>No</t>
  </si>
  <si>
    <t>Plate</t>
  </si>
  <si>
    <t>SQ Pipe</t>
  </si>
  <si>
    <t>Tube</t>
  </si>
  <si>
    <t>Header_Type_Table</t>
  </si>
  <si>
    <t>Header_Type_List</t>
  </si>
  <si>
    <t>Ref Dim</t>
  </si>
  <si>
    <t>Half Pitch@Row Dims Layout</t>
  </si>
  <si>
    <t>Half COMB Pitch@Row Dims Layout</t>
  </si>
  <si>
    <t>COMB Row offset {SS}</t>
  </si>
  <si>
    <t>COMB Short Row Offset {SS}@Row Dims Layout</t>
  </si>
  <si>
    <t>COMB Short Row Offset@Row Dims Layout</t>
  </si>
  <si>
    <t>Structural Tube Header Divider Split Option</t>
  </si>
  <si>
    <t>Gap@Weld Gaps</t>
  </si>
  <si>
    <t>Weld Gap</t>
  </si>
  <si>
    <t>$STATE@Distance29@BTS Layout</t>
  </si>
  <si>
    <t>U</t>
  </si>
  <si>
    <t>&lt;- section number</t>
  </si>
  <si>
    <t>&lt;- COMB section number</t>
  </si>
  <si>
    <t>$PRP@PartNo</t>
  </si>
  <si>
    <t>Part No</t>
  </si>
  <si>
    <t>AXC materials:SA516 70</t>
  </si>
  <si>
    <t>PreWeld1@Header Sketch</t>
  </si>
  <si>
    <t>PreWeld2@Header Sketch</t>
  </si>
  <si>
    <t>Material Type</t>
  </si>
  <si>
    <t>Parent configuration</t>
  </si>
  <si>
    <t>Front or Rear</t>
  </si>
  <si>
    <t>Hole Sketch Plane Location</t>
  </si>
  <si>
    <t>Preweld Length</t>
  </si>
  <si>
    <t>BTS Layout</t>
  </si>
  <si>
    <t>↑</t>
  </si>
  <si>
    <t>Override Forumlas with custom values if needed…
Copy of original formulas below if needed to restore standard values</t>
  </si>
  <si>
    <t>Half Tube face?</t>
  </si>
  <si>
    <t>COMB Half Tube face?</t>
  </si>
  <si>
    <t>Half Tube face {SS}?</t>
  </si>
  <si>
    <t>COMB Half Tube face {SS}?</t>
  </si>
  <si>
    <t>Override Forumla with custom value if needed…
Copy of original formula below if needed to restore standard values</t>
  </si>
  <si>
    <t>Front-Cut Length</t>
  </si>
  <si>
    <t>Rear-Cut Length</t>
  </si>
  <si>
    <t>flat@Sketch14</t>
  </si>
  <si>
    <t>Bevel Land</t>
  </si>
  <si>
    <t>Dimension "A"</t>
  </si>
  <si>
    <t>Angle to achive
Dimension "A"</t>
  </si>
  <si>
    <t>Angle2@Sketch14</t>
  </si>
  <si>
    <t>TP_Chamfer_Angle</t>
  </si>
  <si>
    <t>End Plate Offset</t>
  </si>
  <si>
    <t>S</t>
  </si>
  <si>
    <t>End Of Row</t>
  </si>
  <si>
    <t>End Plate Offset On/Off?</t>
  </si>
  <si>
    <t>$STATE@End Plate Inset Option</t>
  </si>
  <si>
    <t>$STATE@End Chamfer1</t>
  </si>
  <si>
    <t>$STATE@End Chamfer2</t>
  </si>
  <si>
    <t>End Plate Chamfer 1 On/Off?</t>
  </si>
  <si>
    <t>End Plate Chamfer 2 On/Off?</t>
  </si>
  <si>
    <t>End Plate Chamfers</t>
  </si>
  <si>
    <t>Radius@Sketch127</t>
  </si>
  <si>
    <t>Tube / Pipe Radius</t>
  </si>
  <si>
    <t>$STATE@Header Split (Tube or Pipe) Option</t>
  </si>
  <si>
    <t>$Prp@QTY_of_Long_Rows</t>
  </si>
  <si>
    <t>$Prp@QTY_of_Short_Rows</t>
  </si>
  <si>
    <t>$Prp@COMB_QTY_of_Long_Rows</t>
  </si>
  <si>
    <t>$Prp@COMB_QTY_of_Short_Rows</t>
  </si>
  <si>
    <t>Material_List</t>
  </si>
  <si>
    <t>AXC materials:SA516 70 (N)</t>
  </si>
  <si>
    <t>AXC materials:SA240 304</t>
  </si>
  <si>
    <t>AXC materials:SA240 304L</t>
  </si>
  <si>
    <t>AXC materials:SA240 316</t>
  </si>
  <si>
    <t>AXC materials:SA240 316L</t>
  </si>
  <si>
    <t>AXC materials:SA240 S31803</t>
  </si>
  <si>
    <t>AXC materials:SA516 70 (SS)</t>
  </si>
  <si>
    <t>AXC materials:304 SS</t>
  </si>
  <si>
    <t>Tube Connection Type</t>
  </si>
  <si>
    <t>Material</t>
  </si>
  <si>
    <t>D1@Chamfer Tube side Sketch</t>
  </si>
  <si>
    <t>D3@Chamfer Tube side Sketch</t>
  </si>
  <si>
    <t>Tube Hole Chamfer OD</t>
  </si>
  <si>
    <t>Front Hole Chamfer size</t>
  </si>
  <si>
    <t>Rear Hole Chamfer Size</t>
  </si>
  <si>
    <t>COMB Tube Hole Chamfer OD</t>
  </si>
  <si>
    <t>D1@COMB Chamfer Tube side Sketch</t>
  </si>
  <si>
    <t>D3@COMB Chamfer Tube side Sketch</t>
  </si>
  <si>
    <t>COMB (Right Side)
Shaft Split?</t>
  </si>
  <si>
    <t>COMB Pattern</t>
  </si>
  <si>
    <t>COMB Pattern {SS}</t>
  </si>
  <si>
    <t>Last Tube loc@Tube No</t>
  </si>
  <si>
    <t>Last@Tube No</t>
  </si>
  <si>
    <t>COMB Last Tube loc@Tube No</t>
  </si>
  <si>
    <t>COMB Last@Tube No</t>
  </si>
  <si>
    <t>$STATE@Sketch122</t>
  </si>
  <si>
    <t>$STATE@Sketch139</t>
  </si>
  <si>
    <t>End Plate Chamfer 1 Sketch On/Off?</t>
  </si>
  <si>
    <t>End Plate Chamfer 2 Sketch On/Off?</t>
  </si>
  <si>
    <t>AXC materials:ASTM A500 GR.B</t>
  </si>
  <si>
    <t>Depth@Sketch1</t>
  </si>
  <si>
    <t>Divider Plate Width</t>
  </si>
  <si>
    <t>$STATE@Header Chamfer (Tube or Pipe) Option</t>
  </si>
  <si>
    <t>Structural Tube Header Chamfer Option</t>
  </si>
  <si>
    <t>Certified Header Length
(Ref Only)</t>
  </si>
  <si>
    <t>Last Tube location</t>
  </si>
  <si>
    <t>Last Tube no</t>
  </si>
  <si>
    <t>COMB Last Tube location</t>
  </si>
  <si>
    <t>COMB Last Tube no</t>
  </si>
  <si>
    <t>ASME Code Stamp?</t>
  </si>
  <si>
    <t>$STATE@Divider Chamfer (Code only)</t>
  </si>
  <si>
    <t>Divider Chamfer (Code HDRs only)</t>
  </si>
  <si>
    <r>
      <t xml:space="preserve">T&amp;P Span </t>
    </r>
    <r>
      <rPr>
        <b/>
        <sz val="11"/>
        <color theme="1"/>
        <rFont val="Calibri"/>
        <family val="2"/>
        <scheme val="minor"/>
      </rPr>
      <t>↔</t>
    </r>
  </si>
  <si>
    <r>
      <t xml:space="preserve">Wrapper Span </t>
    </r>
    <r>
      <rPr>
        <b/>
        <sz val="11"/>
        <color theme="1"/>
        <rFont val="Calibri"/>
        <family val="2"/>
        <scheme val="minor"/>
      </rPr>
      <t>↕</t>
    </r>
  </si>
  <si>
    <t>Max tube Squeeze-&gt;</t>
  </si>
  <si>
    <t>Gap between divider &amp; left side last tube quadrant before squeeze -&gt;</t>
  </si>
  <si>
    <t>&lt;- Gap between divider &amp; right side last tube quadrant befor squeeze</t>
  </si>
  <si>
    <t>Amount to Squeeze pitch per tube (up to max) -&gt;</t>
  </si>
  <si>
    <t>&lt;- Amount to Squeeze pitch per tube (up to max)</t>
  </si>
  <si>
    <t>Length of Bottom Long Row {SS}</t>
  </si>
  <si>
    <t>Length of Bottom Short Row {SS}</t>
  </si>
  <si>
    <t>Length of Bottom Row {SS}</t>
  </si>
  <si>
    <t>Row Length Bottom {SS}@Row Dims Layout</t>
  </si>
  <si>
    <t>Shaft Split Supports Layout {SS}</t>
  </si>
  <si>
    <t>Row offset {SS}</t>
  </si>
  <si>
    <t>Short Row Offset {SS}@Row Dims Layout</t>
  </si>
  <si>
    <t>Length of Top Row {SS}</t>
  </si>
  <si>
    <t>First Hole Location of Top Row {SS}</t>
  </si>
  <si>
    <t>COMB First Hole Location of Top Row {SS}</t>
  </si>
  <si>
    <t>COMB Length of Bottom Long Row {SS}</t>
  </si>
  <si>
    <t>COMB Length of Bottom Short Row {SS}</t>
  </si>
  <si>
    <t>COMB Length of Bottom Long Row</t>
  </si>
  <si>
    <t>COMB Length of Bottom Short Row</t>
  </si>
  <si>
    <t>COMB Row Length Bottom@Row Dims Layout</t>
  </si>
  <si>
    <t>COMB Length of Bottom Row</t>
  </si>
  <si>
    <t>To be added to Gap for 0.375" min clearance -&gt;</t>
  </si>
  <si>
    <t>&lt;- To be added to Gap for 0.375" min clearance</t>
  </si>
  <si>
    <t>COMB (Right Side)
Hole Location</t>
  </si>
  <si>
    <t>COMB (Right Side)
Tube Size &amp; QTY</t>
  </si>
  <si>
    <t>(Left Side)
Hole Location</t>
  </si>
  <si>
    <t>(Left Side)
Shaft Split?</t>
  </si>
  <si>
    <t>(Left Side)
Tube Size &amp; QTY</t>
  </si>
  <si>
    <t>Divider Plate Location (Left)</t>
  </si>
  <si>
    <t>Divider Plate Location (Right)</t>
  </si>
  <si>
    <t>Config Options</t>
  </si>
  <si>
    <t>Header Options</t>
  </si>
  <si>
    <t>$Prp@COMB_QTY_in_Short_Row</t>
  </si>
  <si>
    <t>$Prp@COMB_QTY_in_Long_Row</t>
  </si>
  <si>
    <t>$Prp@QTY_in_Long_Row</t>
  </si>
  <si>
    <t>$Prp@QTY_in_Short_Row</t>
  </si>
  <si>
    <t>$Prp@QTY_in_Long_Row_{SS}</t>
  </si>
  <si>
    <t>$Prp@QTY_in_Short_Row_{SS}</t>
  </si>
  <si>
    <t>$Prp@COMB_QTY_in_Long_Row_{SS}</t>
  </si>
  <si>
    <t>$Prp@COMB_QTY_in_Short_Row_{SS}</t>
  </si>
  <si>
    <t xml:space="preserve">.
.
.
.
</t>
  </si>
  <si>
    <t>Amount to add to Half pitch -&gt;</t>
  </si>
  <si>
    <t>Amount to add to COMB Half pitch -&gt;</t>
  </si>
  <si>
    <t>Pitch Standard@Pitch Standard</t>
  </si>
  <si>
    <t>COMB Pitch Standard@Pitch Standard</t>
  </si>
  <si>
    <t>Standard pitch for Tube</t>
  </si>
  <si>
    <t>COMB Standard pitch for Tube</t>
  </si>
  <si>
    <t>AXC materials:SA106 GR.C</t>
  </si>
  <si>
    <t>Min gap between div plate &amp; tube -&gt;</t>
  </si>
  <si>
    <t>Job No</t>
  </si>
  <si>
    <t>SectionNo</t>
  </si>
  <si>
    <t>COMB SectionNo</t>
  </si>
  <si>
    <t>$PRP@SectionNo</t>
  </si>
  <si>
    <t>$PRP@COMBSectionNo</t>
  </si>
  <si>
    <t>Properties</t>
  </si>
  <si>
    <t>$PRP@JobNumber</t>
  </si>
  <si>
    <t>TP_Chamfer_Angle_SS</t>
  </si>
  <si>
    <t>stainless used to bevel land of 0.0625</t>
  </si>
  <si>
    <t>Carbon</t>
  </si>
  <si>
    <t>Material_Table</t>
  </si>
  <si>
    <t>Stainless</t>
  </si>
  <si>
    <t>$LIBRARY:MATERIAL@000000_S01c-HeaderBox</t>
  </si>
  <si>
    <t>Design Table for: 000000_S01c-HeaderBox</t>
  </si>
  <si>
    <t>$STATE@Wrapper 4 JBevel</t>
  </si>
  <si>
    <t>Plate Bevel Type</t>
  </si>
  <si>
    <t>J Bevel Move face (stretch Wrapper)
ON/OFF</t>
  </si>
  <si>
    <t>Bevel / J Bevel Data</t>
  </si>
  <si>
    <t>Bevel Angle T&amp;P</t>
  </si>
  <si>
    <t>Bevel Angle Wrapper</t>
  </si>
  <si>
    <t>Angle@Sketch14</t>
  </si>
  <si>
    <t>J Bevel Land</t>
  </si>
  <si>
    <t>JBevel_Land@Sketch14</t>
  </si>
  <si>
    <t>J Bevel Wrapper Overlap</t>
  </si>
  <si>
    <t>JBevel_Overlap@Sketch14</t>
  </si>
  <si>
    <t>J Bevel Move Face distance</t>
  </si>
  <si>
    <t>D1@Wrapper 4 JBevel</t>
  </si>
  <si>
    <t>J Bevel Wrapper Width</t>
  </si>
  <si>
    <t>Regular Wrapper Width</t>
  </si>
  <si>
    <t>$state@equal length54@Sketch11671</t>
  </si>
  <si>
    <t>$state@equal length53@Sketch11671</t>
  </si>
  <si>
    <t>Override Formulas with custom values if needed…
Copy of original formulas below if needed to restore standard values</t>
  </si>
  <si>
    <t>Material Type@Header Sketch</t>
  </si>
  <si>
    <t>Header Material Type</t>
  </si>
  <si>
    <t>Standard</t>
  </si>
  <si>
    <t>Plate NACE</t>
  </si>
  <si>
    <t>_Pitch_@COMB Tapped Hole {SS} Sketch</t>
  </si>
  <si>
    <t>COMB Pitch {SS}</t>
  </si>
  <si>
    <t>$STATE@Holes {SS} (predrill)</t>
  </si>
  <si>
    <t>$STATE@COMB Holes {SS} (predrill)</t>
  </si>
  <si>
    <t>COMB QTY in Long Row {SS}@COMB Tapped Hole {SS} Sketch</t>
  </si>
  <si>
    <t>COMB Additional Tubes {SS}@COMB Tapped Hole {SS} Sketch</t>
  </si>
  <si>
    <t>COMB Half Pitch@COMB Tapped Hole {SS} Sketch</t>
  </si>
  <si>
    <t>QTY in Long Row {SS}@Tapped Hole {SS} Sketch</t>
  </si>
  <si>
    <t>Additional Tubes {SS}@Tapped Hole {SS} Sketch</t>
  </si>
  <si>
    <t>Half Pitch@Tapped Hole {SS} Sketch</t>
  </si>
  <si>
    <t>_Pitch_@Tapped Hole {SS} Sketch</t>
  </si>
  <si>
    <t>Pitch {SS}</t>
  </si>
  <si>
    <t>Extra width clearance for End Plates</t>
  </si>
  <si>
    <t>Extra width clearance for Pass Plates</t>
  </si>
  <si>
    <t>Side Offset@End Plate Sketch</t>
  </si>
  <si>
    <t>Gap@Pass Plate Width layout Sketch</t>
  </si>
  <si>
    <t>For exact QTY temporaily unsuppress "Hole QTY Check" folder and ref surface QTY</t>
  </si>
  <si>
    <t>Estimated LEFT Tube QTY =</t>
  </si>
  <si>
    <t>Estimated TOTAL Tube QTY =</t>
  </si>
  <si>
    <t>Estimated RIGHT Tube QTY =</t>
  </si>
  <si>
    <t>BEA fx</t>
  </si>
  <si>
    <t>T&amp;P Chamfers</t>
  </si>
  <si>
    <t>Inner Wrapper Chamfers</t>
  </si>
  <si>
    <t>Wrapper Machining</t>
  </si>
  <si>
    <t>$STATE@Chamfers</t>
  </si>
  <si>
    <t>$STATE@Inner Chamfers</t>
  </si>
  <si>
    <t>$STATE@Wrapper Machining</t>
  </si>
  <si>
    <t>BEA fx Change fx to "U", "S" when we understand Beasley chamfers</t>
  </si>
  <si>
    <t>Chamfer angle around End Plate on SIDES
( inside of Tube and Plug plates )</t>
  </si>
  <si>
    <t>Chamfer angle around End Plate on TOP
( inside of Wrapper )</t>
  </si>
  <si>
    <t>Angle2@Sketch139</t>
  </si>
  <si>
    <t>Angle2@Sketch122</t>
  </si>
  <si>
    <t>TPW_Cham_Ang_at_EndPlate</t>
  </si>
  <si>
    <t>End Plate Thk</t>
  </si>
  <si>
    <t>Angle 'b"</t>
  </si>
  <si>
    <t>Hudson MFG method rules</t>
  </si>
  <si>
    <t>Extra Header Plate Length
for Beasely manufacturing?</t>
  </si>
  <si>
    <t>$STATE@Holes (predrill)</t>
  </si>
  <si>
    <t>$STATE@Plug Hole</t>
  </si>
  <si>
    <t>Tube and Plug Predrill Holes Folder On/Off</t>
  </si>
  <si>
    <t>Hole Predrill</t>
  </si>
  <si>
    <t>$STATE@COMB Holes (predrill)</t>
  </si>
  <si>
    <t>$STATE@COMB Plug Hole</t>
  </si>
  <si>
    <t>COMB T&amp;P Predrill Holes Folder On/Off</t>
  </si>
  <si>
    <t>COMB Hole Predrill</t>
  </si>
  <si>
    <t>Header Hold Down Holes On / Off</t>
  </si>
  <si>
    <t>$STATE@Hold Down Holes</t>
  </si>
  <si>
    <t>Regular</t>
  </si>
  <si>
    <t>End Plate Radius</t>
  </si>
  <si>
    <t>$STATE@End Radius</t>
  </si>
  <si>
    <t>End to End Header Remove Plates On / Off</t>
  </si>
  <si>
    <t>$STATE@Remove Plates</t>
  </si>
  <si>
    <t>0.75 High Fin</t>
  </si>
  <si>
    <t>**installed high fin Dia is 0.1875 taller than regular fin</t>
  </si>
  <si>
    <t>Tube_Size_List</t>
  </si>
  <si>
    <t>COMB Tube Size</t>
  </si>
  <si>
    <t>Tube Size</t>
  </si>
  <si>
    <t>Raw Fin Strip Width</t>
  </si>
  <si>
    <t>Structural_Tube_Size_Table</t>
  </si>
  <si>
    <t>Structural_Tube_Size_List</t>
  </si>
  <si>
    <t>V_leg@Sketch1</t>
  </si>
  <si>
    <t>H_leg@Sketch1</t>
  </si>
  <si>
    <t>D1@Sketch1 (radius)</t>
  </si>
  <si>
    <t>V_Leg _Unique_List</t>
  </si>
  <si>
    <t>H_Leg _Unique_List</t>
  </si>
  <si>
    <t>Thk _Unique_List</t>
  </si>
  <si>
    <t>Section Number</t>
  </si>
  <si>
    <t>COMB Section Number</t>
  </si>
  <si>
    <t>$PRP@COMBSectionNumber</t>
  </si>
  <si>
    <t>$PRP@SectionNumber</t>
  </si>
  <si>
    <t>Section Numbers Merged</t>
  </si>
  <si>
    <t>Type</t>
  </si>
  <si>
    <t>$PRP@TYPE</t>
  </si>
  <si>
    <t>Used On</t>
  </si>
  <si>
    <t>$PRP@USED ON</t>
  </si>
  <si>
    <t>Add'l hdr Length</t>
  </si>
  <si>
    <r>
      <t xml:space="preserve">Add'l Plate Length @ Divider
</t>
    </r>
    <r>
      <rPr>
        <sz val="14"/>
        <color theme="1"/>
        <rFont val="Calibri"/>
        <family val="2"/>
        <scheme val="minor"/>
      </rPr>
      <t>(half added to each header</t>
    </r>
    <r>
      <rPr>
        <b/>
        <sz val="16"/>
        <color theme="1"/>
        <rFont val="Calibri"/>
        <family val="2"/>
        <scheme val="minor"/>
      </rPr>
      <t>)</t>
    </r>
  </si>
  <si>
    <t>Manual
↓Adj Cells Below↓
In Row 10</t>
  </si>
  <si>
    <r>
      <rPr>
        <b/>
        <sz val="12"/>
        <color theme="1"/>
        <rFont val="Calibri"/>
        <family val="2"/>
        <scheme val="minor"/>
      </rPr>
      <t>SSS After Tube</t>
    </r>
    <r>
      <rPr>
        <sz val="9"/>
        <color theme="1"/>
        <rFont val="Calibri"/>
        <family val="2"/>
        <scheme val="minor"/>
      </rPr>
      <t xml:space="preserve">
(Bottom row, from left) 
Air seal panel &amp; Shaft Split Support in SF</t>
    </r>
  </si>
  <si>
    <r>
      <rPr>
        <b/>
        <sz val="12"/>
        <color theme="1"/>
        <rFont val="Calibri"/>
        <family val="2"/>
        <scheme val="minor"/>
      </rPr>
      <t>SSS After Tube {SS}</t>
    </r>
    <r>
      <rPr>
        <sz val="9"/>
        <color theme="1"/>
        <rFont val="Calibri"/>
        <family val="2"/>
        <scheme val="minor"/>
      </rPr>
      <t xml:space="preserve">
(Bottom row, from right) 
Air seal panel &amp; Shaft Split Support in SF</t>
    </r>
  </si>
  <si>
    <t>↑ Manual ↑
 Adjustment Cells</t>
  </si>
  <si>
    <t>Fan Shaft Angle</t>
  </si>
  <si>
    <t>Short Leg of Fan Shaft Angle Triangle
at bottom row Trig</t>
  </si>
  <si>
    <t>COMB Short Leg of Fan Shaft Angle Triangle
at bottom row Trig</t>
  </si>
  <si>
    <t xml:space="preserve">Additional Tubes {SS} Estimated </t>
  </si>
  <si>
    <t>Change these cells w/ pos or neg value to adjust the location of the Shaft Split supports and the Air shaft panels after nth tube hole .
Ref "Row Dims Sketch"</t>
  </si>
  <si>
    <t>SSS Locator
(Length of Bottom Row)</t>
  </si>
  <si>
    <t>SSS Locator
COMB Length of Bottom Row {SS}</t>
  </si>
  <si>
    <t>Additional Tubes {SS}</t>
  </si>
  <si>
    <t>COMB Additional Tubes {SS}</t>
  </si>
  <si>
    <r>
      <rPr>
        <b/>
        <sz val="12"/>
        <color theme="1"/>
        <rFont val="Calibri"/>
        <family val="2"/>
        <scheme val="minor"/>
      </rPr>
      <t>COMB SSS After Tube</t>
    </r>
    <r>
      <rPr>
        <sz val="9"/>
        <color theme="1"/>
        <rFont val="Calibri"/>
        <family val="2"/>
        <scheme val="minor"/>
      </rPr>
      <t xml:space="preserve">
(Bottom row, from right) 
Air seal panel &amp; Shaft Split Support in SF</t>
    </r>
  </si>
  <si>
    <r>
      <rPr>
        <b/>
        <sz val="12"/>
        <color theme="1"/>
        <rFont val="Calibri"/>
        <family val="2"/>
        <scheme val="minor"/>
      </rPr>
      <t>COMB SSS After Tube {SS}</t>
    </r>
    <r>
      <rPr>
        <sz val="9"/>
        <color theme="1"/>
        <rFont val="Calibri"/>
        <family val="2"/>
        <scheme val="minor"/>
      </rPr>
      <t xml:space="preserve">
(Bottom row, from left) 
Air seal panel &amp; Shaft Split Support in SF</t>
    </r>
  </si>
  <si>
    <t>no longer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</si>
</sst>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sz val="16"/>
      <color theme="1"/>
      <name val="Calibri"/>
      <family val="2"/>
      <scheme val="minor"/>
    </font>
    <font>
      <b/>
      <sz val="16"/>
      <color theme="0" tint="-0.3499862666707357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8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9" tint="0.39997558519241921"/>
      <name val="Calibri"/>
      <family val="2"/>
    </font>
    <font>
      <b/>
      <sz val="10"/>
      <color theme="9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sz val="8"/>
      <color rgb="FFD6A300"/>
      <name val="Calibri"/>
      <family val="2"/>
      <scheme val="minor"/>
    </font>
    <font>
      <b/>
      <sz val="11"/>
      <color rgb="FFD6A300"/>
      <name val="Calibri"/>
      <family val="2"/>
    </font>
    <font>
      <sz val="9"/>
      <color theme="1"/>
      <name val="Calibri"/>
      <family val="2"/>
      <scheme val="minor"/>
    </font>
    <font>
      <b/>
      <sz val="9"/>
      <color rgb="FFD6A3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 style="thin">
        <color auto="1"/>
      </top>
      <bottom style="thin">
        <color indexed="64"/>
      </bottom>
      <diagonal/>
    </border>
    <border>
      <left style="thick">
        <color indexed="64"/>
      </left>
      <right/>
      <top style="thin">
        <color auto="1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indexed="64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indexed="64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 style="medium">
        <color auto="1"/>
      </left>
      <right/>
      <top style="thick">
        <color auto="1"/>
      </top>
      <bottom style="thin">
        <color indexed="64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Dashed">
        <color auto="1"/>
      </right>
      <top/>
      <bottom style="thin">
        <color indexed="64"/>
      </bottom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 style="thin">
        <color indexed="64"/>
      </top>
      <bottom/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 style="thick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7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textRotation="90" wrapText="1"/>
    </xf>
    <xf numFmtId="49" fontId="0" fillId="0" borderId="0" xfId="0" applyNumberFormat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4" borderId="0" xfId="0" applyFill="1"/>
    <xf numFmtId="0" fontId="0" fillId="4" borderId="0" xfId="0" applyFill="1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0" fillId="0" borderId="2" xfId="0" applyBorder="1" applyAlignment="1">
      <alignment horizontal="center" textRotation="90"/>
    </xf>
    <xf numFmtId="0" fontId="0" fillId="0" borderId="2" xfId="0" applyBorder="1"/>
    <xf numFmtId="0" fontId="0" fillId="0" borderId="1" xfId="0" applyBorder="1"/>
    <xf numFmtId="49" fontId="0" fillId="0" borderId="1" xfId="0" applyNumberFormat="1" applyBorder="1" applyAlignment="1">
      <alignment textRotation="90" wrapText="1"/>
    </xf>
    <xf numFmtId="49" fontId="0" fillId="0" borderId="2" xfId="0" applyNumberFormat="1" applyBorder="1" applyAlignment="1">
      <alignment textRotation="90" wrapText="1"/>
    </xf>
    <xf numFmtId="49" fontId="0" fillId="0" borderId="3" xfId="0" applyNumberFormat="1" applyBorder="1" applyAlignment="1">
      <alignment textRotation="90" wrapText="1"/>
    </xf>
    <xf numFmtId="0" fontId="0" fillId="0" borderId="4" xfId="0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0" fillId="0" borderId="3" xfId="0" applyBorder="1" applyAlignment="1">
      <alignment horizontal="center" textRotation="90"/>
    </xf>
    <xf numFmtId="0" fontId="0" fillId="0" borderId="3" xfId="0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7" xfId="0" applyFont="1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5" borderId="3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7" xfId="0" applyBorder="1"/>
    <xf numFmtId="0" fontId="0" fillId="0" borderId="0" xfId="0" applyAlignment="1">
      <alignment wrapText="1"/>
    </xf>
    <xf numFmtId="0" fontId="9" fillId="0" borderId="0" xfId="0" applyFont="1" applyAlignment="1">
      <alignment vertical="center"/>
    </xf>
    <xf numFmtId="49" fontId="3" fillId="0" borderId="7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49" fontId="0" fillId="0" borderId="0" xfId="0" applyNumberFormat="1" applyAlignment="1">
      <alignment horizontal="center" textRotation="90" wrapText="1"/>
    </xf>
    <xf numFmtId="0" fontId="0" fillId="0" borderId="0" xfId="0" applyAlignment="1">
      <alignment textRotation="90" wrapText="1"/>
    </xf>
    <xf numFmtId="0" fontId="7" fillId="0" borderId="1" xfId="0" applyFont="1" applyBorder="1" applyAlignment="1">
      <alignment horizontal="center" textRotation="90"/>
    </xf>
    <xf numFmtId="0" fontId="7" fillId="0" borderId="0" xfId="0" applyFont="1" applyAlignment="1">
      <alignment horizontal="center" textRotation="90"/>
    </xf>
    <xf numFmtId="0" fontId="7" fillId="0" borderId="2" xfId="0" applyFont="1" applyBorder="1" applyAlignment="1">
      <alignment horizontal="center" textRotation="90"/>
    </xf>
    <xf numFmtId="0" fontId="8" fillId="0" borderId="15" xfId="0" applyFont="1" applyBorder="1" applyAlignment="1">
      <alignment horizontal="center" vertical="center"/>
    </xf>
    <xf numFmtId="0" fontId="0" fillId="5" borderId="21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49" fontId="0" fillId="5" borderId="21" xfId="0" applyNumberFormat="1" applyFill="1" applyBorder="1" applyAlignment="1">
      <alignment horizontal="center"/>
    </xf>
    <xf numFmtId="49" fontId="0" fillId="5" borderId="23" xfId="0" applyNumberFormat="1" applyFill="1" applyBorder="1" applyAlignment="1">
      <alignment horizontal="center"/>
    </xf>
    <xf numFmtId="49" fontId="0" fillId="0" borderId="16" xfId="0" applyNumberFormat="1" applyBorder="1"/>
    <xf numFmtId="49" fontId="0" fillId="0" borderId="16" xfId="0" applyNumberForma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49" fontId="0" fillId="2" borderId="16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0" fillId="2" borderId="17" xfId="0" applyNumberFormat="1" applyFill="1" applyBorder="1" applyAlignment="1">
      <alignment horizontal="center"/>
    </xf>
    <xf numFmtId="0" fontId="0" fillId="4" borderId="16" xfId="0" applyFill="1" applyBorder="1"/>
    <xf numFmtId="0" fontId="0" fillId="0" borderId="16" xfId="0" applyBorder="1"/>
    <xf numFmtId="49" fontId="0" fillId="0" borderId="22" xfId="0" applyNumberFormat="1" applyBorder="1" applyAlignment="1">
      <alignment horizontal="center" textRotation="90"/>
    </xf>
    <xf numFmtId="0" fontId="0" fillId="0" borderId="14" xfId="0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8" fillId="0" borderId="14" xfId="0" applyFont="1" applyBorder="1" applyAlignment="1">
      <alignment horizontal="center" vertical="center"/>
    </xf>
    <xf numFmtId="0" fontId="0" fillId="0" borderId="25" xfId="0" applyBorder="1" applyAlignment="1">
      <alignment horizontal="center" textRotation="90"/>
    </xf>
    <xf numFmtId="49" fontId="0" fillId="0" borderId="21" xfId="0" applyNumberFormat="1" applyBorder="1" applyAlignment="1">
      <alignment horizontal="center" textRotation="90"/>
    </xf>
    <xf numFmtId="49" fontId="0" fillId="0" borderId="24" xfId="0" applyNumberFormat="1" applyBorder="1" applyAlignment="1">
      <alignment horizontal="center" textRotation="90"/>
    </xf>
    <xf numFmtId="49" fontId="0" fillId="0" borderId="25" xfId="0" applyNumberFormat="1" applyBorder="1" applyAlignment="1">
      <alignment horizontal="center" textRotation="90"/>
    </xf>
    <xf numFmtId="49" fontId="7" fillId="0" borderId="25" xfId="0" applyNumberFormat="1" applyFont="1" applyBorder="1" applyAlignment="1">
      <alignment horizontal="center" textRotation="90"/>
    </xf>
    <xf numFmtId="49" fontId="7" fillId="0" borderId="21" xfId="0" applyNumberFormat="1" applyFont="1" applyBorder="1" applyAlignment="1">
      <alignment horizontal="center" textRotation="90"/>
    </xf>
    <xf numFmtId="49" fontId="7" fillId="0" borderId="24" xfId="0" applyNumberFormat="1" applyFont="1" applyBorder="1" applyAlignment="1">
      <alignment horizontal="center" textRotation="90"/>
    </xf>
    <xf numFmtId="49" fontId="10" fillId="0" borderId="21" xfId="0" applyNumberFormat="1" applyFont="1" applyBorder="1" applyAlignment="1">
      <alignment horizontal="center" textRotation="90"/>
    </xf>
    <xf numFmtId="49" fontId="0" fillId="0" borderId="24" xfId="0" applyNumberFormat="1" applyBorder="1" applyAlignment="1">
      <alignment horizontal="center" textRotation="90" wrapText="1"/>
    </xf>
    <xf numFmtId="49" fontId="0" fillId="0" borderId="23" xfId="0" applyNumberFormat="1" applyBorder="1" applyAlignment="1">
      <alignment horizontal="center" textRotation="90"/>
    </xf>
    <xf numFmtId="49" fontId="0" fillId="0" borderId="21" xfId="0" applyNumberFormat="1" applyBorder="1" applyAlignment="1">
      <alignment horizontal="center" textRotation="90" wrapText="1"/>
    </xf>
    <xf numFmtId="0" fontId="0" fillId="0" borderId="22" xfId="0" applyBorder="1" applyAlignment="1">
      <alignment horizontal="center" textRotation="90"/>
    </xf>
    <xf numFmtId="0" fontId="0" fillId="0" borderId="21" xfId="0" applyBorder="1" applyAlignment="1">
      <alignment horizontal="center" textRotation="90"/>
    </xf>
    <xf numFmtId="49" fontId="0" fillId="4" borderId="21" xfId="0" applyNumberFormat="1" applyFill="1" applyBorder="1" applyAlignment="1">
      <alignment horizontal="center" textRotation="90" wrapText="1"/>
    </xf>
    <xf numFmtId="49" fontId="0" fillId="0" borderId="26" xfId="0" applyNumberFormat="1" applyBorder="1" applyAlignment="1">
      <alignment horizontal="center" textRotation="90"/>
    </xf>
    <xf numFmtId="49" fontId="0" fillId="0" borderId="27" xfId="0" applyNumberFormat="1" applyBorder="1" applyAlignment="1">
      <alignment horizontal="center" textRotation="90"/>
    </xf>
    <xf numFmtId="0" fontId="0" fillId="0" borderId="26" xfId="0" applyBorder="1" applyAlignment="1">
      <alignment horizontal="center" textRotation="90"/>
    </xf>
    <xf numFmtId="0" fontId="0" fillId="0" borderId="23" xfId="0" applyBorder="1" applyAlignment="1">
      <alignment horizontal="center" textRotation="90"/>
    </xf>
    <xf numFmtId="49" fontId="0" fillId="0" borderId="31" xfId="0" applyNumberForma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6" borderId="33" xfId="0" applyFill="1" applyBorder="1" applyAlignment="1">
      <alignment vertical="center"/>
    </xf>
    <xf numFmtId="49" fontId="0" fillId="6" borderId="3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49" fontId="0" fillId="0" borderId="16" xfId="0" applyNumberFormat="1" applyBorder="1" applyAlignment="1">
      <alignment textRotation="90" wrapText="1"/>
    </xf>
    <xf numFmtId="49" fontId="0" fillId="4" borderId="0" xfId="0" applyNumberFormat="1" applyFill="1" applyAlignment="1">
      <alignment textRotation="90" wrapText="1"/>
    </xf>
    <xf numFmtId="49" fontId="0" fillId="0" borderId="0" xfId="0" applyNumberFormat="1" applyAlignment="1">
      <alignment horizontal="center" vertical="center"/>
    </xf>
    <xf numFmtId="49" fontId="0" fillId="8" borderId="0" xfId="0" applyNumberFormat="1" applyFill="1" applyAlignment="1">
      <alignment horizontal="left"/>
    </xf>
    <xf numFmtId="0" fontId="0" fillId="8" borderId="0" xfId="0" applyFill="1"/>
    <xf numFmtId="49" fontId="0" fillId="8" borderId="0" xfId="0" applyNumberFormat="1" applyFill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textRotation="90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 textRotation="90" wrapText="1"/>
    </xf>
    <xf numFmtId="0" fontId="0" fillId="2" borderId="1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49" fontId="12" fillId="0" borderId="0" xfId="0" applyNumberFormat="1" applyFont="1" applyAlignment="1">
      <alignment wrapText="1"/>
    </xf>
    <xf numFmtId="0" fontId="13" fillId="9" borderId="0" xfId="0" applyFont="1" applyFill="1" applyAlignment="1">
      <alignment horizontal="center"/>
    </xf>
    <xf numFmtId="49" fontId="12" fillId="8" borderId="0" xfId="0" applyNumberFormat="1" applyFont="1" applyFill="1"/>
    <xf numFmtId="0" fontId="12" fillId="8" borderId="0" xfId="0" applyFont="1" applyFill="1"/>
    <xf numFmtId="0" fontId="12" fillId="8" borderId="0" xfId="0" applyFont="1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0" fillId="0" borderId="0" xfId="0" applyAlignment="1">
      <alignment vertical="top"/>
    </xf>
    <xf numFmtId="0" fontId="0" fillId="5" borderId="0" xfId="0" applyFill="1" applyAlignment="1">
      <alignment horizontal="center" vertical="top"/>
    </xf>
    <xf numFmtId="49" fontId="0" fillId="0" borderId="37" xfId="0" applyNumberFormat="1" applyBorder="1" applyAlignment="1">
      <alignment horizontal="center" textRotation="90"/>
    </xf>
    <xf numFmtId="0" fontId="0" fillId="0" borderId="39" xfId="0" applyBorder="1" applyAlignment="1">
      <alignment horizontal="center" textRotation="90"/>
    </xf>
    <xf numFmtId="0" fontId="0" fillId="0" borderId="38" xfId="0" applyBorder="1" applyAlignment="1">
      <alignment horizontal="center" textRotation="90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8" fillId="0" borderId="1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8" xfId="0" applyFont="1" applyBorder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top"/>
    </xf>
    <xf numFmtId="0" fontId="1" fillId="8" borderId="0" xfId="0" applyFont="1" applyFill="1" applyAlignment="1">
      <alignment vertical="center"/>
    </xf>
    <xf numFmtId="0" fontId="4" fillId="8" borderId="0" xfId="0" applyFont="1" applyFill="1" applyAlignment="1">
      <alignment horizontal="center" vertical="center"/>
    </xf>
    <xf numFmtId="0" fontId="5" fillId="8" borderId="36" xfId="0" applyFont="1" applyFill="1" applyBorder="1" applyAlignment="1">
      <alignment vertical="center"/>
    </xf>
    <xf numFmtId="49" fontId="4" fillId="8" borderId="0" xfId="0" applyNumberFormat="1" applyFont="1" applyFill="1" applyAlignment="1">
      <alignment horizontal="center" vertical="center"/>
    </xf>
    <xf numFmtId="0" fontId="0" fillId="8" borderId="36" xfId="0" applyFill="1" applyBorder="1" applyAlignment="1">
      <alignment horizontal="left" vertical="center"/>
    </xf>
    <xf numFmtId="49" fontId="0" fillId="10" borderId="0" xfId="0" applyNumberFormat="1" applyFill="1" applyAlignment="1">
      <alignment horizontal="center" textRotation="90"/>
    </xf>
    <xf numFmtId="49" fontId="0" fillId="10" borderId="21" xfId="0" applyNumberFormat="1" applyFill="1" applyBorder="1" applyAlignment="1">
      <alignment horizontal="center" textRotation="90"/>
    </xf>
    <xf numFmtId="49" fontId="0" fillId="10" borderId="0" xfId="0" applyNumberFormat="1" applyFill="1"/>
    <xf numFmtId="0" fontId="0" fillId="10" borderId="0" xfId="0" applyFill="1" applyAlignment="1">
      <alignment horizontal="center" textRotation="90"/>
    </xf>
    <xf numFmtId="0" fontId="0" fillId="10" borderId="0" xfId="0" applyFill="1"/>
    <xf numFmtId="0" fontId="0" fillId="10" borderId="21" xfId="0" applyFill="1" applyBorder="1" applyAlignment="1">
      <alignment horizontal="center" textRotation="90"/>
    </xf>
    <xf numFmtId="49" fontId="0" fillId="0" borderId="0" xfId="0" applyNumberFormat="1" applyAlignment="1">
      <alignment vertical="center"/>
    </xf>
    <xf numFmtId="0" fontId="0" fillId="7" borderId="0" xfId="0" applyFill="1" applyAlignment="1">
      <alignment horizontal="center"/>
    </xf>
    <xf numFmtId="0" fontId="0" fillId="0" borderId="11" xfId="0" applyBorder="1"/>
    <xf numFmtId="0" fontId="0" fillId="0" borderId="12" xfId="0" applyBorder="1"/>
    <xf numFmtId="0" fontId="10" fillId="0" borderId="31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16" fillId="0" borderId="0" xfId="0" applyFont="1" applyAlignment="1">
      <alignment vertical="top" wrapText="1"/>
    </xf>
    <xf numFmtId="0" fontId="0" fillId="6" borderId="31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textRotation="90"/>
    </xf>
    <xf numFmtId="0" fontId="0" fillId="0" borderId="37" xfId="0" applyBorder="1" applyAlignment="1">
      <alignment horizontal="center" textRotation="90"/>
    </xf>
    <xf numFmtId="0" fontId="0" fillId="7" borderId="21" xfId="0" applyFill="1" applyBorder="1" applyAlignment="1">
      <alignment horizontal="center"/>
    </xf>
    <xf numFmtId="0" fontId="23" fillId="0" borderId="16" xfId="0" applyFont="1" applyBorder="1" applyAlignment="1">
      <alignment horizontal="center"/>
    </xf>
    <xf numFmtId="49" fontId="0" fillId="0" borderId="40" xfId="0" applyNumberFormat="1" applyBorder="1" applyAlignment="1">
      <alignment horizontal="center" textRotation="90"/>
    </xf>
    <xf numFmtId="49" fontId="0" fillId="2" borderId="18" xfId="0" applyNumberFormat="1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20" fillId="7" borderId="0" xfId="0" applyFont="1" applyFill="1" applyAlignment="1">
      <alignment horizontal="center"/>
    </xf>
    <xf numFmtId="0" fontId="0" fillId="10" borderId="38" xfId="0" applyFill="1" applyBorder="1" applyAlignment="1">
      <alignment horizontal="center" textRotation="90" wrapText="1"/>
    </xf>
    <xf numFmtId="0" fontId="0" fillId="7" borderId="7" xfId="0" applyFill="1" applyBorder="1"/>
    <xf numFmtId="0" fontId="0" fillId="3" borderId="7" xfId="0" applyFill="1" applyBorder="1"/>
    <xf numFmtId="0" fontId="0" fillId="5" borderId="7" xfId="0" applyFill="1" applyBorder="1"/>
    <xf numFmtId="0" fontId="0" fillId="0" borderId="0" xfId="0" applyAlignment="1">
      <alignment horizontal="center" wrapText="1"/>
    </xf>
    <xf numFmtId="0" fontId="0" fillId="4" borderId="7" xfId="0" applyFill="1" applyBorder="1"/>
    <xf numFmtId="0" fontId="0" fillId="4" borderId="7" xfId="0" quotePrefix="1" applyFill="1" applyBorder="1"/>
    <xf numFmtId="0" fontId="0" fillId="0" borderId="7" xfId="0" quotePrefix="1" applyBorder="1"/>
    <xf numFmtId="49" fontId="0" fillId="0" borderId="7" xfId="0" applyNumberFormat="1" applyBorder="1"/>
    <xf numFmtId="0" fontId="20" fillId="8" borderId="0" xfId="0" applyFont="1" applyFill="1" applyAlignment="1">
      <alignment horizontal="left" vertical="center"/>
    </xf>
    <xf numFmtId="0" fontId="13" fillId="9" borderId="16" xfId="0" applyFont="1" applyFill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0" fillId="0" borderId="31" xfId="0" applyBorder="1" applyAlignment="1">
      <alignment vertical="center"/>
    </xf>
    <xf numFmtId="49" fontId="7" fillId="0" borderId="21" xfId="0" applyNumberFormat="1" applyFont="1" applyBorder="1" applyAlignment="1">
      <alignment horizontal="center" textRotation="90" wrapText="1"/>
    </xf>
    <xf numFmtId="0" fontId="18" fillId="0" borderId="0" xfId="0" applyFont="1" applyAlignment="1">
      <alignment horizontal="center"/>
    </xf>
    <xf numFmtId="49" fontId="19" fillId="0" borderId="0" xfId="0" applyNumberFormat="1" applyFont="1" applyAlignment="1">
      <alignment horizontal="center" vertical="center" wrapText="1"/>
    </xf>
    <xf numFmtId="0" fontId="0" fillId="0" borderId="14" xfId="0" applyBorder="1"/>
    <xf numFmtId="0" fontId="0" fillId="5" borderId="41" xfId="0" applyFill="1" applyBorder="1" applyAlignment="1">
      <alignment horizontal="center"/>
    </xf>
    <xf numFmtId="49" fontId="0" fillId="0" borderId="42" xfId="0" applyNumberFormat="1" applyBorder="1" applyAlignment="1">
      <alignment horizontal="center" textRotation="90"/>
    </xf>
    <xf numFmtId="0" fontId="0" fillId="0" borderId="43" xfId="0" applyBorder="1" applyAlignment="1">
      <alignment horizontal="center" textRotation="90"/>
    </xf>
    <xf numFmtId="0" fontId="5" fillId="0" borderId="45" xfId="0" applyFont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20" fillId="8" borderId="0" xfId="0" applyFont="1" applyFill="1" applyAlignment="1">
      <alignment vertical="center"/>
    </xf>
    <xf numFmtId="49" fontId="0" fillId="0" borderId="48" xfId="0" applyNumberFormat="1" applyBorder="1" applyAlignment="1">
      <alignment horizontal="center" textRotation="90" wrapText="1"/>
    </xf>
    <xf numFmtId="49" fontId="0" fillId="0" borderId="46" xfId="0" applyNumberFormat="1" applyBorder="1" applyAlignment="1">
      <alignment horizontal="center" textRotation="90" wrapText="1"/>
    </xf>
    <xf numFmtId="0" fontId="0" fillId="0" borderId="44" xfId="0" applyBorder="1" applyAlignment="1">
      <alignment horizontal="center" textRotation="90"/>
    </xf>
    <xf numFmtId="0" fontId="0" fillId="0" borderId="47" xfId="0" applyBorder="1" applyAlignment="1">
      <alignment horizontal="center" vertical="center"/>
    </xf>
    <xf numFmtId="0" fontId="0" fillId="5" borderId="44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 vertical="top"/>
    </xf>
    <xf numFmtId="49" fontId="14" fillId="0" borderId="37" xfId="0" applyNumberFormat="1" applyFont="1" applyBorder="1" applyAlignment="1">
      <alignment horizontal="center" textRotation="90"/>
    </xf>
    <xf numFmtId="0" fontId="0" fillId="7" borderId="6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49" fontId="0" fillId="0" borderId="37" xfId="0" applyNumberFormat="1" applyBorder="1" applyAlignment="1">
      <alignment horizontal="center" textRotation="90" wrapText="1"/>
    </xf>
    <xf numFmtId="0" fontId="0" fillId="0" borderId="13" xfId="0" applyBorder="1" applyAlignment="1">
      <alignment horizontal="center" vertical="center"/>
    </xf>
    <xf numFmtId="0" fontId="18" fillId="0" borderId="5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24" fillId="8" borderId="36" xfId="0" applyFont="1" applyFill="1" applyBorder="1" applyAlignment="1">
      <alignment horizontal="center"/>
    </xf>
    <xf numFmtId="0" fontId="1" fillId="8" borderId="36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top" wrapText="1"/>
    </xf>
    <xf numFmtId="0" fontId="29" fillId="0" borderId="49" xfId="0" applyFont="1" applyBorder="1" applyAlignment="1">
      <alignment horizontal="center" vertical="top" wrapText="1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6" borderId="30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horizontal="center" vertical="center" wrapText="1"/>
    </xf>
    <xf numFmtId="49" fontId="19" fillId="0" borderId="9" xfId="0" applyNumberFormat="1" applyFont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top" wrapText="1"/>
    </xf>
    <xf numFmtId="0" fontId="27" fillId="0" borderId="15" xfId="0" applyFont="1" applyBorder="1" applyAlignment="1">
      <alignment horizontal="center" vertical="top"/>
    </xf>
    <xf numFmtId="0" fontId="15" fillId="0" borderId="16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0" fontId="20" fillId="8" borderId="0" xfId="0" applyFont="1" applyFill="1" applyAlignment="1">
      <alignment horizontal="center" vertical="center"/>
    </xf>
    <xf numFmtId="0" fontId="21" fillId="8" borderId="36" xfId="0" applyFont="1" applyFill="1" applyBorder="1" applyAlignment="1">
      <alignment horizontal="right" vertical="center"/>
    </xf>
    <xf numFmtId="0" fontId="4" fillId="8" borderId="36" xfId="0" applyFont="1" applyFill="1" applyBorder="1" applyAlignment="1">
      <alignment horizontal="left" vertical="center"/>
    </xf>
    <xf numFmtId="0" fontId="22" fillId="8" borderId="36" xfId="0" applyFont="1" applyFill="1" applyBorder="1" applyAlignment="1">
      <alignment horizontal="right" vertical="center"/>
    </xf>
    <xf numFmtId="0" fontId="0" fillId="8" borderId="36" xfId="0" applyFill="1" applyBorder="1" applyAlignment="1">
      <alignment horizontal="left" vertical="center"/>
    </xf>
    <xf numFmtId="49" fontId="26" fillId="0" borderId="8" xfId="0" applyNumberFormat="1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textRotation="90"/>
    </xf>
    <xf numFmtId="49" fontId="0" fillId="0" borderId="22" xfId="0" applyNumberFormat="1" applyBorder="1" applyAlignment="1">
      <alignment horizontal="center" textRotation="90"/>
    </xf>
    <xf numFmtId="49" fontId="0" fillId="0" borderId="31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26" fillId="0" borderId="9" xfId="0" applyNumberFormat="1" applyFont="1" applyBorder="1" applyAlignment="1">
      <alignment horizontal="center" vertical="center" wrapText="1"/>
    </xf>
    <xf numFmtId="49" fontId="26" fillId="0" borderId="13" xfId="0" applyNumberFormat="1" applyFont="1" applyBorder="1" applyAlignment="1">
      <alignment horizontal="center" vertical="center" wrapText="1"/>
    </xf>
    <xf numFmtId="0" fontId="0" fillId="10" borderId="0" xfId="0" applyFill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</cellXfs>
  <cellStyles count="1">
    <cellStyle name="Normal" xfId="0" builtinId="0"/>
  </cellStyles>
  <dxfs count="24">
    <dxf>
      <fill>
        <patternFill>
          <bgColor rgb="FFFFB7B7"/>
        </patternFill>
      </fill>
    </dxf>
    <dxf>
      <fill>
        <patternFill>
          <bgColor rgb="FFFF7D7D"/>
        </patternFill>
      </fill>
    </dxf>
    <dxf>
      <font>
        <color theme="1"/>
      </font>
      <fill>
        <patternFill>
          <bgColor rgb="FFFF8585"/>
        </patternFill>
      </fill>
    </dxf>
    <dxf>
      <font>
        <color theme="0"/>
      </font>
    </dxf>
    <dxf>
      <fill>
        <patternFill>
          <bgColor rgb="FFFF7575"/>
        </patternFill>
      </fill>
    </dxf>
    <dxf>
      <font>
        <color theme="0"/>
      </font>
    </dxf>
    <dxf>
      <font>
        <color theme="0"/>
      </font>
    </dxf>
    <dxf>
      <font>
        <color theme="0" tint="-0.24994659260841701"/>
      </font>
    </dxf>
    <dxf>
      <font>
        <color theme="0"/>
      </font>
    </dxf>
    <dxf>
      <font>
        <color theme="0"/>
      </font>
    </dxf>
    <dxf>
      <font>
        <color theme="0" tint="-0.2499465926084170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24994659260841701"/>
      </font>
    </dxf>
    <dxf>
      <font>
        <color theme="0"/>
      </font>
    </dxf>
    <dxf>
      <font>
        <color theme="0"/>
      </font>
    </dxf>
    <dxf>
      <font>
        <color theme="0" tint="-0.24994659260841701"/>
      </font>
    </dxf>
    <dxf>
      <font>
        <color theme="0"/>
      </font>
    </dxf>
    <dxf>
      <font>
        <color theme="0"/>
      </font>
    </dxf>
    <dxf>
      <font>
        <color theme="0" tint="-0.24994659260841701"/>
      </font>
    </dxf>
    <dxf>
      <font>
        <color theme="0"/>
      </font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colors>
    <mruColors>
      <color rgb="FFFFB7B7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66675</xdr:colOff>
      <xdr:row>1</xdr:row>
      <xdr:rowOff>19052</xdr:rowOff>
    </xdr:from>
    <xdr:to>
      <xdr:col>34</xdr:col>
      <xdr:colOff>597355</xdr:colOff>
      <xdr:row>16</xdr:row>
      <xdr:rowOff>171451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393525" y="209552"/>
          <a:ext cx="3578680" cy="31908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12</xdr:col>
      <xdr:colOff>166800</xdr:colOff>
      <xdr:row>24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114DEC-BDE8-40E7-B8E3-ADAD95D2A3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835"/>
        <a:stretch/>
      </xdr:blipFill>
      <xdr:spPr>
        <a:xfrm>
          <a:off x="6486525" y="2276475"/>
          <a:ext cx="386250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M1414"/>
  <sheetViews>
    <sheetView tabSelected="1" zoomScaleNormal="100" workbookViewId="0">
      <selection activeCell="B6" sqref="B6"/>
    </sheetView>
  </sheetViews>
  <sheetFormatPr defaultColWidth="9.109375" defaultRowHeight="14.4" outlineLevelRow="1" outlineLevelCol="1" x14ac:dyDescent="0.3"/>
  <cols>
    <col min="1" max="1" width="24" style="1" bestFit="1" customWidth="1"/>
    <col min="2" max="2" width="23.88671875" bestFit="1" customWidth="1"/>
    <col min="3" max="3" width="15.6640625" customWidth="1"/>
    <col min="4" max="4" width="18.33203125" customWidth="1"/>
    <col min="5" max="5" width="7.6640625" bestFit="1" customWidth="1"/>
    <col min="6" max="6" width="9.88671875" customWidth="1"/>
    <col min="7" max="7" width="13.88671875" bestFit="1" customWidth="1"/>
    <col min="8" max="8" width="9.109375" customWidth="1"/>
    <col min="9" max="9" width="13.5546875" bestFit="1" customWidth="1"/>
    <col min="10" max="10" width="7" bestFit="1" customWidth="1"/>
    <col min="11" max="12" width="4.88671875" bestFit="1" customWidth="1"/>
    <col min="13" max="13" width="4.88671875" customWidth="1"/>
    <col min="14" max="14" width="4.88671875" style="3" bestFit="1" customWidth="1"/>
    <col min="15" max="15" width="8.33203125" customWidth="1"/>
    <col min="16" max="16" width="6.88671875" customWidth="1"/>
    <col min="17" max="17" width="6.33203125" customWidth="1"/>
    <col min="18" max="19" width="8.44140625" bestFit="1" customWidth="1"/>
    <col min="20" max="20" width="10.6640625" bestFit="1" customWidth="1"/>
    <col min="21" max="22" width="13.88671875" customWidth="1"/>
    <col min="23" max="23" width="15.6640625" bestFit="1" customWidth="1"/>
    <col min="24" max="24" width="8.109375" customWidth="1"/>
    <col min="25" max="25" width="13.5546875" bestFit="1" customWidth="1"/>
    <col min="26" max="26" width="8.109375" bestFit="1" customWidth="1"/>
    <col min="27" max="27" width="11.44140625" customWidth="1"/>
    <col min="28" max="28" width="4.88671875" bestFit="1" customWidth="1"/>
    <col min="29" max="29" width="4.88671875" customWidth="1"/>
    <col min="30" max="30" width="4.88671875" style="3" bestFit="1" customWidth="1"/>
    <col min="31" max="31" width="4.88671875" bestFit="1" customWidth="1"/>
    <col min="32" max="33" width="4.88671875" customWidth="1"/>
    <col min="34" max="35" width="8.44140625" bestFit="1" customWidth="1"/>
    <col min="36" max="36" width="9.109375" customWidth="1"/>
    <col min="37" max="38" width="14.44140625" customWidth="1"/>
    <col min="39" max="39" width="12.33203125" customWidth="1"/>
    <col min="40" max="40" width="10.44140625" customWidth="1"/>
    <col min="41" max="41" width="18.88671875" bestFit="1" customWidth="1"/>
    <col min="42" max="42" width="13.44140625" customWidth="1"/>
    <col min="43" max="43" width="9.6640625" customWidth="1"/>
    <col min="44" max="44" width="8.44140625" customWidth="1"/>
    <col min="45" max="45" width="8.109375" bestFit="1" customWidth="1"/>
    <col min="46" max="46" width="8.109375" customWidth="1"/>
    <col min="47" max="47" width="9.6640625" bestFit="1" customWidth="1"/>
    <col min="48" max="48" width="9.6640625" customWidth="1"/>
    <col min="49" max="49" width="5.6640625" hidden="1" customWidth="1" outlineLevel="1"/>
    <col min="50" max="50" width="5.33203125" hidden="1" customWidth="1" outlineLevel="1"/>
    <col min="51" max="51" width="11.33203125" hidden="1" customWidth="1" outlineLevel="1"/>
    <col min="52" max="52" width="10.33203125" hidden="1" customWidth="1" outlineLevel="1"/>
    <col min="53" max="53" width="6.5546875" hidden="1" customWidth="1" outlineLevel="1"/>
    <col min="54" max="54" width="8.109375" hidden="1" customWidth="1" outlineLevel="1"/>
    <col min="55" max="55" width="3.6640625" hidden="1" customWidth="1" outlineLevel="1"/>
    <col min="56" max="56" width="4.88671875" hidden="1" customWidth="1" outlineLevel="1"/>
    <col min="57" max="60" width="4.88671875" style="1" hidden="1" customWidth="1" outlineLevel="1"/>
    <col min="61" max="61" width="6.5546875" style="1" hidden="1" customWidth="1" outlineLevel="1"/>
    <col min="62" max="62" width="3.6640625" style="1" hidden="1" customWidth="1" outlineLevel="1"/>
    <col min="63" max="63" width="6.5546875" style="1" hidden="1" customWidth="1" outlineLevel="1"/>
    <col min="64" max="65" width="3.6640625" style="1" hidden="1" customWidth="1" outlineLevel="1"/>
    <col min="66" max="66" width="6.5546875" style="1" hidden="1" customWidth="1" outlineLevel="1"/>
    <col min="67" max="67" width="6.88671875" style="1" hidden="1" customWidth="1" outlineLevel="1"/>
    <col min="68" max="68" width="3.6640625" style="1" hidden="1" customWidth="1" outlineLevel="1"/>
    <col min="69" max="69" width="14.88671875" style="1" hidden="1" customWidth="1" outlineLevel="1"/>
    <col min="70" max="70" width="7.88671875" style="1" hidden="1" customWidth="1" outlineLevel="1"/>
    <col min="71" max="71" width="8.109375" style="1" hidden="1" customWidth="1" outlineLevel="1"/>
    <col min="72" max="73" width="9.33203125" style="1" hidden="1" customWidth="1" outlineLevel="1"/>
    <col min="74" max="75" width="8" hidden="1" customWidth="1" outlineLevel="1"/>
    <col min="76" max="76" width="13.88671875" hidden="1" customWidth="1" outlineLevel="1"/>
    <col min="77" max="77" width="11.5546875" hidden="1" customWidth="1" outlineLevel="1"/>
    <col min="78" max="79" width="3.6640625" hidden="1" customWidth="1" outlineLevel="1"/>
    <col min="80" max="80" width="6.6640625" hidden="1" customWidth="1" outlineLevel="1"/>
    <col min="81" max="81" width="8.5546875" hidden="1" customWidth="1" outlineLevel="1"/>
    <col min="82" max="82" width="7" hidden="1" customWidth="1" outlineLevel="1"/>
    <col min="83" max="84" width="4.88671875" hidden="1" customWidth="1" outlineLevel="1"/>
    <col min="85" max="85" width="9.5546875" hidden="1" customWidth="1" outlineLevel="1"/>
    <col min="86" max="86" width="5.88671875" hidden="1" customWidth="1" outlineLevel="1"/>
    <col min="87" max="87" width="12" hidden="1" customWidth="1" outlineLevel="1"/>
    <col min="88" max="88" width="4.88671875" style="1" hidden="1" customWidth="1" outlineLevel="1"/>
    <col min="89" max="91" width="4.88671875" hidden="1" customWidth="1" outlineLevel="1"/>
    <col min="92" max="92" width="10" hidden="1" customWidth="1" outlineLevel="1"/>
    <col min="93" max="93" width="10.44140625" hidden="1" customWidth="1" outlineLevel="1"/>
    <col min="94" max="94" width="12.6640625" hidden="1" customWidth="1" outlineLevel="1"/>
    <col min="95" max="95" width="9.6640625" hidden="1" customWidth="1" outlineLevel="1"/>
    <col min="96" max="96" width="11.5546875" hidden="1" customWidth="1" outlineLevel="1"/>
    <col min="97" max="100" width="9.33203125" hidden="1" customWidth="1" outlineLevel="1"/>
    <col min="101" max="101" width="10.44140625" hidden="1" customWidth="1" outlineLevel="1"/>
    <col min="102" max="102" width="8.109375" hidden="1" customWidth="1" outlineLevel="1"/>
    <col min="103" max="103" width="9.33203125" hidden="1" customWidth="1" outlineLevel="1"/>
    <col min="104" max="104" width="13.88671875" hidden="1" customWidth="1" outlineLevel="1"/>
    <col min="105" max="105" width="8.109375" hidden="1" customWidth="1" outlineLevel="1"/>
    <col min="106" max="106" width="8.109375" style="7" hidden="1" customWidth="1" outlineLevel="1"/>
    <col min="107" max="109" width="9.33203125" style="1" hidden="1" customWidth="1" outlineLevel="1"/>
    <col min="110" max="110" width="9.33203125" hidden="1" customWidth="1" outlineLevel="1"/>
    <col min="111" max="111" width="14.44140625" hidden="1" customWidth="1" outlineLevel="1"/>
    <col min="112" max="112" width="13.88671875" hidden="1" customWidth="1" outlineLevel="1"/>
    <col min="113" max="114" width="3.6640625" hidden="1" customWidth="1" outlineLevel="1"/>
    <col min="115" max="115" width="13.88671875" hidden="1" customWidth="1" outlineLevel="1"/>
    <col min="116" max="116" width="10.44140625" hidden="1" customWidth="1" outlineLevel="1"/>
    <col min="117" max="117" width="7" hidden="1" customWidth="1" outlineLevel="1"/>
    <col min="118" max="119" width="4.88671875" hidden="1" customWidth="1" outlineLevel="1"/>
    <col min="120" max="120" width="15.88671875" hidden="1" customWidth="1" outlineLevel="1"/>
    <col min="121" max="121" width="5.88671875" hidden="1" customWidth="1" outlineLevel="1"/>
    <col min="122" max="122" width="9" hidden="1" customWidth="1" outlineLevel="1"/>
    <col min="123" max="123" width="4.88671875" style="1" hidden="1" customWidth="1" outlineLevel="1"/>
    <col min="124" max="126" width="4.88671875" hidden="1" customWidth="1" outlineLevel="1"/>
    <col min="127" max="128" width="5.88671875" hidden="1" customWidth="1" outlineLevel="1"/>
    <col min="129" max="129" width="9.5546875" hidden="1" customWidth="1" outlineLevel="1"/>
    <col min="130" max="130" width="6.6640625" hidden="1" customWidth="1" outlineLevel="1"/>
    <col min="131" max="131" width="13.88671875" hidden="1" customWidth="1" outlineLevel="1"/>
    <col min="132" max="132" width="5.88671875" hidden="1" customWidth="1" outlineLevel="1"/>
    <col min="133" max="133" width="4.88671875" hidden="1" customWidth="1" outlineLevel="1"/>
    <col min="134" max="134" width="5.88671875" hidden="1" customWidth="1" outlineLevel="1"/>
    <col min="135" max="135" width="10.33203125" hidden="1" customWidth="1" outlineLevel="1"/>
    <col min="136" max="136" width="13.88671875" hidden="1" customWidth="1" outlineLevel="1"/>
    <col min="137" max="138" width="8.109375" style="1" hidden="1" customWidth="1" outlineLevel="1"/>
    <col min="139" max="139" width="13.88671875" hidden="1" customWidth="1" outlineLevel="1"/>
    <col min="140" max="140" width="8.109375" style="1" hidden="1" customWidth="1" outlineLevel="1"/>
    <col min="141" max="141" width="4.88671875" style="7" hidden="1" customWidth="1" outlineLevel="1"/>
    <col min="142" max="143" width="13.88671875" hidden="1" customWidth="1" outlineLevel="1"/>
    <col min="144" max="144" width="9.33203125" hidden="1" customWidth="1" outlineLevel="1"/>
    <col min="145" max="145" width="8.109375" hidden="1" customWidth="1" outlineLevel="1"/>
    <col min="146" max="146" width="7" hidden="1" customWidth="1" outlineLevel="1"/>
    <col min="147" max="147" width="8.109375" hidden="1" customWidth="1" outlineLevel="1"/>
    <col min="148" max="148" width="4.88671875" hidden="1" customWidth="1" outlineLevel="1"/>
    <col min="149" max="149" width="7" hidden="1" customWidth="1" outlineLevel="1"/>
    <col min="150" max="150" width="8.109375" hidden="1" customWidth="1" outlineLevel="1"/>
    <col min="151" max="152" width="3.88671875" hidden="1" customWidth="1" outlineLevel="1"/>
    <col min="153" max="153" width="4.88671875" hidden="1" customWidth="1" outlineLevel="1"/>
    <col min="154" max="154" width="3.6640625" hidden="1" customWidth="1" outlineLevel="1"/>
    <col min="155" max="155" width="8.109375" hidden="1" customWidth="1" outlineLevel="1"/>
    <col min="156" max="156" width="8.5546875" hidden="1" customWidth="1" outlineLevel="1"/>
    <col min="157" max="157" width="6.5546875" style="1" hidden="1" customWidth="1" outlineLevel="1"/>
    <col min="158" max="162" width="9" hidden="1" customWidth="1" outlineLevel="1"/>
    <col min="163" max="164" width="11" hidden="1" customWidth="1" outlineLevel="1"/>
    <col min="165" max="170" width="9" hidden="1" customWidth="1" outlineLevel="1"/>
    <col min="171" max="174" width="15" hidden="1" customWidth="1" outlineLevel="1"/>
    <col min="175" max="179" width="8.33203125" hidden="1" customWidth="1" outlineLevel="1"/>
    <col min="180" max="181" width="8.109375" hidden="1" customWidth="1" outlineLevel="1"/>
    <col min="182" max="183" width="10" hidden="1" customWidth="1" outlineLevel="1"/>
    <col min="184" max="184" width="9.33203125" hidden="1" customWidth="1" outlineLevel="1"/>
    <col min="185" max="185" width="8.44140625" hidden="1" customWidth="1" outlineLevel="1"/>
    <col min="186" max="188" width="6.6640625" hidden="1" customWidth="1" outlineLevel="1"/>
    <col min="189" max="189" width="11" hidden="1" customWidth="1" outlineLevel="1"/>
    <col min="190" max="190" width="12" hidden="1" customWidth="1" outlineLevel="1"/>
    <col min="191" max="191" width="14.88671875" style="1" customWidth="1" collapsed="1"/>
    <col min="192" max="196" width="3.6640625" customWidth="1"/>
    <col min="197" max="199" width="4.88671875" style="1" customWidth="1"/>
    <col min="200" max="200" width="10" customWidth="1"/>
    <col min="201" max="202" width="4.88671875" style="1" customWidth="1"/>
    <col min="203" max="242" width="4.88671875" customWidth="1"/>
    <col min="243" max="244" width="4.88671875" style="1" customWidth="1"/>
    <col min="245" max="245" width="5.6640625" customWidth="1"/>
    <col min="246" max="249" width="4.88671875" style="1" customWidth="1"/>
    <col min="250" max="250" width="4.88671875" customWidth="1"/>
    <col min="251" max="253" width="4.88671875" style="1" customWidth="1"/>
    <col min="254" max="255" width="13.6640625" customWidth="1"/>
    <col min="256" max="256" width="9.109375" customWidth="1"/>
    <col min="257" max="257" width="8" customWidth="1"/>
    <col min="258" max="262" width="4.88671875" style="1" customWidth="1"/>
    <col min="263" max="265" width="4.88671875" customWidth="1"/>
    <col min="266" max="280" width="4.88671875" style="1" customWidth="1"/>
    <col min="281" max="281" width="6.88671875" customWidth="1"/>
    <col min="282" max="282" width="4.88671875" customWidth="1"/>
    <col min="283" max="283" width="8" customWidth="1"/>
    <col min="284" max="284" width="6.88671875" customWidth="1"/>
    <col min="285" max="285" width="4.88671875" customWidth="1"/>
    <col min="286" max="286" width="8" customWidth="1"/>
    <col min="287" max="287" width="9.109375" customWidth="1"/>
    <col min="288" max="290" width="5.6640625" customWidth="1"/>
    <col min="291" max="292" width="9.109375" customWidth="1"/>
    <col min="293" max="294" width="5.6640625" customWidth="1"/>
    <col min="295" max="296" width="8" customWidth="1"/>
    <col min="297" max="308" width="4.88671875" style="1" customWidth="1"/>
    <col min="309" max="310" width="4.88671875" customWidth="1"/>
    <col min="311" max="311" width="8" customWidth="1"/>
    <col min="312" max="313" width="4.88671875" customWidth="1"/>
    <col min="314" max="314" width="8" customWidth="1"/>
    <col min="315" max="315" width="4.88671875" style="1" customWidth="1"/>
    <col min="316" max="317" width="4.88671875" customWidth="1"/>
    <col min="318" max="318" width="5.6640625" customWidth="1"/>
    <col min="319" max="320" width="4.88671875" style="1" customWidth="1"/>
    <col min="321" max="322" width="4.88671875" customWidth="1"/>
    <col min="323" max="323" width="5.6640625" customWidth="1"/>
    <col min="324" max="327" width="4.88671875" style="1" customWidth="1"/>
    <col min="328" max="329" width="13.6640625" customWidth="1"/>
    <col min="330" max="330" width="11.44140625" customWidth="1"/>
    <col min="331" max="331" width="5.6640625" customWidth="1"/>
    <col min="332" max="335" width="4.88671875" customWidth="1"/>
    <col min="336" max="337" width="4.88671875" style="1" customWidth="1"/>
    <col min="338" max="339" width="13.6640625" customWidth="1"/>
    <col min="340" max="340" width="4.88671875" customWidth="1"/>
    <col min="341" max="341" width="11.44140625" customWidth="1"/>
    <col min="342" max="345" width="4.88671875" customWidth="1"/>
    <col min="346" max="403" width="4.88671875" style="1" customWidth="1"/>
  </cols>
  <sheetData>
    <row r="1" spans="1:403" s="130" customFormat="1" x14ac:dyDescent="0.3">
      <c r="A1" s="129" t="s">
        <v>346</v>
      </c>
      <c r="H1" s="251" t="s">
        <v>385</v>
      </c>
      <c r="I1" s="251"/>
      <c r="J1" s="251"/>
      <c r="K1" s="251"/>
      <c r="L1" s="251"/>
      <c r="M1" s="251"/>
      <c r="N1" s="251"/>
      <c r="O1" s="251"/>
      <c r="P1" s="251"/>
      <c r="Q1" s="251"/>
      <c r="R1" s="231" t="s">
        <v>446</v>
      </c>
      <c r="S1" s="231"/>
      <c r="T1" s="200"/>
      <c r="AD1" s="131"/>
      <c r="AH1" s="231" t="str">
        <f>R1</f>
        <v>Manual
↓Adj Cells Below↓
In Row 10</v>
      </c>
      <c r="AI1" s="231"/>
      <c r="AO1" s="186"/>
      <c r="AP1" s="186" t="str">
        <f>IF(Header_Type="Tube",     CONCATENATE(IF(T_and_P_Span=Wrapper_Span,"TS","TR"),Wrapper_Thk+T_and_P_Span+Wrapper_Thk,"x",T_and_P_Thk+Wrapper_Span+T_and_P_Thk,"x",T_and_P_Thk), "")</f>
        <v/>
      </c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29"/>
      <c r="BQ1" s="129"/>
      <c r="BR1" s="129"/>
      <c r="BS1" s="129"/>
      <c r="BT1" s="129"/>
      <c r="BU1" s="129"/>
      <c r="CJ1" s="129"/>
      <c r="DC1" s="129"/>
      <c r="DD1" s="129"/>
      <c r="DE1" s="129"/>
      <c r="DS1" s="129"/>
      <c r="EG1" s="129"/>
      <c r="EH1" s="129"/>
      <c r="EJ1" s="129"/>
      <c r="FA1" s="129"/>
      <c r="GI1" s="129"/>
      <c r="GO1" s="129"/>
      <c r="GP1" s="129"/>
      <c r="GQ1" s="129"/>
      <c r="GS1" s="129"/>
      <c r="GT1" s="129"/>
      <c r="II1" s="129"/>
      <c r="IJ1" s="129"/>
      <c r="IL1" s="129"/>
      <c r="IM1" s="129"/>
      <c r="IN1" s="129"/>
      <c r="IO1" s="129"/>
      <c r="IQ1" s="129"/>
      <c r="IR1" s="129"/>
      <c r="IS1" s="129"/>
      <c r="IX1" s="129"/>
      <c r="IY1" s="129"/>
      <c r="IZ1" s="129"/>
      <c r="JA1" s="129"/>
      <c r="JB1" s="129"/>
      <c r="JF1" s="129"/>
      <c r="JG1" s="129"/>
      <c r="JH1" s="129"/>
      <c r="JI1" s="129"/>
      <c r="JJ1" s="129"/>
      <c r="JK1" s="129"/>
      <c r="JL1" s="129"/>
      <c r="JM1" s="129"/>
      <c r="JN1" s="129"/>
      <c r="JO1" s="129"/>
      <c r="JP1" s="129"/>
      <c r="JQ1" s="129"/>
      <c r="JR1" s="129"/>
      <c r="JS1" s="129"/>
      <c r="JT1" s="129"/>
      <c r="KK1" s="129"/>
      <c r="KL1" s="129"/>
      <c r="KM1" s="129"/>
      <c r="KN1" s="129"/>
      <c r="KO1" s="129"/>
      <c r="KP1" s="129"/>
      <c r="KQ1" s="129"/>
      <c r="KR1" s="129"/>
      <c r="KS1" s="129"/>
      <c r="KT1" s="129"/>
      <c r="KU1" s="129"/>
      <c r="KV1" s="129"/>
      <c r="LC1" s="129"/>
      <c r="LG1" s="129"/>
      <c r="LH1" s="129"/>
      <c r="LL1" s="129"/>
      <c r="LM1" s="129"/>
      <c r="LN1" s="129"/>
      <c r="LO1" s="129"/>
      <c r="LX1" s="129"/>
      <c r="LY1" s="129"/>
      <c r="MH1" s="129"/>
      <c r="MI1" s="129"/>
      <c r="MJ1" s="129"/>
      <c r="MK1" s="129"/>
      <c r="ML1" s="129"/>
      <c r="MM1" s="129"/>
      <c r="MN1" s="129"/>
      <c r="MO1" s="129"/>
      <c r="MP1" s="129"/>
      <c r="MQ1" s="129"/>
      <c r="MR1" s="129"/>
      <c r="MS1" s="129"/>
      <c r="MT1" s="129"/>
      <c r="MU1" s="129"/>
      <c r="MV1" s="129"/>
      <c r="MW1" s="129"/>
      <c r="MX1" s="129"/>
      <c r="MY1" s="129"/>
      <c r="MZ1" s="129"/>
      <c r="NA1" s="129"/>
      <c r="NB1" s="129"/>
      <c r="NC1" s="129"/>
      <c r="ND1" s="129"/>
      <c r="NE1" s="129"/>
      <c r="NF1" s="129"/>
      <c r="NG1" s="129"/>
      <c r="NH1" s="129"/>
      <c r="NI1" s="129"/>
      <c r="NJ1" s="129"/>
      <c r="NK1" s="129"/>
      <c r="NL1" s="129"/>
      <c r="NM1" s="129"/>
      <c r="NN1" s="129"/>
      <c r="NO1" s="129"/>
      <c r="NP1" s="129"/>
      <c r="NQ1" s="129"/>
      <c r="NR1" s="129"/>
      <c r="NS1" s="129"/>
      <c r="NT1" s="129"/>
      <c r="NU1" s="129"/>
      <c r="NV1" s="129"/>
      <c r="NW1" s="129"/>
      <c r="NX1" s="129"/>
      <c r="NY1" s="129"/>
      <c r="NZ1" s="129"/>
      <c r="OA1" s="129"/>
      <c r="OB1" s="129"/>
      <c r="OC1" s="129"/>
      <c r="OD1" s="129"/>
      <c r="OE1" s="129"/>
      <c r="OF1" s="129"/>
      <c r="OG1" s="129"/>
      <c r="OH1" s="129"/>
      <c r="OI1" s="129"/>
      <c r="OJ1" s="129"/>
      <c r="OK1" s="129"/>
      <c r="OL1" s="129"/>
      <c r="OM1" s="129"/>
    </row>
    <row r="2" spans="1:403" ht="18.600000000000001" thickBot="1" x14ac:dyDescent="0.35">
      <c r="A2" s="103" t="str">
        <f>UPPER(RIGHT($B$5,LEN($B$5)-FIND("@",$B$5,1)))</f>
        <v>000000_S01C-HEADERBOX</v>
      </c>
      <c r="B2" t="str">
        <f>IF(ISNUMBER(LEFT($A$2,1)+0), "", LEFT($A$2,MIN(FIND({0,1,2,3,4,5,6,7,8,9},A2&amp;"0123456789"))-1))</f>
        <v/>
      </c>
      <c r="C2" s="153">
        <f>MID(A2,FIND("_",A2,1)+2,2)+0</f>
        <v>1</v>
      </c>
      <c r="D2" s="152" t="s">
        <v>194</v>
      </c>
      <c r="E2" s="151">
        <f>C2+1</f>
        <v>2</v>
      </c>
      <c r="F2" s="150" t="s">
        <v>195</v>
      </c>
      <c r="H2" s="252" t="s">
        <v>387</v>
      </c>
      <c r="I2" s="252"/>
      <c r="J2" s="252"/>
      <c r="K2" s="253">
        <f>$Q$2+$AA$2</f>
        <v>221</v>
      </c>
      <c r="L2" s="253"/>
      <c r="M2" s="254" t="s">
        <v>386</v>
      </c>
      <c r="N2" s="254"/>
      <c r="O2" s="254"/>
      <c r="P2" s="254"/>
      <c r="Q2" s="154">
        <f>(QTY_in_Long_Row_Pattern*QTY_of_Long_Rows_Actual)+(QTY_in_Short_Row_Pattern*QTY_of_Short_Rows_Actual)+IF(SS_1=0,0,(QTY_in_Long_Row_SS_Pattern*$CL$6)+(QTY_in_Short_Row_SS_Pattern*$CM$6))</f>
        <v>123</v>
      </c>
      <c r="R2" s="232"/>
      <c r="S2" s="232"/>
      <c r="T2" s="104"/>
      <c r="U2" s="104"/>
      <c r="V2" s="104"/>
      <c r="W2" s="104"/>
      <c r="X2" s="254" t="s">
        <v>388</v>
      </c>
      <c r="Y2" s="254"/>
      <c r="Z2" s="254"/>
      <c r="AA2" s="255">
        <f>(COMB_QTY_in_Long_Row_Pattern*COMB_QTY_of_Long_Rows_Actual) + (COMB_QTY_in_Short_Row_Pattern*COMB_QTY_of_Short_Rows_Actual) + IF(SS_2=0, 0, (COMB_QTY_in_Long_Row_SS_Pattern*$DU$6)+(COMB_QTY_in_Short_Row_SS_Pattern*$DV$6))</f>
        <v>98</v>
      </c>
      <c r="AB2" s="255"/>
      <c r="AC2" s="104"/>
      <c r="AD2" s="104"/>
      <c r="AE2" s="104"/>
      <c r="AF2" s="104"/>
      <c r="AG2" s="104"/>
      <c r="AH2" s="232"/>
      <c r="AI2" s="232"/>
      <c r="AJ2" s="104"/>
      <c r="AK2" s="104"/>
      <c r="AL2" s="230" t="str">
        <f>IF(AND(Header_Type="tube",  Wrapper_Thk&lt;&gt;T_and_P_Thk),  "Thicknesses must match", "")</f>
        <v/>
      </c>
      <c r="AM2" s="230"/>
      <c r="AN2" s="230"/>
      <c r="AO2" s="229" t="str">
        <f>IF(Header_Type&lt;&gt;"Tube", "", IF(ISERROR(VLOOKUP(AP1,Structural_Tube_Size_List,1,FALSE)), "Invalid Structural tube size", "")  )</f>
        <v/>
      </c>
      <c r="AP2" s="229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4"/>
      <c r="BT2" s="104"/>
      <c r="BU2" s="104"/>
      <c r="BV2" s="104"/>
      <c r="BW2" s="104"/>
      <c r="BX2" s="104"/>
      <c r="BY2" s="104"/>
      <c r="BZ2" s="104"/>
      <c r="CA2" s="104"/>
      <c r="CB2" s="104"/>
      <c r="CC2" s="104"/>
      <c r="CD2" s="104"/>
      <c r="CE2" s="104"/>
      <c r="CF2" s="104"/>
      <c r="CG2" s="104"/>
      <c r="CH2" s="104"/>
      <c r="CI2" s="104"/>
      <c r="CJ2" s="105"/>
      <c r="CK2" s="104"/>
      <c r="CL2" s="104"/>
      <c r="CM2" s="104"/>
      <c r="CN2" s="104"/>
      <c r="CO2" s="104"/>
      <c r="CP2" s="104"/>
      <c r="CQ2" s="104"/>
      <c r="CR2" s="104"/>
      <c r="CS2" s="104"/>
      <c r="CT2" s="104"/>
      <c r="CU2" s="104"/>
      <c r="CV2" s="104"/>
      <c r="CW2" s="104"/>
      <c r="CX2" s="104"/>
      <c r="CY2" s="104"/>
      <c r="CZ2" s="104"/>
      <c r="DA2" s="104"/>
      <c r="DB2" s="104"/>
      <c r="DC2" s="104"/>
      <c r="DD2" s="104"/>
      <c r="DE2" s="104"/>
      <c r="DF2" s="104"/>
      <c r="DG2" s="104"/>
      <c r="DH2" s="104"/>
      <c r="DI2" s="104"/>
      <c r="DJ2" s="104"/>
      <c r="DK2" s="104"/>
      <c r="DL2" s="104"/>
      <c r="DM2" s="104"/>
      <c r="DN2" s="104"/>
      <c r="DO2" s="104"/>
      <c r="DP2" s="104"/>
      <c r="DQ2" s="104"/>
      <c r="DR2" s="104"/>
      <c r="DS2" s="105"/>
      <c r="DT2" s="104"/>
      <c r="DU2" s="104"/>
      <c r="DV2" s="104"/>
      <c r="DW2" s="104"/>
      <c r="DX2" s="104"/>
      <c r="DY2" s="104"/>
      <c r="DZ2" s="104"/>
      <c r="EA2" s="104"/>
      <c r="EB2" s="104"/>
      <c r="EC2" s="104"/>
      <c r="ED2" s="104"/>
      <c r="EE2" s="104"/>
      <c r="EF2" s="104"/>
      <c r="EG2" s="104"/>
      <c r="EH2" s="104"/>
      <c r="EI2" s="104"/>
      <c r="EJ2" s="104"/>
      <c r="EK2" s="104"/>
      <c r="EL2" s="104"/>
      <c r="EM2" s="104"/>
      <c r="EN2" s="104"/>
      <c r="EO2" s="104"/>
      <c r="EP2" s="104"/>
      <c r="EQ2" s="104"/>
      <c r="ER2" s="104"/>
      <c r="ES2" s="104"/>
      <c r="ET2" s="104"/>
      <c r="EU2" s="104"/>
      <c r="EV2" s="104"/>
      <c r="EW2" s="104"/>
      <c r="EX2" s="104"/>
      <c r="EY2" s="104"/>
      <c r="EZ2" s="104"/>
      <c r="FA2" s="105"/>
      <c r="FB2" s="104"/>
      <c r="FC2" s="104"/>
      <c r="FD2" s="104"/>
      <c r="FE2" s="104"/>
      <c r="FF2" s="104"/>
      <c r="FG2" s="104"/>
      <c r="FH2" s="104"/>
      <c r="FI2" s="104"/>
      <c r="FJ2" s="104"/>
      <c r="FK2" s="104"/>
      <c r="FL2" s="104"/>
      <c r="FM2" s="104"/>
      <c r="FN2" s="104"/>
      <c r="FO2" s="104"/>
      <c r="FP2" s="104"/>
      <c r="FQ2" s="104"/>
      <c r="FR2" s="104"/>
      <c r="FX2" s="104"/>
      <c r="FY2" s="104"/>
      <c r="FZ2" s="104"/>
      <c r="GA2" s="104"/>
      <c r="GB2" s="104"/>
      <c r="GC2" s="1"/>
      <c r="GO2"/>
      <c r="GP2"/>
      <c r="GQ2"/>
      <c r="GR2" s="104"/>
      <c r="GS2"/>
      <c r="GT2"/>
      <c r="II2"/>
      <c r="IJ2"/>
      <c r="IL2"/>
      <c r="IM2"/>
      <c r="IN2"/>
      <c r="IO2"/>
      <c r="IQ2"/>
      <c r="IR2"/>
      <c r="IS2"/>
      <c r="IX2"/>
      <c r="IY2"/>
      <c r="IZ2"/>
      <c r="JA2"/>
      <c r="JB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KK2"/>
      <c r="KL2"/>
      <c r="KM2"/>
      <c r="KN2"/>
      <c r="KO2"/>
      <c r="KP2"/>
      <c r="KQ2"/>
      <c r="KR2"/>
      <c r="KS2"/>
      <c r="KT2"/>
      <c r="KU2"/>
      <c r="KV2"/>
      <c r="LC2"/>
      <c r="LG2"/>
      <c r="LH2"/>
      <c r="LL2"/>
      <c r="LM2"/>
      <c r="LN2"/>
      <c r="LO2"/>
      <c r="LX2"/>
      <c r="LY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</row>
    <row r="3" spans="1:403" s="39" customFormat="1" ht="39.75" customHeight="1" thickTop="1" thickBot="1" x14ac:dyDescent="0.35">
      <c r="A3" s="259" t="s">
        <v>49</v>
      </c>
      <c r="B3" s="219" t="s">
        <v>315</v>
      </c>
      <c r="C3" s="220"/>
      <c r="D3" s="220"/>
      <c r="E3" s="220"/>
      <c r="F3" s="220"/>
      <c r="G3" s="221"/>
      <c r="H3" s="240" t="s">
        <v>311</v>
      </c>
      <c r="I3" s="241"/>
      <c r="J3" s="241"/>
      <c r="K3" s="241"/>
      <c r="L3" s="242"/>
      <c r="M3" s="240" t="s">
        <v>310</v>
      </c>
      <c r="N3" s="241"/>
      <c r="O3" s="241"/>
      <c r="P3" s="241"/>
      <c r="Q3" s="241"/>
      <c r="R3" s="241"/>
      <c r="S3" s="242"/>
      <c r="T3" s="240" t="s">
        <v>309</v>
      </c>
      <c r="U3" s="220"/>
      <c r="V3" s="221"/>
      <c r="W3" s="188" t="s">
        <v>444</v>
      </c>
      <c r="X3" s="235" t="s">
        <v>308</v>
      </c>
      <c r="Y3" s="236"/>
      <c r="Z3" s="236"/>
      <c r="AA3" s="236"/>
      <c r="AB3" s="237"/>
      <c r="AC3" s="235" t="s">
        <v>258</v>
      </c>
      <c r="AD3" s="236"/>
      <c r="AE3" s="236"/>
      <c r="AF3" s="236"/>
      <c r="AG3" s="236"/>
      <c r="AH3" s="236"/>
      <c r="AI3" s="237"/>
      <c r="AJ3" s="235" t="s">
        <v>307</v>
      </c>
      <c r="AK3" s="264"/>
      <c r="AL3" s="265"/>
      <c r="AM3" s="219" t="s">
        <v>118</v>
      </c>
      <c r="AN3" s="220"/>
      <c r="AO3" s="220"/>
      <c r="AP3" s="220"/>
      <c r="AQ3" s="220"/>
      <c r="AR3" s="221"/>
      <c r="AS3" s="219" t="s">
        <v>171</v>
      </c>
      <c r="AT3" s="220"/>
      <c r="AU3" s="220"/>
      <c r="AV3" s="221"/>
      <c r="AW3" s="263" t="s">
        <v>314</v>
      </c>
      <c r="AX3" s="216"/>
      <c r="AY3" s="217"/>
      <c r="AZ3" s="261" t="s">
        <v>139</v>
      </c>
      <c r="BA3" s="261"/>
      <c r="BB3" s="261"/>
      <c r="BC3" s="261"/>
      <c r="BD3" s="261"/>
      <c r="BE3" s="261"/>
      <c r="BF3" s="261"/>
      <c r="BG3" s="261"/>
      <c r="BH3" s="261"/>
      <c r="BI3" s="261"/>
      <c r="BJ3" s="261"/>
      <c r="BK3" s="261"/>
      <c r="BL3" s="261"/>
      <c r="BM3" s="261"/>
      <c r="BN3" s="261"/>
      <c r="BO3" s="261"/>
      <c r="BP3" s="261"/>
      <c r="BQ3" s="261"/>
      <c r="BR3" s="262"/>
      <c r="BS3" s="215" t="s">
        <v>173</v>
      </c>
      <c r="BT3" s="216"/>
      <c r="BU3" s="216"/>
      <c r="BV3" s="216"/>
      <c r="BW3" s="216"/>
      <c r="BX3" s="216"/>
      <c r="BY3" s="217"/>
      <c r="BZ3" s="99"/>
      <c r="CA3" s="99"/>
      <c r="CB3" s="215" t="s">
        <v>53</v>
      </c>
      <c r="CC3" s="216"/>
      <c r="CD3" s="216"/>
      <c r="CE3" s="216"/>
      <c r="CF3" s="216"/>
      <c r="CG3" s="217"/>
      <c r="CH3" s="95"/>
      <c r="CI3" s="95"/>
      <c r="CJ3" s="215" t="s">
        <v>56</v>
      </c>
      <c r="CK3" s="216"/>
      <c r="CL3" s="216"/>
      <c r="CM3" s="217"/>
      <c r="CN3" s="215" t="s">
        <v>172</v>
      </c>
      <c r="CO3" s="216"/>
      <c r="CP3" s="216"/>
      <c r="CQ3" s="216"/>
      <c r="CR3" s="216"/>
      <c r="CS3" s="217"/>
      <c r="CT3" s="215" t="s">
        <v>293</v>
      </c>
      <c r="CU3" s="216"/>
      <c r="CV3" s="216"/>
      <c r="CW3" s="216"/>
      <c r="CX3" s="216"/>
      <c r="CY3" s="216"/>
      <c r="CZ3" s="217"/>
      <c r="DA3" s="96"/>
      <c r="DB3" s="224" t="s">
        <v>174</v>
      </c>
      <c r="DC3" s="224"/>
      <c r="DD3" s="224"/>
      <c r="DE3" s="224"/>
      <c r="DF3" s="224"/>
      <c r="DG3" s="224"/>
      <c r="DH3" s="225"/>
      <c r="DI3" s="168"/>
      <c r="DJ3" s="168"/>
      <c r="DK3" s="223" t="s">
        <v>259</v>
      </c>
      <c r="DL3" s="224"/>
      <c r="DM3" s="224"/>
      <c r="DN3" s="224"/>
      <c r="DO3" s="225"/>
      <c r="DP3" s="97"/>
      <c r="DQ3" s="98"/>
      <c r="DR3" s="98"/>
      <c r="DS3" s="223" t="s">
        <v>260</v>
      </c>
      <c r="DT3" s="224"/>
      <c r="DU3" s="224"/>
      <c r="DV3" s="225"/>
      <c r="DW3" s="223" t="s">
        <v>175</v>
      </c>
      <c r="DX3" s="224"/>
      <c r="DY3" s="224"/>
      <c r="DZ3" s="224"/>
      <c r="EA3" s="224"/>
      <c r="EB3" s="225"/>
      <c r="EC3" s="223" t="s">
        <v>175</v>
      </c>
      <c r="ED3" s="224"/>
      <c r="EE3" s="224"/>
      <c r="EF3" s="224"/>
      <c r="EG3" s="224"/>
      <c r="EH3" s="224"/>
      <c r="EI3" s="225"/>
      <c r="EJ3" s="96"/>
      <c r="EK3" s="218" t="s">
        <v>140</v>
      </c>
      <c r="EL3" s="216"/>
      <c r="EM3" s="216"/>
      <c r="EN3" s="222"/>
      <c r="EO3" s="218" t="s">
        <v>176</v>
      </c>
      <c r="EP3" s="216"/>
      <c r="EQ3" s="216"/>
      <c r="ER3" s="216"/>
      <c r="ES3" s="216"/>
      <c r="ET3" s="217"/>
      <c r="EU3" s="99"/>
      <c r="EV3" s="99"/>
      <c r="EW3" s="95"/>
      <c r="EX3" s="95"/>
      <c r="EY3" s="99"/>
      <c r="EZ3" s="95"/>
      <c r="FA3" s="99"/>
      <c r="FB3" s="99"/>
      <c r="FC3" s="226" t="s">
        <v>350</v>
      </c>
      <c r="FD3" s="227"/>
      <c r="FE3" s="227"/>
      <c r="FF3" s="227"/>
      <c r="FG3" s="227"/>
      <c r="FH3" s="227"/>
      <c r="FI3" s="227"/>
      <c r="FJ3" s="227"/>
      <c r="FK3" s="228"/>
      <c r="FL3" s="165"/>
      <c r="FM3" s="165"/>
      <c r="FN3" s="165"/>
      <c r="FO3" s="99"/>
      <c r="FP3" s="99"/>
      <c r="FQ3" s="99"/>
      <c r="FR3" s="99"/>
      <c r="FS3" s="99"/>
      <c r="FT3" s="99"/>
      <c r="FU3" s="215" t="s">
        <v>338</v>
      </c>
      <c r="FV3" s="216"/>
      <c r="FW3" s="216"/>
      <c r="FX3" s="216"/>
      <c r="FY3" s="216"/>
      <c r="FZ3" s="216"/>
      <c r="GA3" s="216"/>
      <c r="GB3" s="217"/>
      <c r="GC3" s="161"/>
      <c r="GI3" s="102"/>
      <c r="GJ3" s="102"/>
      <c r="GK3" s="102"/>
      <c r="GL3" s="102"/>
      <c r="GM3" s="102"/>
      <c r="GN3" s="102"/>
      <c r="GO3" s="102"/>
      <c r="GP3" s="102"/>
      <c r="GQ3" s="102"/>
      <c r="GR3" s="189"/>
      <c r="GS3" s="102"/>
      <c r="IH3" s="102"/>
      <c r="II3" s="102"/>
      <c r="IK3" s="102"/>
      <c r="IL3" s="102"/>
      <c r="IM3" s="102"/>
      <c r="IN3" s="102"/>
      <c r="IP3" s="102"/>
      <c r="IQ3" s="102"/>
      <c r="IR3" s="102"/>
      <c r="IW3" s="102"/>
      <c r="IX3" s="102"/>
      <c r="IY3" s="102"/>
      <c r="IZ3" s="102"/>
      <c r="JA3" s="102"/>
      <c r="JE3" s="102"/>
      <c r="JF3" s="102"/>
      <c r="JG3" s="102"/>
      <c r="JH3" s="102"/>
      <c r="JI3" s="102"/>
      <c r="JJ3" s="102"/>
      <c r="JK3" s="102"/>
      <c r="JL3" s="102"/>
      <c r="JM3" s="102"/>
      <c r="JN3" s="102"/>
      <c r="JO3" s="102"/>
      <c r="JP3" s="102"/>
      <c r="JQ3" s="102"/>
      <c r="JR3" s="102"/>
      <c r="JS3" s="102"/>
      <c r="KJ3" s="102"/>
      <c r="KK3" s="102"/>
      <c r="KL3" s="102"/>
      <c r="KM3" s="102"/>
      <c r="KN3" s="102"/>
      <c r="KO3" s="102"/>
      <c r="KP3" s="102"/>
      <c r="KQ3" s="102"/>
      <c r="KR3" s="102"/>
      <c r="KS3" s="102"/>
      <c r="KT3" s="102"/>
      <c r="KU3" s="102"/>
      <c r="LB3" s="102"/>
      <c r="LF3" s="102"/>
      <c r="LG3" s="102"/>
      <c r="LK3" s="102"/>
      <c r="LL3" s="102"/>
      <c r="LM3" s="102"/>
      <c r="LN3" s="102"/>
      <c r="LW3" s="102"/>
      <c r="LX3" s="102"/>
      <c r="MG3" s="102"/>
      <c r="MH3" s="102"/>
      <c r="MI3" s="102"/>
      <c r="MJ3" s="102"/>
      <c r="MK3" s="102"/>
      <c r="ML3" s="102"/>
      <c r="MM3" s="102"/>
      <c r="MN3" s="102"/>
      <c r="MO3" s="102"/>
      <c r="MP3" s="102"/>
      <c r="MQ3" s="102"/>
      <c r="MR3" s="102"/>
      <c r="MS3" s="102"/>
      <c r="MT3" s="102"/>
      <c r="MU3" s="102"/>
      <c r="MV3" s="102"/>
      <c r="MW3" s="102"/>
      <c r="MX3" s="102"/>
      <c r="MY3" s="102"/>
      <c r="MZ3" s="102"/>
      <c r="NA3" s="102"/>
      <c r="NB3" s="102"/>
      <c r="NC3" s="102"/>
      <c r="ND3" s="102"/>
      <c r="NE3" s="102"/>
      <c r="NF3" s="102"/>
      <c r="NG3" s="102"/>
      <c r="NH3" s="102"/>
      <c r="NI3" s="102"/>
      <c r="NJ3" s="102"/>
      <c r="NK3" s="102"/>
      <c r="NL3" s="102"/>
      <c r="NM3" s="102"/>
      <c r="NN3" s="102"/>
      <c r="NO3" s="102"/>
      <c r="NP3" s="102"/>
      <c r="NQ3" s="102"/>
      <c r="NR3" s="102"/>
      <c r="NS3" s="102"/>
      <c r="NT3" s="102"/>
      <c r="NU3" s="102"/>
      <c r="NV3" s="102"/>
      <c r="NW3" s="102"/>
      <c r="NX3" s="102"/>
      <c r="NY3" s="102"/>
      <c r="NZ3" s="102"/>
      <c r="OA3" s="102"/>
      <c r="OB3" s="102"/>
      <c r="OC3" s="102"/>
      <c r="OD3" s="102"/>
      <c r="OE3" s="102"/>
      <c r="OF3" s="102"/>
      <c r="OG3" s="102"/>
      <c r="OH3" s="102"/>
      <c r="OI3" s="102"/>
      <c r="OJ3" s="102"/>
      <c r="OK3" s="102"/>
      <c r="OL3" s="102"/>
    </row>
    <row r="4" spans="1:403" s="5" customFormat="1" ht="198" customHeight="1" thickTop="1" x14ac:dyDescent="0.3">
      <c r="A4" s="260"/>
      <c r="B4" s="77" t="s">
        <v>249</v>
      </c>
      <c r="C4" s="78" t="s">
        <v>201</v>
      </c>
      <c r="D4" s="78" t="s">
        <v>154</v>
      </c>
      <c r="E4" s="140" t="s">
        <v>348</v>
      </c>
      <c r="F4" s="78" t="s">
        <v>279</v>
      </c>
      <c r="G4" s="79" t="s">
        <v>248</v>
      </c>
      <c r="H4" s="80" t="s">
        <v>252</v>
      </c>
      <c r="I4" s="78" t="s">
        <v>425</v>
      </c>
      <c r="J4" s="78" t="s">
        <v>44</v>
      </c>
      <c r="K4" s="78" t="s">
        <v>45</v>
      </c>
      <c r="L4" s="79" t="s">
        <v>209</v>
      </c>
      <c r="M4" s="80" t="s">
        <v>117</v>
      </c>
      <c r="N4" s="78" t="s">
        <v>54</v>
      </c>
      <c r="O4" s="78" t="s">
        <v>457</v>
      </c>
      <c r="P4" s="209" t="s">
        <v>453</v>
      </c>
      <c r="Q4" s="195" t="s">
        <v>211</v>
      </c>
      <c r="R4" s="201" t="s">
        <v>447</v>
      </c>
      <c r="S4" s="202" t="s">
        <v>448</v>
      </c>
      <c r="T4" s="81" t="s">
        <v>46</v>
      </c>
      <c r="U4" s="82" t="s">
        <v>47</v>
      </c>
      <c r="V4" s="83" t="s">
        <v>48</v>
      </c>
      <c r="W4" s="190" t="s">
        <v>445</v>
      </c>
      <c r="X4" s="80" t="s">
        <v>255</v>
      </c>
      <c r="Y4" s="78" t="s">
        <v>424</v>
      </c>
      <c r="Z4" s="78" t="s">
        <v>77</v>
      </c>
      <c r="AA4" s="78" t="s">
        <v>78</v>
      </c>
      <c r="AB4" s="79" t="s">
        <v>210</v>
      </c>
      <c r="AC4" s="80" t="s">
        <v>117</v>
      </c>
      <c r="AD4" s="78" t="s">
        <v>90</v>
      </c>
      <c r="AE4" s="78" t="s">
        <v>458</v>
      </c>
      <c r="AF4" s="209" t="s">
        <v>453</v>
      </c>
      <c r="AG4" s="195" t="s">
        <v>212</v>
      </c>
      <c r="AH4" s="212" t="s">
        <v>460</v>
      </c>
      <c r="AI4" s="212" t="s">
        <v>459</v>
      </c>
      <c r="AJ4" s="81" t="s">
        <v>80</v>
      </c>
      <c r="AK4" s="82" t="s">
        <v>81</v>
      </c>
      <c r="AL4" s="83" t="s">
        <v>82</v>
      </c>
      <c r="AM4" s="80" t="s">
        <v>39</v>
      </c>
      <c r="AN4" s="78" t="s">
        <v>40</v>
      </c>
      <c r="AO4" s="78" t="s">
        <v>282</v>
      </c>
      <c r="AP4" s="78" t="s">
        <v>283</v>
      </c>
      <c r="AQ4" s="78" t="s">
        <v>41</v>
      </c>
      <c r="AR4" s="79" t="s">
        <v>116</v>
      </c>
      <c r="AS4" s="80" t="s">
        <v>312</v>
      </c>
      <c r="AT4" s="78" t="s">
        <v>313</v>
      </c>
      <c r="AU4" s="84" t="s">
        <v>42</v>
      </c>
      <c r="AV4" s="85" t="s">
        <v>274</v>
      </c>
      <c r="AW4" s="80" t="s">
        <v>202</v>
      </c>
      <c r="AX4" s="78" t="s">
        <v>203</v>
      </c>
      <c r="AY4" s="86" t="s">
        <v>204</v>
      </c>
      <c r="AZ4" s="78" t="s">
        <v>271</v>
      </c>
      <c r="BA4" s="78" t="s">
        <v>281</v>
      </c>
      <c r="BB4" s="78" t="s">
        <v>127</v>
      </c>
      <c r="BC4" s="78" t="s">
        <v>366</v>
      </c>
      <c r="BD4" s="78" t="s">
        <v>130</v>
      </c>
      <c r="BE4" s="78" t="s">
        <v>129</v>
      </c>
      <c r="BF4" s="78" t="s">
        <v>133</v>
      </c>
      <c r="BG4" s="78" t="s">
        <v>134</v>
      </c>
      <c r="BH4" s="78" t="s">
        <v>225</v>
      </c>
      <c r="BI4" s="156" t="s">
        <v>229</v>
      </c>
      <c r="BJ4" s="78" t="s">
        <v>267</v>
      </c>
      <c r="BK4" s="156" t="s">
        <v>230</v>
      </c>
      <c r="BL4" s="78" t="s">
        <v>268</v>
      </c>
      <c r="BM4" s="78" t="s">
        <v>417</v>
      </c>
      <c r="BN4" s="156" t="s">
        <v>390</v>
      </c>
      <c r="BO4" s="156" t="s">
        <v>391</v>
      </c>
      <c r="BP4" s="156" t="s">
        <v>392</v>
      </c>
      <c r="BQ4" s="78" t="s">
        <v>233</v>
      </c>
      <c r="BR4" s="86"/>
      <c r="BS4" s="78" t="s">
        <v>107</v>
      </c>
      <c r="BT4" s="78" t="s">
        <v>253</v>
      </c>
      <c r="BU4" s="78" t="s">
        <v>254</v>
      </c>
      <c r="BV4" s="78" t="s">
        <v>43</v>
      </c>
      <c r="BW4" s="78" t="s">
        <v>26</v>
      </c>
      <c r="BX4" s="87" t="s">
        <v>119</v>
      </c>
      <c r="BY4" s="173" t="s">
        <v>50</v>
      </c>
      <c r="BZ4" s="6" t="s">
        <v>408</v>
      </c>
      <c r="CA4" s="169" t="s">
        <v>409</v>
      </c>
      <c r="CB4" s="88" t="s">
        <v>63</v>
      </c>
      <c r="CC4" s="89" t="s">
        <v>64</v>
      </c>
      <c r="CD4" s="78" t="s">
        <v>65</v>
      </c>
      <c r="CE4" s="78" t="s">
        <v>66</v>
      </c>
      <c r="CF4" s="78" t="s">
        <v>57</v>
      </c>
      <c r="CG4" s="86" t="s">
        <v>58</v>
      </c>
      <c r="CH4" s="78" t="s">
        <v>55</v>
      </c>
      <c r="CI4" s="78" t="s">
        <v>380</v>
      </c>
      <c r="CJ4" s="88" t="s">
        <v>67</v>
      </c>
      <c r="CK4" s="89" t="s">
        <v>68</v>
      </c>
      <c r="CL4" s="78" t="s">
        <v>69</v>
      </c>
      <c r="CM4" s="86" t="s">
        <v>70</v>
      </c>
      <c r="CN4" s="71" t="s">
        <v>110</v>
      </c>
      <c r="CO4" s="78" t="s">
        <v>111</v>
      </c>
      <c r="CP4" s="87" t="s">
        <v>71</v>
      </c>
      <c r="CQ4" s="78" t="s">
        <v>62</v>
      </c>
      <c r="CR4" s="87" t="s">
        <v>455</v>
      </c>
      <c r="CS4" s="86" t="s">
        <v>52</v>
      </c>
      <c r="CT4" s="71" t="s">
        <v>289</v>
      </c>
      <c r="CU4" s="78" t="s">
        <v>290</v>
      </c>
      <c r="CV4" s="78" t="s">
        <v>294</v>
      </c>
      <c r="CW4" s="78" t="s">
        <v>297</v>
      </c>
      <c r="CX4" s="78" t="s">
        <v>297</v>
      </c>
      <c r="CY4" s="78" t="s">
        <v>291</v>
      </c>
      <c r="CZ4" s="78" t="s">
        <v>296</v>
      </c>
      <c r="DA4" s="90"/>
      <c r="DB4" s="78" t="s">
        <v>109</v>
      </c>
      <c r="DC4" s="78" t="s">
        <v>253</v>
      </c>
      <c r="DD4" s="78" t="s">
        <v>254</v>
      </c>
      <c r="DE4" s="78" t="s">
        <v>103</v>
      </c>
      <c r="DF4" s="78" t="s">
        <v>79</v>
      </c>
      <c r="DG4" s="87" t="s">
        <v>120</v>
      </c>
      <c r="DH4" s="78" t="s">
        <v>83</v>
      </c>
      <c r="DI4" s="170" t="s">
        <v>412</v>
      </c>
      <c r="DJ4" s="173" t="s">
        <v>413</v>
      </c>
      <c r="DK4" s="88" t="s">
        <v>84</v>
      </c>
      <c r="DL4" s="89" t="s">
        <v>85</v>
      </c>
      <c r="DM4" s="78" t="s">
        <v>86</v>
      </c>
      <c r="DN4" s="78" t="s">
        <v>87</v>
      </c>
      <c r="DO4" s="86" t="s">
        <v>88</v>
      </c>
      <c r="DP4" s="86" t="s">
        <v>89</v>
      </c>
      <c r="DQ4" s="78" t="s">
        <v>91</v>
      </c>
      <c r="DR4" s="78" t="s">
        <v>370</v>
      </c>
      <c r="DS4" s="88" t="s">
        <v>92</v>
      </c>
      <c r="DT4" s="89" t="s">
        <v>93</v>
      </c>
      <c r="DU4" s="78" t="s">
        <v>94</v>
      </c>
      <c r="DV4" s="86" t="s">
        <v>95</v>
      </c>
      <c r="DW4" s="71" t="s">
        <v>299</v>
      </c>
      <c r="DX4" s="78" t="s">
        <v>300</v>
      </c>
      <c r="DY4" s="87" t="s">
        <v>96</v>
      </c>
      <c r="DZ4" s="78" t="s">
        <v>186</v>
      </c>
      <c r="EA4" s="87" t="s">
        <v>456</v>
      </c>
      <c r="EB4" s="86" t="s">
        <v>100</v>
      </c>
      <c r="EC4" s="71" t="s">
        <v>301</v>
      </c>
      <c r="ED4" s="78" t="s">
        <v>302</v>
      </c>
      <c r="EE4" s="78" t="s">
        <v>97</v>
      </c>
      <c r="EF4" s="78" t="s">
        <v>298</v>
      </c>
      <c r="EG4" s="78" t="s">
        <v>298</v>
      </c>
      <c r="EH4" s="78" t="s">
        <v>304</v>
      </c>
      <c r="EI4" s="86" t="s">
        <v>114</v>
      </c>
      <c r="EJ4" s="90"/>
      <c r="EK4" s="91" t="s">
        <v>135</v>
      </c>
      <c r="EL4" s="78" t="s">
        <v>136</v>
      </c>
      <c r="EM4" s="78" t="s">
        <v>137</v>
      </c>
      <c r="EN4" s="92" t="s">
        <v>138</v>
      </c>
      <c r="EO4" s="93" t="s">
        <v>147</v>
      </c>
      <c r="EP4" s="89" t="s">
        <v>150</v>
      </c>
      <c r="EQ4" s="94" t="s">
        <v>149</v>
      </c>
      <c r="ER4" s="89" t="s">
        <v>151</v>
      </c>
      <c r="ES4" s="89" t="s">
        <v>152</v>
      </c>
      <c r="ET4" s="94" t="s">
        <v>153</v>
      </c>
      <c r="EU4" s="89" t="s">
        <v>329</v>
      </c>
      <c r="EV4" s="89" t="s">
        <v>330</v>
      </c>
      <c r="EW4" s="78" t="s">
        <v>189</v>
      </c>
      <c r="EX4" s="78" t="s">
        <v>273</v>
      </c>
      <c r="EY4" s="156" t="s">
        <v>191</v>
      </c>
      <c r="EZ4" s="78" t="s">
        <v>206</v>
      </c>
      <c r="FA4" s="160" t="s">
        <v>205</v>
      </c>
      <c r="FB4" s="89" t="s">
        <v>205</v>
      </c>
      <c r="FC4" s="142" t="s">
        <v>349</v>
      </c>
      <c r="FD4" s="89" t="s">
        <v>217</v>
      </c>
      <c r="FE4" s="89" t="s">
        <v>351</v>
      </c>
      <c r="FF4" s="89" t="s">
        <v>352</v>
      </c>
      <c r="FG4" s="89" t="s">
        <v>354</v>
      </c>
      <c r="FH4" s="160" t="s">
        <v>356</v>
      </c>
      <c r="FI4" s="89" t="s">
        <v>358</v>
      </c>
      <c r="FJ4" s="160" t="s">
        <v>360</v>
      </c>
      <c r="FK4" s="141" t="s">
        <v>361</v>
      </c>
      <c r="FL4" s="177" t="s">
        <v>405</v>
      </c>
      <c r="FM4" s="170" t="s">
        <v>414</v>
      </c>
      <c r="FN4" s="170" t="s">
        <v>419</v>
      </c>
      <c r="FO4" s="89" t="s">
        <v>275</v>
      </c>
      <c r="FP4" s="89" t="s">
        <v>276</v>
      </c>
      <c r="FQ4" s="89" t="s">
        <v>277</v>
      </c>
      <c r="FR4" s="94" t="s">
        <v>278</v>
      </c>
      <c r="FS4" s="6" t="s">
        <v>381</v>
      </c>
      <c r="FT4" s="6" t="s">
        <v>382</v>
      </c>
      <c r="FU4" s="78" t="s">
        <v>435</v>
      </c>
      <c r="FV4" s="78" t="s">
        <v>436</v>
      </c>
      <c r="FW4" s="78" t="s">
        <v>439</v>
      </c>
      <c r="FX4" s="78" t="s">
        <v>334</v>
      </c>
      <c r="FY4" s="78" t="s">
        <v>335</v>
      </c>
      <c r="FZ4" s="78" t="s">
        <v>197</v>
      </c>
      <c r="GA4" s="78" t="s">
        <v>440</v>
      </c>
      <c r="GB4" s="86" t="s">
        <v>333</v>
      </c>
      <c r="GC4" s="43" t="s">
        <v>397</v>
      </c>
      <c r="GD4" s="43" t="s">
        <v>398</v>
      </c>
      <c r="GE4" s="43" t="s">
        <v>450</v>
      </c>
      <c r="GF4" s="43" t="s">
        <v>450</v>
      </c>
      <c r="GG4" s="43" t="s">
        <v>451</v>
      </c>
      <c r="GH4" s="43" t="s">
        <v>452</v>
      </c>
      <c r="GR4" s="78" t="s">
        <v>442</v>
      </c>
    </row>
    <row r="5" spans="1:403" s="6" customFormat="1" ht="161.25" hidden="1" customHeight="1" outlineLevel="1" x14ac:dyDescent="0.3">
      <c r="A5" s="5"/>
      <c r="B5" s="9" t="s">
        <v>345</v>
      </c>
      <c r="C5" s="6" t="s">
        <v>51</v>
      </c>
      <c r="D5" s="6" t="s">
        <v>51</v>
      </c>
      <c r="E5" s="6" t="s">
        <v>51</v>
      </c>
      <c r="F5" s="6" t="s">
        <v>51</v>
      </c>
      <c r="G5" s="10" t="s">
        <v>51</v>
      </c>
      <c r="H5" s="9" t="s">
        <v>51</v>
      </c>
      <c r="I5" s="6" t="s">
        <v>51</v>
      </c>
      <c r="J5" s="6" t="s">
        <v>9</v>
      </c>
      <c r="K5" s="6" t="s">
        <v>10</v>
      </c>
      <c r="L5" s="10" t="s">
        <v>51</v>
      </c>
      <c r="M5" s="9" t="s">
        <v>155</v>
      </c>
      <c r="N5" s="6" t="s">
        <v>376</v>
      </c>
      <c r="O5" s="6" t="s">
        <v>377</v>
      </c>
      <c r="P5" s="6" t="s">
        <v>51</v>
      </c>
      <c r="Q5" s="196" t="s">
        <v>51</v>
      </c>
      <c r="R5" s="203" t="s">
        <v>51</v>
      </c>
      <c r="S5" s="10" t="s">
        <v>51</v>
      </c>
      <c r="T5" s="45" t="s">
        <v>12</v>
      </c>
      <c r="U5" s="46" t="s">
        <v>13</v>
      </c>
      <c r="V5" s="47" t="s">
        <v>51</v>
      </c>
      <c r="W5" s="46" t="s">
        <v>51</v>
      </c>
      <c r="X5" s="9" t="s">
        <v>51</v>
      </c>
      <c r="Y5" s="6" t="s">
        <v>51</v>
      </c>
      <c r="Z5" s="6" t="s">
        <v>72</v>
      </c>
      <c r="AA5" s="6" t="s">
        <v>73</v>
      </c>
      <c r="AB5" s="10" t="s">
        <v>51</v>
      </c>
      <c r="AC5" s="9" t="s">
        <v>156</v>
      </c>
      <c r="AD5" s="6" t="s">
        <v>373</v>
      </c>
      <c r="AE5" s="6" t="s">
        <v>374</v>
      </c>
      <c r="AF5" s="6" t="s">
        <v>51</v>
      </c>
      <c r="AG5" s="196" t="s">
        <v>51</v>
      </c>
      <c r="AH5" s="6" t="s">
        <v>51</v>
      </c>
      <c r="AI5" s="6" t="s">
        <v>51</v>
      </c>
      <c r="AJ5" s="45" t="s">
        <v>74</v>
      </c>
      <c r="AK5" s="46" t="s">
        <v>75</v>
      </c>
      <c r="AL5" s="47" t="s">
        <v>51</v>
      </c>
      <c r="AM5" s="9" t="s">
        <v>35</v>
      </c>
      <c r="AN5" s="6" t="s">
        <v>36</v>
      </c>
      <c r="AO5" s="6" t="s">
        <v>37</v>
      </c>
      <c r="AP5" s="6" t="s">
        <v>8</v>
      </c>
      <c r="AQ5" s="6" t="s">
        <v>38</v>
      </c>
      <c r="AR5" s="10" t="s">
        <v>115</v>
      </c>
      <c r="AS5" s="9" t="s">
        <v>5</v>
      </c>
      <c r="AT5" s="6" t="s">
        <v>51</v>
      </c>
      <c r="AU5" s="6" t="s">
        <v>6</v>
      </c>
      <c r="AV5" s="10" t="s">
        <v>51</v>
      </c>
      <c r="AW5" s="9" t="s">
        <v>2</v>
      </c>
      <c r="AX5" s="6" t="s">
        <v>4</v>
      </c>
      <c r="AY5" s="19" t="s">
        <v>7</v>
      </c>
      <c r="AZ5" s="6" t="s">
        <v>270</v>
      </c>
      <c r="BA5" s="6" t="s">
        <v>280</v>
      </c>
      <c r="BB5" s="6" t="s">
        <v>128</v>
      </c>
      <c r="BC5" s="6" t="s">
        <v>365</v>
      </c>
      <c r="BD5" s="5" t="s">
        <v>125</v>
      </c>
      <c r="BE5" s="5" t="s">
        <v>126</v>
      </c>
      <c r="BF5" s="5" t="s">
        <v>131</v>
      </c>
      <c r="BG5" s="5" t="s">
        <v>132</v>
      </c>
      <c r="BH5" s="5" t="s">
        <v>226</v>
      </c>
      <c r="BI5" s="155" t="s">
        <v>227</v>
      </c>
      <c r="BJ5" s="5" t="s">
        <v>265</v>
      </c>
      <c r="BK5" s="155" t="s">
        <v>228</v>
      </c>
      <c r="BL5" s="5" t="s">
        <v>266</v>
      </c>
      <c r="BM5" s="5" t="s">
        <v>418</v>
      </c>
      <c r="BN5" s="155" t="s">
        <v>393</v>
      </c>
      <c r="BO5" s="155" t="s">
        <v>394</v>
      </c>
      <c r="BP5" s="155" t="s">
        <v>395</v>
      </c>
      <c r="BQ5" s="5" t="s">
        <v>232</v>
      </c>
      <c r="BR5" s="19" t="s">
        <v>51</v>
      </c>
      <c r="BS5" s="6" t="s">
        <v>104</v>
      </c>
      <c r="BT5" s="6" t="s">
        <v>250</v>
      </c>
      <c r="BU5" s="6" t="s">
        <v>251</v>
      </c>
      <c r="BV5" s="6" t="s">
        <v>11</v>
      </c>
      <c r="BW5" s="6" t="s">
        <v>22</v>
      </c>
      <c r="BX5" s="6" t="s">
        <v>14</v>
      </c>
      <c r="BY5" s="19" t="s">
        <v>51</v>
      </c>
      <c r="BZ5" s="6" t="s">
        <v>406</v>
      </c>
      <c r="CA5" s="6" t="s">
        <v>407</v>
      </c>
      <c r="CB5" s="18" t="s">
        <v>318</v>
      </c>
      <c r="CC5" s="6" t="s">
        <v>319</v>
      </c>
      <c r="CD5" s="6" t="s">
        <v>235</v>
      </c>
      <c r="CE5" s="6" t="s">
        <v>236</v>
      </c>
      <c r="CF5" s="6" t="s">
        <v>51</v>
      </c>
      <c r="CG5" s="19" t="s">
        <v>51</v>
      </c>
      <c r="CH5" s="5" t="s">
        <v>371</v>
      </c>
      <c r="CI5" s="5" t="s">
        <v>379</v>
      </c>
      <c r="CJ5" s="18" t="s">
        <v>320</v>
      </c>
      <c r="CK5" s="107" t="s">
        <v>321</v>
      </c>
      <c r="CL5" s="6" t="s">
        <v>51</v>
      </c>
      <c r="CM5" s="19" t="s">
        <v>51</v>
      </c>
      <c r="CN5" s="18" t="s">
        <v>51</v>
      </c>
      <c r="CO5" s="6" t="s">
        <v>51</v>
      </c>
      <c r="CP5" s="6" t="s">
        <v>51</v>
      </c>
      <c r="CQ5" s="6" t="s">
        <v>59</v>
      </c>
      <c r="CR5" s="6" t="s">
        <v>60</v>
      </c>
      <c r="CS5" s="19" t="s">
        <v>61</v>
      </c>
      <c r="CT5" s="18" t="s">
        <v>51</v>
      </c>
      <c r="CU5" s="6" t="s">
        <v>51</v>
      </c>
      <c r="CV5" s="6" t="s">
        <v>295</v>
      </c>
      <c r="CW5" s="6" t="s">
        <v>378</v>
      </c>
      <c r="CX5" s="6" t="s">
        <v>184</v>
      </c>
      <c r="CY5" s="6" t="s">
        <v>292</v>
      </c>
      <c r="CZ5" s="19" t="s">
        <v>112</v>
      </c>
      <c r="DA5" s="8" t="s">
        <v>51</v>
      </c>
      <c r="DB5" s="6" t="s">
        <v>108</v>
      </c>
      <c r="DC5" s="6" t="s">
        <v>256</v>
      </c>
      <c r="DD5" s="6" t="s">
        <v>257</v>
      </c>
      <c r="DE5" s="6" t="s">
        <v>102</v>
      </c>
      <c r="DF5" s="6" t="s">
        <v>101</v>
      </c>
      <c r="DG5" s="6" t="s">
        <v>76</v>
      </c>
      <c r="DH5" s="6" t="s">
        <v>51</v>
      </c>
      <c r="DI5" s="6" t="s">
        <v>410</v>
      </c>
      <c r="DJ5" s="6" t="s">
        <v>411</v>
      </c>
      <c r="DK5" s="6" t="s">
        <v>317</v>
      </c>
      <c r="DL5" s="6" t="s">
        <v>316</v>
      </c>
      <c r="DM5" s="6" t="s">
        <v>237</v>
      </c>
      <c r="DN5" s="6" t="s">
        <v>238</v>
      </c>
      <c r="DO5" s="6" t="s">
        <v>51</v>
      </c>
      <c r="DP5" s="6" t="s">
        <v>51</v>
      </c>
      <c r="DQ5" s="5" t="s">
        <v>372</v>
      </c>
      <c r="DR5" s="6" t="s">
        <v>369</v>
      </c>
      <c r="DS5" s="18" t="s">
        <v>322</v>
      </c>
      <c r="DT5" s="107" t="s">
        <v>323</v>
      </c>
      <c r="DU5" s="6" t="s">
        <v>51</v>
      </c>
      <c r="DV5" s="6" t="s">
        <v>51</v>
      </c>
      <c r="DW5" s="18" t="s">
        <v>51</v>
      </c>
      <c r="DX5" s="6" t="s">
        <v>51</v>
      </c>
      <c r="DY5" s="6" t="s">
        <v>51</v>
      </c>
      <c r="DZ5" s="6" t="s">
        <v>187</v>
      </c>
      <c r="EA5" s="6" t="s">
        <v>113</v>
      </c>
      <c r="EB5" s="19" t="s">
        <v>99</v>
      </c>
      <c r="EC5" s="18" t="s">
        <v>51</v>
      </c>
      <c r="ED5" s="6" t="s">
        <v>51</v>
      </c>
      <c r="EE5" s="6" t="s">
        <v>188</v>
      </c>
      <c r="EF5" s="5" t="s">
        <v>375</v>
      </c>
      <c r="EG5" s="5" t="s">
        <v>185</v>
      </c>
      <c r="EH5" s="18" t="s">
        <v>303</v>
      </c>
      <c r="EI5" s="19" t="s">
        <v>98</v>
      </c>
      <c r="EJ5" s="8" t="s">
        <v>51</v>
      </c>
      <c r="EK5" s="17" t="s">
        <v>122</v>
      </c>
      <c r="EL5" s="6" t="s">
        <v>121</v>
      </c>
      <c r="EM5" s="6" t="s">
        <v>123</v>
      </c>
      <c r="EN5" s="16" t="s">
        <v>124</v>
      </c>
      <c r="EO5" s="17" t="s">
        <v>141</v>
      </c>
      <c r="EP5" s="6" t="s">
        <v>143</v>
      </c>
      <c r="EQ5" s="19" t="s">
        <v>142</v>
      </c>
      <c r="ER5" s="6" t="s">
        <v>144</v>
      </c>
      <c r="ES5" s="6" t="s">
        <v>146</v>
      </c>
      <c r="ET5" s="19" t="s">
        <v>145</v>
      </c>
      <c r="EU5" s="6" t="s">
        <v>327</v>
      </c>
      <c r="EV5" s="6" t="s">
        <v>328</v>
      </c>
      <c r="EW5" s="5" t="s">
        <v>234</v>
      </c>
      <c r="EX5" s="5" t="s">
        <v>272</v>
      </c>
      <c r="EY5" s="158" t="s">
        <v>190</v>
      </c>
      <c r="EZ5" s="5" t="s">
        <v>192</v>
      </c>
      <c r="FA5" s="158" t="s">
        <v>199</v>
      </c>
      <c r="FB5" s="6" t="s">
        <v>200</v>
      </c>
      <c r="FC5" s="17" t="s">
        <v>347</v>
      </c>
      <c r="FD5" s="6" t="s">
        <v>216</v>
      </c>
      <c r="FE5" s="6" t="s">
        <v>220</v>
      </c>
      <c r="FF5" s="6" t="s">
        <v>353</v>
      </c>
      <c r="FG5" s="6" t="s">
        <v>355</v>
      </c>
      <c r="FH5" s="158" t="s">
        <v>357</v>
      </c>
      <c r="FI5" s="6" t="s">
        <v>359</v>
      </c>
      <c r="FJ5" s="158" t="s">
        <v>362</v>
      </c>
      <c r="FK5" s="16" t="s">
        <v>363</v>
      </c>
      <c r="FL5" s="158" t="s">
        <v>51</v>
      </c>
      <c r="FM5" s="6" t="s">
        <v>415</v>
      </c>
      <c r="FN5" s="6" t="s">
        <v>420</v>
      </c>
      <c r="FO5" s="6" t="s">
        <v>261</v>
      </c>
      <c r="FP5" s="6" t="s">
        <v>262</v>
      </c>
      <c r="FQ5" s="6" t="s">
        <v>263</v>
      </c>
      <c r="FR5" s="19" t="s">
        <v>264</v>
      </c>
      <c r="FS5" s="6" t="s">
        <v>383</v>
      </c>
      <c r="FT5" s="6" t="s">
        <v>384</v>
      </c>
      <c r="FU5" s="6" t="s">
        <v>438</v>
      </c>
      <c r="FV5" s="6" t="s">
        <v>437</v>
      </c>
      <c r="FW5" s="6" t="s">
        <v>51</v>
      </c>
      <c r="FX5" s="6" t="s">
        <v>336</v>
      </c>
      <c r="FY5" s="6" t="s">
        <v>337</v>
      </c>
      <c r="FZ5" s="6" t="s">
        <v>196</v>
      </c>
      <c r="GA5" s="6" t="s">
        <v>441</v>
      </c>
      <c r="GB5" s="19" t="s">
        <v>339</v>
      </c>
      <c r="GC5" s="158" t="s">
        <v>399</v>
      </c>
      <c r="GD5" s="158" t="s">
        <v>400</v>
      </c>
      <c r="GE5" s="6" t="s">
        <v>51</v>
      </c>
      <c r="GF5" s="6" t="s">
        <v>51</v>
      </c>
      <c r="GG5" s="6" t="s">
        <v>51</v>
      </c>
      <c r="GH5" s="6" t="s">
        <v>51</v>
      </c>
      <c r="GI5" s="5"/>
      <c r="GR5" s="6" t="s">
        <v>443</v>
      </c>
    </row>
    <row r="6" spans="1:403" s="3" customFormat="1" ht="21" collapsed="1" x14ac:dyDescent="0.3">
      <c r="A6" s="58" t="s">
        <v>1</v>
      </c>
      <c r="B6" s="72" t="s">
        <v>242</v>
      </c>
      <c r="C6" s="187" t="str">
        <f>VLOOKUP(B6,Material_Table,2,FALSE)</f>
        <v>Stainless</v>
      </c>
      <c r="D6" s="58" t="s">
        <v>178</v>
      </c>
      <c r="E6" s="58" t="s">
        <v>416</v>
      </c>
      <c r="F6" s="58" t="s">
        <v>177</v>
      </c>
      <c r="G6" s="73" t="s">
        <v>367</v>
      </c>
      <c r="H6" s="72">
        <v>1.1559999999999999</v>
      </c>
      <c r="I6" s="59">
        <v>0.625</v>
      </c>
      <c r="J6" s="59">
        <v>25</v>
      </c>
      <c r="K6" s="59">
        <v>5</v>
      </c>
      <c r="L6" s="74" t="s">
        <v>177</v>
      </c>
      <c r="M6" s="75">
        <v>0</v>
      </c>
      <c r="N6" s="60">
        <v>5</v>
      </c>
      <c r="O6" s="60">
        <f>ROUND(Fan_Shaft_Angle_ShortLeg / Pitch,0)</f>
        <v>0</v>
      </c>
      <c r="P6" s="63">
        <f>ROUND(Fan_Shaft_Angle_ShortLeg / Pitch,0)</f>
        <v>0</v>
      </c>
      <c r="Q6" s="197" t="str">
        <f>Half_Tube_Face</f>
        <v>No</v>
      </c>
      <c r="R6" s="206">
        <f>IF(Bottom_Row_Type="long Row",    QTY_in_Long_Row_Pattern,    QTY_in_Short_Row_Pattern) - Additional_Tubes_SS + SSS_After_Tube_Adjustment</f>
        <v>25</v>
      </c>
      <c r="S6" s="207">
        <f>IF(Bottom_Row_Type="long Row",   QTY_in_Long_Row_SS_Pattern,  QTY_in_Short_Row_SS_Pattern) + SSS_After_Tube_Adjustment_SS</f>
        <v>5</v>
      </c>
      <c r="T6" s="76">
        <f>IF(End_Plate_Thk&gt;=1,End_Plate_Thk-1+(VLOOKUP(Tube_Size,Hole_Table,6,FALSE)),VLOOKUP(Tube_Size,Hole_Table,6,FALSE))</f>
        <v>1.4375</v>
      </c>
      <c r="U6" s="61">
        <f>IF(Wrapper_Thk&gt;=1,Wrapper_Thk-1+(VLOOKUP(Tube_Size,Hole_Table,7,FALSE)),VLOOKUP(Tube_Size,Hole_Table,7,FALSE))</f>
        <v>1.625</v>
      </c>
      <c r="V6" s="48">
        <f>VLOOKUP(Tube_Size,Hole_Table,4,FALSE)</f>
        <v>1.5</v>
      </c>
      <c r="W6" s="61">
        <v>0</v>
      </c>
      <c r="X6" s="72">
        <v>1.1559999999999999</v>
      </c>
      <c r="Y6" s="59">
        <v>0.625</v>
      </c>
      <c r="Z6" s="59">
        <v>25</v>
      </c>
      <c r="AA6" s="59">
        <v>4</v>
      </c>
      <c r="AB6" s="74" t="s">
        <v>177</v>
      </c>
      <c r="AC6" s="75">
        <v>0</v>
      </c>
      <c r="AD6" s="60">
        <v>5</v>
      </c>
      <c r="AE6" s="60">
        <f>ROUND(COMB_Fan_Shaft_Angle_ShortLeg / COMB_Pitch,0)</f>
        <v>0</v>
      </c>
      <c r="AF6" s="63">
        <f>ROUND(COMB_Fan_Shaft_Angle_ShortLeg / COMB_Pitch,0)</f>
        <v>0</v>
      </c>
      <c r="AG6" s="197" t="str">
        <f>COMB_Half_Tube_Face</f>
        <v>No</v>
      </c>
      <c r="AH6" s="22">
        <f>IF(COMB_Bottom_Row_Type="long Row",   COMB_QTY_in_Long_Row_SS_Pattern,  COMB_QTY_in_Short_Row_SS_Pattern) - COMB_Additional_Tubes_SS + COMB_SSS_After_Tube_Adjustment_SS</f>
        <v>4</v>
      </c>
      <c r="AI6" s="22">
        <f>IF(COMB_Bottom_Row_Type="long Row",    COMB_QTY_in_Long_Row_Pattern,    COMB_QTY_in_Short_Row_Pattern) + COMB_SSS_After_Tube_Adjustment</f>
        <v>24</v>
      </c>
      <c r="AJ6" s="76">
        <f>IF(End_Plate_Thk&gt;=1,End_Plate_Thk-1+(VLOOKUP(COMB_Tube_Size,Hole_Table,6,FALSE)),VLOOKUP(COMB_Tube_Size,Hole_Table,6,FALSE))</f>
        <v>1.4375</v>
      </c>
      <c r="AK6" s="61">
        <f>IF(Wrapper_Thk&gt;=1,Wrapper_Thk-1+(VLOOKUP(COMB_Tube_Size,Hole_Table,7,FALSE)),VLOOKUP(COMB_Tube_Size,Hole_Table,7,FALSE))</f>
        <v>1.625</v>
      </c>
      <c r="AL6" s="48">
        <f>VLOOKUP(COMB_Tube_Size,Hole_Table,4,FALSE)</f>
        <v>1.5</v>
      </c>
      <c r="AM6" s="72">
        <v>0.5</v>
      </c>
      <c r="AN6" s="60">
        <v>1</v>
      </c>
      <c r="AO6" s="61">
        <f>IF(Top_Drill-Wrapper_Thk+(Vertical_Pitch*(Total_No_of_Rows-1))+(Tube_Dia/2)+0.25  &gt;  COMB_Top_Drill-Wrapper_Thk+(COMB_Vertical_Pitch*(COMB_Total_No_of_Rows-1))+(COMB_Tube_Dia/2)+0.25,  Top_Drill-Wrapper_Thk+(Vertical_Pitch*(Total_No_of_Rows-1))+(Tube_Dia/2)+0.25, COMB_Top_Drill-Wrapper_Thk+(COMB_Vertical_Pitch*(COMB_Total_No_of_Rows-1))+(COMB_Tube_Dia/2)+0.25)</f>
        <v>6.8836524227066302</v>
      </c>
      <c r="AP6" s="60">
        <v>10</v>
      </c>
      <c r="AQ6" s="60">
        <v>0.37500000000000006</v>
      </c>
      <c r="AR6" s="137">
        <f>End_Plate_Thk</f>
        <v>0.37500000000000006</v>
      </c>
      <c r="AS6" s="62">
        <f>End_Drill + (Pitch*(QTY_in_Long_Row_Pattern-1)) + IF(Half_Tube_Face="Yes",(Pitch/2),0) + SS_1 + IF(SS_1=0,0,(Pitch*(QTY_in_Long_Row_SS_Pattern-Additional_Tubes_SS-0))) + (Pitch/2)+(AddedLength/2)</f>
        <v>38.1875</v>
      </c>
      <c r="AT6" s="63">
        <f>Header_Length-Divider_Plate_Location</f>
        <v>38.1875</v>
      </c>
      <c r="AU6" s="63">
        <f xml:space="preserve"> COMB_End_Drill + IF(SS_2=0, (COMB_Pitch*(COMB_QTY_in_Long_Row_Pattern-1)), (COMB_Pitch*(COMB_QTY_in_Long_Row_Pattern-COMB_Additional_Tubes_SS-1))) + IF(COMB_Half_Tube_Face="Yes",(COMB_Pitch/2),0) + SS_2 + IF(SS_2=0,0,(COMB_Pitch*(COMB_QTY_in_Long_Row_SS_Pattern-0))) + (COMB_Pitch/2) + Divider_Plate_Location + (AddedLength/2)</f>
        <v>76.375</v>
      </c>
      <c r="AV6" s="64">
        <f>Header_Length+0.125</f>
        <v>76.5</v>
      </c>
      <c r="AW6" s="62"/>
      <c r="AX6" s="63">
        <v>90</v>
      </c>
      <c r="AY6" s="65">
        <v>9.9999999999999995E-7</v>
      </c>
      <c r="AZ6" s="63">
        <f>IF(LEFT(Header_Type,5)="Plate", Wrapper_Span-(2*Weld_Gap), Wrapper_Span+(2*T_and_P_Thk))</f>
        <v>9.6875</v>
      </c>
      <c r="BA6" s="63" t="str">
        <f>IF(AND(LEFT(Header_Type,5)="Plate",ASME_Code_Stamp?="Yes"),"U","S")</f>
        <v>S</v>
      </c>
      <c r="BB6" s="63">
        <f>VLOOKUP(Header_Type,Header_Type_Table,2,FALSE)</f>
        <v>1</v>
      </c>
      <c r="BC6" s="63">
        <f>IF(Material_Type="Carbon",1,2)</f>
        <v>2</v>
      </c>
      <c r="BD6" s="63" t="str">
        <f>IF(LEFT(Header_Type_Number,1)+0=1,"U","S")</f>
        <v>U</v>
      </c>
      <c r="BE6" s="63" t="str">
        <f>IF(LEFT(Header_Type_Number,1)+0&lt;&gt;1,"U","S")</f>
        <v>S</v>
      </c>
      <c r="BF6" s="63" t="str">
        <f>IF(LEFT(Header_Type_Number,1)+0&lt;&gt;1,"U","S")</f>
        <v>S</v>
      </c>
      <c r="BG6" s="63" t="str">
        <f>IF(LEFT(Header_Type_Number,1)+0&lt;&gt;1,"U","S")</f>
        <v>S</v>
      </c>
      <c r="BH6" s="63" t="str">
        <f>VLOOKUP(Header_Type,Header_Type_Table,3,FALSE)</f>
        <v>S</v>
      </c>
      <c r="BI6" s="63" t="str">
        <f>IF(Bevel_Type="Beasley","S",VLOOKUP(Header_Type,Header_Type_Table,4,FALSE))</f>
        <v>U</v>
      </c>
      <c r="BJ6" s="67" t="str">
        <f>BI6</f>
        <v>U</v>
      </c>
      <c r="BK6" s="63" t="str">
        <f>IF(Bevel_Type="Beasley",  "S",  VLOOKUP(Header_Type,Header_Type_Table,4,FALSE) )</f>
        <v>U</v>
      </c>
      <c r="BL6" s="67" t="str">
        <f>BK6</f>
        <v>U</v>
      </c>
      <c r="BM6" s="63" t="str">
        <f>IF(Bevel_Type="Jbevel",  "U",  "S")</f>
        <v>S</v>
      </c>
      <c r="BN6" s="63" t="str">
        <f>IF(Bevel_Type="Beasley", "S", "U")</f>
        <v>U</v>
      </c>
      <c r="BO6" s="63" t="str">
        <f>IF(AND(Bevel_Type="Beasley", LEFT(Header_Type,5)="Plate"), "S", "S")</f>
        <v>S</v>
      </c>
      <c r="BP6" s="67" t="str">
        <f>BO6</f>
        <v>S</v>
      </c>
      <c r="BQ6" s="63">
        <f>IF(Header_Type="Tube",T_and_P_Thk*2,IF(AND(Header_Type="SQ Pipe",Wrapper_Span+2*T_and_P_Thk&gt;10),1.25,1))</f>
        <v>1</v>
      </c>
      <c r="BR6" s="68"/>
      <c r="BS6" s="63">
        <f>VLOOKUP(Tube_Dia,Hole_Table,8,FALSE)</f>
        <v>0.59375</v>
      </c>
      <c r="BT6" s="63">
        <f>IF(Tube_Connection_Type="Strength Weld", (Tube_Hole_Chamfer_OD - PreDrill_Hole_Dia)/2, 0.0625)</f>
        <v>6.25E-2</v>
      </c>
      <c r="BU6" s="63">
        <f>BT$8</f>
        <v>6.25E-2</v>
      </c>
      <c r="BV6" s="63">
        <f>VLOOKUP(Tube_Size, Hole_Table,2,FALSE)</f>
        <v>0.625</v>
      </c>
      <c r="BW6" s="63">
        <f>VLOOKUP(Tube_Size,Hole_Table,3,FALSE)</f>
        <v>1.5</v>
      </c>
      <c r="BX6" s="63">
        <f>IF(BX13&gt;0,BX13,Pitch)</f>
        <v>1.4947916666666667</v>
      </c>
      <c r="BY6" s="65">
        <f>(Pitch/2)*(TAN(RADIANS(60)))</f>
        <v>1.2990381056766576</v>
      </c>
      <c r="BZ6" s="172" t="str">
        <f>"U"</f>
        <v>U</v>
      </c>
      <c r="CA6" s="113" t="str">
        <f>BZ6</f>
        <v>U</v>
      </c>
      <c r="CB6" s="110">
        <f>IF(CB10&lt;=0,1,CB10)</f>
        <v>25</v>
      </c>
      <c r="CC6" s="63">
        <f>IF(CC10&lt;=0,1,CC10)</f>
        <v>24</v>
      </c>
      <c r="CD6" s="63">
        <f>IF(ISODD(Total_No_of_Rows),INT(Total_No_of_Rows/2)+1,Total_No_of_Rows/2)</f>
        <v>3</v>
      </c>
      <c r="CE6" s="63">
        <f>Total_No_of_Rows-QTY_of_Long_Rows_Actual</f>
        <v>2</v>
      </c>
      <c r="CF6" s="63">
        <f>IF(QTY_of_Long_Rows_Actual&lt;=1,2,QTY_of_Long_Rows_Actual)</f>
        <v>3</v>
      </c>
      <c r="CG6" s="65">
        <f>IF(QTY_of_Short_Rows_Actual&lt;=1,2,QTY_of_Short_Rows_Actual)</f>
        <v>2</v>
      </c>
      <c r="CH6" s="174" t="str">
        <f>IF(SS_1&gt;0,"U","S")</f>
        <v>S</v>
      </c>
      <c r="CI6" s="113">
        <f>Pitch_Actual</f>
        <v>1.4947916666666667</v>
      </c>
      <c r="CJ6" s="110">
        <f>IF(CJ10&lt;=0,1,CJ10)</f>
        <v>5</v>
      </c>
      <c r="CK6" s="63">
        <f>IF(CK10&lt;=0,1,CK10)</f>
        <v>4</v>
      </c>
      <c r="CL6" s="63">
        <f>CF6</f>
        <v>3</v>
      </c>
      <c r="CM6" s="65">
        <f>CG6</f>
        <v>2</v>
      </c>
      <c r="CN6" s="110">
        <f>IF(CN10&lt;=0,0.00001,CN10)</f>
        <v>35.875</v>
      </c>
      <c r="CO6" s="63">
        <f>IF(CO10&lt;=0,0.00001,CO10)</f>
        <v>34.380208333333336</v>
      </c>
      <c r="CP6" s="63" t="str">
        <f>IF(ISODD(Total_No_of_Rows),"Long Row","Short Row")</f>
        <v>Long Row</v>
      </c>
      <c r="CQ6" s="63">
        <f>IF(Bottom_Row_Type="Long Row",0.00001,Pitch/2)</f>
        <v>1.0000000000000001E-5</v>
      </c>
      <c r="CR6" s="63">
        <f>IF(CR10&lt;=0,0.00001,CR10)</f>
        <v>35.875</v>
      </c>
      <c r="CS6" s="63">
        <f>IF(CS10&lt;=0,0.00001,CS10)</f>
        <v>5.1961524227066302</v>
      </c>
      <c r="CT6" s="110">
        <f>IF(CT10&lt;=0,0.00001,CT10)</f>
        <v>5.979166666666667</v>
      </c>
      <c r="CU6" s="63">
        <f>IF(CU10&lt;=0,0.00001,CU10)</f>
        <v>4.484375</v>
      </c>
      <c r="CV6" s="113">
        <f>$CQ$6</f>
        <v>1.0000000000000001E-5</v>
      </c>
      <c r="CW6" s="63">
        <f>(Pitch/2)+$CW$13</f>
        <v>0.875</v>
      </c>
      <c r="CX6" s="113">
        <f>$CW$6</f>
        <v>0.875</v>
      </c>
      <c r="CY6" s="63">
        <f>IF(CY10&lt;=0,0.00001,CY10)</f>
        <v>5.979166666666667</v>
      </c>
      <c r="CZ6" s="65">
        <f>IF(CZ10&lt;=0,0.00001,CZ10)</f>
        <v>1.0000000000000001E-5</v>
      </c>
      <c r="DA6" s="114"/>
      <c r="DB6" s="63">
        <f>VLOOKUP(COMB_Tube_Dia,Hole_Table,8,FALSE)</f>
        <v>0.59375</v>
      </c>
      <c r="DC6" s="63">
        <f>IF(Tube_Connection_Type="Strength Weld", (COMB_Tube_Hole_Chamfer_OD - COMB_PreDrill_Hole_Dia)/2, 0.0625)</f>
        <v>6.25E-2</v>
      </c>
      <c r="DD6" s="63">
        <f>DC$8</f>
        <v>6.25E-2</v>
      </c>
      <c r="DE6" s="63">
        <f>VLOOKUP(COMB_Tube_Size, Hole_Table,2,FALSE)</f>
        <v>0.625</v>
      </c>
      <c r="DF6" s="63">
        <f>VLOOKUP(COMB_Tube_Size,Hole_Table,3,FALSE)</f>
        <v>1.5</v>
      </c>
      <c r="DG6" s="63">
        <f>IF(DG13&gt;0,DG13,COMB_Pitch)</f>
        <v>1.4947916666666667</v>
      </c>
      <c r="DH6" s="63">
        <f>(COMB_Pitch/2)*(TAN(RADIANS(60)))</f>
        <v>1.2990381056766576</v>
      </c>
      <c r="DI6" s="172" t="str">
        <f>"U"</f>
        <v>U</v>
      </c>
      <c r="DJ6" s="113" t="str">
        <f>DI6</f>
        <v>U</v>
      </c>
      <c r="DK6" s="110">
        <f>IF(DK10&lt;=0,1,DK10)</f>
        <v>25</v>
      </c>
      <c r="DL6" s="63">
        <f>IF(DL10&lt;=0,1,DL10)</f>
        <v>24</v>
      </c>
      <c r="DM6" s="63">
        <f>IF(ISODD(COMB_Total_No_of_Rows),INT(COMB_Total_No_of_Rows/2)+1,COMB_Total_No_of_Rows/2)</f>
        <v>2</v>
      </c>
      <c r="DN6" s="63">
        <f>COMB_Total_No_of_Rows-COMB_QTY_of_Long_Rows_Actual</f>
        <v>2</v>
      </c>
      <c r="DO6" s="65">
        <f>IF(COMB_QTY_of_Long_Rows_Actual&lt;=1,2,COMB_QTY_of_Long_Rows_Actual)</f>
        <v>2</v>
      </c>
      <c r="DP6" s="65">
        <f>IF(COMB_QTY_of_Short_Rows_Actual&lt;=1,2,COMB_QTY_of_Short_Rows_Actual)</f>
        <v>2</v>
      </c>
      <c r="DQ6" s="66" t="str">
        <f>IF(SS_2&gt;0,"U","S")</f>
        <v>S</v>
      </c>
      <c r="DR6" s="113">
        <f>COMB_Pitch_Actual</f>
        <v>1.4947916666666667</v>
      </c>
      <c r="DS6" s="110">
        <f>IF(DS10&lt;=0,1,DS10)</f>
        <v>5</v>
      </c>
      <c r="DT6" s="63">
        <f>IF(DT10&lt;=0,1,DT10)</f>
        <v>4</v>
      </c>
      <c r="DU6" s="63">
        <f>DO6</f>
        <v>2</v>
      </c>
      <c r="DV6" s="65">
        <f>DP6</f>
        <v>2</v>
      </c>
      <c r="DW6" s="110">
        <f>IF(DW10&lt;=0,0.00001,DW10)</f>
        <v>5.979166666666667</v>
      </c>
      <c r="DX6" s="63">
        <f>IF(DX10&lt;=0,0.00001,DX10)</f>
        <v>4.484375</v>
      </c>
      <c r="DY6" s="63" t="str">
        <f>IF(ISODD(COMB_Total_No_of_Rows),"Long Row","Short Row")</f>
        <v>Short Row</v>
      </c>
      <c r="DZ6" s="63">
        <f>IF(COMB_Bottom_Row_Type="Long Row",0.00001,COMB_Pitch/2)</f>
        <v>0.75</v>
      </c>
      <c r="EA6" s="63">
        <f>IF(EA10&lt;=0,0.00001,EA10)</f>
        <v>4.484375</v>
      </c>
      <c r="EB6" s="65">
        <f>IF(COMB_Vertical_Pitch*(COMB_Total_No_of_Rows-1)=0,COMB_Vertical_Pitch*(COMB_Total_No_of_Rows-1)+0.000001,COMB_Vertical_Pitch*(COMB_Total_No_of_Rows-1))</f>
        <v>3.8971143170299727</v>
      </c>
      <c r="EC6" s="110">
        <f>IF(EC10&lt;=0,0.00001,EC10)</f>
        <v>35.875</v>
      </c>
      <c r="ED6" s="63">
        <f>IF(ED10&lt;=0,0.00001,ED10)</f>
        <v>34.380208333333336</v>
      </c>
      <c r="EE6" s="113">
        <f>$DZ$6</f>
        <v>0.75</v>
      </c>
      <c r="EF6" s="63">
        <f>(COMB_Pitch/2)+$EF$13</f>
        <v>0.875</v>
      </c>
      <c r="EG6" s="113">
        <f>$EF$6</f>
        <v>0.875</v>
      </c>
      <c r="EH6" s="63">
        <f>IF(EH10&lt;=0,0.00001,EH10)</f>
        <v>34.380208333333336</v>
      </c>
      <c r="EI6" s="63">
        <f>IF(EI10&lt;=0,0.00001,EI10)</f>
        <v>35.875</v>
      </c>
      <c r="EJ6" s="114"/>
      <c r="EK6" s="115">
        <f>IF($CS$6+Top_Drill+(Fin_Dia/2) &gt; $EB$6+COMB_Top_Drill+(COMB_Fin_Dia/2), $CS$6+Top_Drill+(Fin_Dia/2),$EB$6+COMB_Top_Drill+(COMB_Fin_Dia/2))</f>
        <v>7.5711524227066302</v>
      </c>
      <c r="EL6" s="63">
        <f>IF($CS$6+Top_Drill+(Fin_Dia/2) = $EB$6+COMB_Top_Drill+(COMB_Fin_Dia/2), T_and_P_Span+10, IF($CS$6+Top_Drill+(Fin_Dia/2) &lt; $EB$6+COMB_Top_Drill+(COMB_Fin_Dia/2),$CS$6+Top_Drill+(Fin_Dia/2),$EB$6+COMB_Top_Drill+(COMB_Fin_Dia/2)))</f>
        <v>6.2721143170299722</v>
      </c>
      <c r="EM6" s="63">
        <f>IF($CS$6+Top_Drill+(Fin_Dia/2)&lt;$EB$6+COMB_Top_Drill+(COMB_Fin_Dia/2),0.000001,Divider_Plate_Location+(0.1046/2))</f>
        <v>38.239800000000002</v>
      </c>
      <c r="EN6" s="116">
        <f>IF($CS$6+Top_Drill+(Fin_Dia/2) &lt; $EB$6+COMB_Top_Drill+(COMB_Fin_Dia/2),Divider_Plate_Location-(0.1046/2),Header_Length)</f>
        <v>76.375</v>
      </c>
      <c r="EO6" s="115">
        <f>VLOOKUP(Tube_Dia,Hole_Table,10,FALSE)</f>
        <v>0.375</v>
      </c>
      <c r="EP6" s="63">
        <f>VLOOKUP(Tube_Dia,Hole_Table,11,FALSE)</f>
        <v>3.7499999999999999E-2</v>
      </c>
      <c r="EQ6" s="65">
        <f>VLOOKUP(Tube_Dia,Hole_Table,12,FALSE)</f>
        <v>20</v>
      </c>
      <c r="ER6" s="63">
        <f>VLOOKUP(COMB_Tube_Dia,Hole_Table,10,FALSE)</f>
        <v>0.375</v>
      </c>
      <c r="ES6" s="63">
        <f>VLOOKUP(COMB_Tube_Dia,Hole_Table,11,FALSE)</f>
        <v>3.7499999999999999E-2</v>
      </c>
      <c r="ET6" s="65">
        <f>VLOOKUP(COMB_Tube_Dia,Hole_Table,12,FALSE)</f>
        <v>20</v>
      </c>
      <c r="EU6" s="63">
        <f>VLOOKUP(Tube_Dia,Hole_Table,4,FALSE)</f>
        <v>1.5</v>
      </c>
      <c r="EV6" s="63">
        <f>VLOOKUP(COMB_Tube_Dia,Hole_Table,4,FALSE)</f>
        <v>1.5</v>
      </c>
      <c r="EW6" s="63" t="str">
        <f>IF(LEFT(D6,5)&lt;&gt;"Plate","U","S")</f>
        <v>S</v>
      </c>
      <c r="EX6" s="63" t="str">
        <f>EW6</f>
        <v>S</v>
      </c>
      <c r="EY6" s="63">
        <f>IF(Header_Type="Tube",0.00001,IF(Bevel_Type="Beasley", 0.125,0.15625))</f>
        <v>0.15625</v>
      </c>
      <c r="EZ6" s="66" t="s">
        <v>193</v>
      </c>
      <c r="FA6" s="67">
        <f>0</f>
        <v>0</v>
      </c>
      <c r="FB6" s="67">
        <f>FA6</f>
        <v>0</v>
      </c>
      <c r="FC6" s="115" t="str">
        <f>IF(AND(Bevel_Type="Jbevel",LEFT(Header_Type,5)="Plate"),"U","S")</f>
        <v>S</v>
      </c>
      <c r="FD6" s="63">
        <f>IF(Material_Type="Stainless",0,0)</f>
        <v>0</v>
      </c>
      <c r="FE6" s="63">
        <f ca="1">IF(FC6="U",37.5,VLOOKUP(Wrapper_Thk,IF(Material_Type="Stainless",INDIRECT("TP_Chamfer_Angle_SS"),INDIRECT("TP_Chamfer_Angle")),3,TRUE))</f>
        <v>20</v>
      </c>
      <c r="FF6" s="22">
        <f>IF(FC6="U",20, 25)</f>
        <v>25</v>
      </c>
      <c r="FG6" s="22">
        <f>IF(FC6="U",0.281,0.00000001)</f>
        <v>1E-8</v>
      </c>
      <c r="FH6" s="22">
        <f>IF(FC6="U",0.06,0.00000001)</f>
        <v>1E-8</v>
      </c>
      <c r="FI6" s="22">
        <f>(EY6+FH6)*COS(RADIANS(FF6))</f>
        <v>0.14161060078755441</v>
      </c>
      <c r="FJ6" s="22" t="str">
        <f>IF(OR(FC6="U", Bevel_Type="Beasley"), "U", "S")</f>
        <v>S</v>
      </c>
      <c r="FK6" s="121" t="str">
        <f>IF(FJ6="U","S","U")</f>
        <v>U</v>
      </c>
      <c r="FL6" s="166" t="str">
        <f>"No"</f>
        <v>No</v>
      </c>
      <c r="FM6" s="166" t="str">
        <f t="shared" ref="FM6" si="0">"S"</f>
        <v>S</v>
      </c>
      <c r="FN6" s="22" t="str">
        <f>IF(ErrorMSG1="","S","U")</f>
        <v>S</v>
      </c>
      <c r="FO6" s="63">
        <f>Pitch_Actual*(QTY_in_Long_Row_Pattern-1)</f>
        <v>35.875</v>
      </c>
      <c r="FP6" s="63">
        <f>QTY_in_Long_Row_Pattern</f>
        <v>25</v>
      </c>
      <c r="FQ6" s="63">
        <f>COMB_Pitch_Actual*(COMB_QTY_in_Long_Row_Pattern-1)</f>
        <v>35.875</v>
      </c>
      <c r="FR6" s="65">
        <f>COMB_QTY_in_Long_Row_Pattern</f>
        <v>25</v>
      </c>
      <c r="FS6" s="110">
        <f>IF(Bevel_Type="JBevel", 0.0625, 0.00001)</f>
        <v>1.0000000000000001E-5</v>
      </c>
      <c r="FT6" s="63">
        <f>IF(Bevel_Type="JBevel", EY6+FS6, 0.00001)</f>
        <v>1.0000000000000001E-5</v>
      </c>
      <c r="FU6" s="63" t="str">
        <f>CONCATENATE($B$2,$C$2)</f>
        <v>1</v>
      </c>
      <c r="FV6" s="63" t="str">
        <f>CONCATENATE($B$2,$E$2)</f>
        <v>2</v>
      </c>
      <c r="FW6" s="63" t="str">
        <f>_xlfn.CONCAT($FU6,"-",$FV6)</f>
        <v>1-2</v>
      </c>
      <c r="FX6" s="63" t="str">
        <f>CONCATENATE(".",$FU6)</f>
        <v>.1</v>
      </c>
      <c r="FY6" s="63" t="str">
        <f>CONCATENATE(".",$FV6)</f>
        <v>.2</v>
      </c>
      <c r="FZ6" s="63" t="str">
        <f>CONCATENATE($FW6,"-BOX-F")</f>
        <v>1-2-BOX-F</v>
      </c>
      <c r="GA6" s="63" t="str">
        <f>CONCATENATE($FW6,"-SEC")</f>
        <v>1-2-SEC</v>
      </c>
      <c r="GB6" s="65" t="str">
        <f>LEFT(A2,FIND("_",A2,1)-1)</f>
        <v>000000</v>
      </c>
      <c r="GC6" s="22">
        <f xml:space="preserve"> IF(Bevel_Type="Beasley",  VLOOKUP(End_Plate_Thk, TPW_Cham_Ang_at_EndPlate,2,TRUE),  0 )</f>
        <v>0</v>
      </c>
      <c r="GD6" s="22">
        <f>IF(Bevel_Type="Beasley", GC6, 0)</f>
        <v>0</v>
      </c>
      <c r="GE6" s="208">
        <f>IF(SS_1&gt;0,  22.619864954,  0)</f>
        <v>0</v>
      </c>
      <c r="GF6" s="208">
        <f>IF(SS_2&gt;0,  22.619864954,  0)</f>
        <v>0</v>
      </c>
      <c r="GG6" s="208">
        <f>Height_of_all_Rows*TAN(RADIANS(Fan_Shaft_Angle))</f>
        <v>0</v>
      </c>
      <c r="GH6" s="208">
        <f>COMB_Height_of_all_Rows*TAN(RADIANS(COMB_Fan_Shaft_Angle))</f>
        <v>0</v>
      </c>
      <c r="GJ6" s="117"/>
      <c r="GK6" s="117"/>
      <c r="GL6" s="117"/>
      <c r="GM6" s="117"/>
      <c r="GN6" s="117"/>
      <c r="GO6" s="117"/>
      <c r="GP6" s="117"/>
      <c r="GQ6" s="117"/>
      <c r="GR6" s="63" t="str">
        <f>CONCATENATE($FW6,"-HDR")</f>
        <v>1-2-HDR</v>
      </c>
      <c r="GS6" s="117"/>
      <c r="IH6" s="117"/>
      <c r="II6" s="117"/>
      <c r="IK6" s="117"/>
      <c r="IL6" s="117"/>
      <c r="IM6" s="117"/>
      <c r="IN6" s="117"/>
      <c r="IP6" s="117"/>
      <c r="IQ6" s="117"/>
      <c r="IR6" s="117"/>
      <c r="IW6" s="117"/>
      <c r="IX6" s="117"/>
      <c r="IY6" s="117"/>
      <c r="IZ6" s="117"/>
      <c r="JA6" s="117"/>
      <c r="JE6" s="117"/>
      <c r="JF6" s="117"/>
      <c r="JG6" s="117"/>
      <c r="JH6" s="117"/>
      <c r="JI6" s="117"/>
      <c r="JJ6" s="117"/>
      <c r="JK6" s="117"/>
      <c r="JL6" s="117"/>
      <c r="JM6" s="117"/>
      <c r="JN6" s="117"/>
      <c r="JO6" s="117"/>
      <c r="JP6" s="117"/>
      <c r="JQ6" s="117"/>
      <c r="JR6" s="117"/>
      <c r="JS6" s="117"/>
      <c r="KJ6" s="117"/>
      <c r="KK6" s="117"/>
      <c r="KL6" s="117"/>
      <c r="KM6" s="117"/>
      <c r="KN6" s="117"/>
      <c r="KO6" s="117"/>
      <c r="KP6" s="117"/>
      <c r="KQ6" s="117"/>
      <c r="KR6" s="117"/>
      <c r="KS6" s="117"/>
      <c r="KT6" s="117"/>
      <c r="KU6" s="117"/>
      <c r="LB6" s="117"/>
      <c r="LF6" s="117"/>
      <c r="LG6" s="117"/>
      <c r="LK6" s="117"/>
      <c r="LL6" s="117"/>
      <c r="LM6" s="117"/>
      <c r="LN6" s="117"/>
      <c r="LW6" s="117"/>
      <c r="LX6" s="117"/>
      <c r="MG6" s="117"/>
      <c r="MH6" s="117"/>
      <c r="MI6" s="117"/>
      <c r="MJ6" s="117"/>
      <c r="MK6" s="117"/>
      <c r="ML6" s="117"/>
      <c r="MM6" s="117"/>
      <c r="MN6" s="117"/>
      <c r="MO6" s="117"/>
      <c r="MP6" s="117"/>
      <c r="MQ6" s="117"/>
      <c r="MR6" s="117"/>
      <c r="MS6" s="117"/>
      <c r="MT6" s="117"/>
      <c r="MU6" s="117"/>
      <c r="MV6" s="117"/>
      <c r="MW6" s="117"/>
      <c r="MX6" s="117"/>
      <c r="MY6" s="117"/>
      <c r="MZ6" s="117"/>
      <c r="NA6" s="117"/>
      <c r="NB6" s="117"/>
      <c r="NC6" s="117"/>
      <c r="ND6" s="117"/>
      <c r="NE6" s="117"/>
      <c r="NF6" s="117"/>
      <c r="NG6" s="117"/>
      <c r="NH6" s="117"/>
      <c r="NI6" s="117"/>
      <c r="NJ6" s="117"/>
      <c r="NK6" s="117"/>
      <c r="NL6" s="117"/>
      <c r="NM6" s="117"/>
      <c r="NN6" s="117"/>
      <c r="NO6" s="117"/>
      <c r="NP6" s="117"/>
      <c r="NQ6" s="117"/>
      <c r="NR6" s="117"/>
      <c r="NS6" s="117"/>
      <c r="NT6" s="117"/>
      <c r="NU6" s="117"/>
      <c r="NV6" s="117"/>
      <c r="NW6" s="117"/>
      <c r="NX6" s="117"/>
      <c r="NY6" s="117"/>
      <c r="NZ6" s="117"/>
      <c r="OA6" s="117"/>
      <c r="OB6" s="117"/>
      <c r="OC6" s="117"/>
      <c r="OD6" s="117"/>
      <c r="OE6" s="117"/>
      <c r="OF6" s="117"/>
      <c r="OG6" s="117"/>
      <c r="OH6" s="117"/>
      <c r="OI6" s="117"/>
      <c r="OJ6" s="117"/>
      <c r="OK6" s="117"/>
      <c r="OL6" s="117"/>
    </row>
    <row r="7" spans="1:403" s="3" customFormat="1" x14ac:dyDescent="0.3">
      <c r="A7" s="117" t="s">
        <v>214</v>
      </c>
      <c r="B7" s="30" t="str">
        <f t="shared" ref="B7:C8" si="1">B$6</f>
        <v>AXC materials:SA240 304L</v>
      </c>
      <c r="C7" s="29" t="str">
        <f t="shared" si="1"/>
        <v>Stainless</v>
      </c>
      <c r="D7" s="29" t="str">
        <f t="shared" ref="D7:H8" si="2">D$6</f>
        <v>Plate</v>
      </c>
      <c r="E7" s="32" t="str">
        <f>E$6</f>
        <v>Regular</v>
      </c>
      <c r="F7" s="29" t="str">
        <f t="shared" si="2"/>
        <v>No</v>
      </c>
      <c r="G7" s="31" t="str">
        <f t="shared" si="2"/>
        <v>Standard</v>
      </c>
      <c r="H7" s="30">
        <f t="shared" si="2"/>
        <v>1.1559999999999999</v>
      </c>
      <c r="I7" s="29">
        <f t="shared" ref="I7:J8" si="3">I$6</f>
        <v>0.625</v>
      </c>
      <c r="J7" s="29">
        <f t="shared" si="3"/>
        <v>25</v>
      </c>
      <c r="K7" s="29">
        <f t="shared" ref="K7:CZ8" si="4">K$6</f>
        <v>5</v>
      </c>
      <c r="L7" s="31" t="str">
        <f t="shared" si="4"/>
        <v>No</v>
      </c>
      <c r="M7" s="30">
        <f t="shared" ref="M7:AA8" si="5">M$6</f>
        <v>0</v>
      </c>
      <c r="N7" s="29">
        <f t="shared" si="5"/>
        <v>5</v>
      </c>
      <c r="O7" s="29">
        <f t="shared" si="5"/>
        <v>0</v>
      </c>
      <c r="P7" s="29">
        <f>P$6</f>
        <v>0</v>
      </c>
      <c r="Q7" s="198" t="str">
        <f t="shared" si="4"/>
        <v>No</v>
      </c>
      <c r="R7" s="205">
        <f t="shared" si="4"/>
        <v>25</v>
      </c>
      <c r="S7" s="31">
        <f t="shared" si="4"/>
        <v>5</v>
      </c>
      <c r="T7" s="30">
        <f t="shared" ref="T7:W9" si="6">T$6</f>
        <v>1.4375</v>
      </c>
      <c r="U7" s="29">
        <f t="shared" si="6"/>
        <v>1.625</v>
      </c>
      <c r="V7" s="31">
        <f t="shared" si="6"/>
        <v>1.5</v>
      </c>
      <c r="W7" s="29">
        <f>W$6</f>
        <v>0</v>
      </c>
      <c r="X7" s="30">
        <f t="shared" si="4"/>
        <v>1.1559999999999999</v>
      </c>
      <c r="Y7" s="29">
        <f t="shared" si="5"/>
        <v>0.625</v>
      </c>
      <c r="Z7" s="29">
        <f t="shared" si="5"/>
        <v>25</v>
      </c>
      <c r="AA7" s="29">
        <f t="shared" si="5"/>
        <v>4</v>
      </c>
      <c r="AB7" s="31" t="str">
        <f t="shared" si="4"/>
        <v>No</v>
      </c>
      <c r="AC7" s="30">
        <f t="shared" ref="AC7:BU8" si="7">AC$6</f>
        <v>0</v>
      </c>
      <c r="AD7" s="29">
        <f t="shared" si="7"/>
        <v>5</v>
      </c>
      <c r="AE7" s="29">
        <f t="shared" si="7"/>
        <v>0</v>
      </c>
      <c r="AF7" s="29">
        <f>AF$6</f>
        <v>0</v>
      </c>
      <c r="AG7" s="198" t="str">
        <f t="shared" si="4"/>
        <v>No</v>
      </c>
      <c r="AH7" s="29">
        <f>AH$6</f>
        <v>4</v>
      </c>
      <c r="AI7" s="29">
        <f t="shared" si="4"/>
        <v>24</v>
      </c>
      <c r="AJ7" s="30">
        <f t="shared" ref="AJ7:AL8" si="8">AJ$6</f>
        <v>1.4375</v>
      </c>
      <c r="AK7" s="29">
        <f t="shared" si="8"/>
        <v>1.625</v>
      </c>
      <c r="AL7" s="31">
        <f t="shared" si="8"/>
        <v>1.5</v>
      </c>
      <c r="AM7" s="30">
        <f t="shared" ref="AM7:AV8" si="9">AM$6</f>
        <v>0.5</v>
      </c>
      <c r="AN7" s="29">
        <f t="shared" si="9"/>
        <v>1</v>
      </c>
      <c r="AO7" s="29">
        <f t="shared" si="9"/>
        <v>6.8836524227066302</v>
      </c>
      <c r="AP7" s="29">
        <f t="shared" si="9"/>
        <v>10</v>
      </c>
      <c r="AQ7" s="29">
        <f t="shared" si="9"/>
        <v>0.37500000000000006</v>
      </c>
      <c r="AR7" s="31">
        <f t="shared" si="9"/>
        <v>0.37500000000000006</v>
      </c>
      <c r="AS7" s="30">
        <f t="shared" si="9"/>
        <v>38.1875</v>
      </c>
      <c r="AT7" s="29">
        <f t="shared" si="9"/>
        <v>38.1875</v>
      </c>
      <c r="AU7" s="29">
        <f>AU$6</f>
        <v>76.375</v>
      </c>
      <c r="AV7" s="31">
        <f t="shared" si="9"/>
        <v>76.5</v>
      </c>
      <c r="AW7" s="118" t="s">
        <v>1</v>
      </c>
      <c r="AX7" s="22">
        <v>90</v>
      </c>
      <c r="AY7" s="23">
        <v>9.9999999999999995E-7</v>
      </c>
      <c r="AZ7" s="29">
        <f t="shared" ref="AZ7:BC8" si="10">AZ$6</f>
        <v>9.6875</v>
      </c>
      <c r="BA7" s="29" t="str">
        <f t="shared" si="10"/>
        <v>S</v>
      </c>
      <c r="BB7" s="29">
        <f t="shared" si="10"/>
        <v>1</v>
      </c>
      <c r="BC7" s="29">
        <f t="shared" si="10"/>
        <v>2</v>
      </c>
      <c r="BD7" s="32" t="str">
        <f t="shared" ref="BD7:BQ8" si="11">BD$6</f>
        <v>U</v>
      </c>
      <c r="BE7" s="32" t="str">
        <f t="shared" si="11"/>
        <v>S</v>
      </c>
      <c r="BF7" s="32" t="str">
        <f t="shared" si="11"/>
        <v>S</v>
      </c>
      <c r="BG7" s="32" t="str">
        <f t="shared" si="11"/>
        <v>S</v>
      </c>
      <c r="BH7" s="32" t="str">
        <f t="shared" si="11"/>
        <v>S</v>
      </c>
      <c r="BI7" s="32" t="str">
        <f t="shared" si="11"/>
        <v>U</v>
      </c>
      <c r="BJ7" s="32" t="str">
        <f t="shared" si="11"/>
        <v>U</v>
      </c>
      <c r="BK7" s="32" t="str">
        <f t="shared" si="11"/>
        <v>U</v>
      </c>
      <c r="BL7" s="32" t="str">
        <f t="shared" si="11"/>
        <v>U</v>
      </c>
      <c r="BM7" s="29" t="str">
        <f>BM6</f>
        <v>S</v>
      </c>
      <c r="BN7" s="32" t="str">
        <f t="shared" si="11"/>
        <v>U</v>
      </c>
      <c r="BO7" s="32" t="str">
        <f t="shared" si="11"/>
        <v>S</v>
      </c>
      <c r="BP7" s="32" t="str">
        <f t="shared" si="11"/>
        <v>S</v>
      </c>
      <c r="BQ7" s="32">
        <f t="shared" si="11"/>
        <v>1</v>
      </c>
      <c r="BR7" s="33"/>
      <c r="BS7" s="29">
        <f t="shared" si="7"/>
        <v>0.59375</v>
      </c>
      <c r="BT7" s="29">
        <f t="shared" si="7"/>
        <v>6.25E-2</v>
      </c>
      <c r="BU7" s="29">
        <f t="shared" si="7"/>
        <v>6.25E-2</v>
      </c>
      <c r="BV7" s="29">
        <f>BV$6</f>
        <v>0.625</v>
      </c>
      <c r="BW7" s="29">
        <f t="shared" si="4"/>
        <v>1.5</v>
      </c>
      <c r="BX7" s="29">
        <f t="shared" si="4"/>
        <v>1.4947916666666667</v>
      </c>
      <c r="BY7" s="34">
        <f t="shared" si="4"/>
        <v>1.2990381056766576</v>
      </c>
      <c r="BZ7" s="22" t="str">
        <f>IF(Extra_length_4_Beasley_MFG?="Yes","S","U")</f>
        <v>U</v>
      </c>
      <c r="CA7" s="162" t="str">
        <f t="shared" ref="CA7:CA9" si="12">BZ7</f>
        <v>U</v>
      </c>
      <c r="CB7" s="111">
        <f t="shared" si="4"/>
        <v>25</v>
      </c>
      <c r="CC7" s="29">
        <f t="shared" si="4"/>
        <v>24</v>
      </c>
      <c r="CD7" s="29">
        <f t="shared" si="4"/>
        <v>3</v>
      </c>
      <c r="CE7" s="29">
        <f t="shared" si="4"/>
        <v>2</v>
      </c>
      <c r="CF7" s="29">
        <f>CF$6</f>
        <v>3</v>
      </c>
      <c r="CG7" s="34">
        <f t="shared" si="4"/>
        <v>2</v>
      </c>
      <c r="CH7" s="132" t="str">
        <f>IF(BZ7="S","S",CH$6)</f>
        <v>S</v>
      </c>
      <c r="CI7" s="32">
        <f t="shared" si="4"/>
        <v>1.4947916666666667</v>
      </c>
      <c r="CJ7" s="111">
        <f t="shared" si="4"/>
        <v>5</v>
      </c>
      <c r="CK7" s="29">
        <f t="shared" si="4"/>
        <v>4</v>
      </c>
      <c r="CL7" s="29">
        <f t="shared" si="4"/>
        <v>3</v>
      </c>
      <c r="CM7" s="34">
        <f t="shared" si="4"/>
        <v>2</v>
      </c>
      <c r="CN7" s="111">
        <f t="shared" ref="CN7:CO8" si="13">CN$6</f>
        <v>35.875</v>
      </c>
      <c r="CO7" s="29">
        <f t="shared" si="13"/>
        <v>34.380208333333336</v>
      </c>
      <c r="CP7" s="29" t="str">
        <f t="shared" si="4"/>
        <v>Long Row</v>
      </c>
      <c r="CQ7" s="29">
        <f t="shared" si="4"/>
        <v>1.0000000000000001E-5</v>
      </c>
      <c r="CR7" s="29">
        <f>CR$6</f>
        <v>35.875</v>
      </c>
      <c r="CS7" s="34">
        <f t="shared" si="4"/>
        <v>5.1961524227066302</v>
      </c>
      <c r="CT7" s="111">
        <f t="shared" si="4"/>
        <v>5.979166666666667</v>
      </c>
      <c r="CU7" s="29">
        <f t="shared" si="4"/>
        <v>4.484375</v>
      </c>
      <c r="CV7" s="29">
        <f t="shared" si="4"/>
        <v>1.0000000000000001E-5</v>
      </c>
      <c r="CW7" s="29">
        <f t="shared" ref="CW7:CY8" si="14">CW$6</f>
        <v>0.875</v>
      </c>
      <c r="CX7" s="29">
        <f t="shared" si="14"/>
        <v>0.875</v>
      </c>
      <c r="CY7" s="29">
        <f t="shared" si="14"/>
        <v>5.979166666666667</v>
      </c>
      <c r="CZ7" s="34">
        <f t="shared" si="4"/>
        <v>1.0000000000000001E-5</v>
      </c>
      <c r="DA7" s="119"/>
      <c r="DB7" s="29">
        <f>DB$6</f>
        <v>0.59375</v>
      </c>
      <c r="DC7" s="29">
        <f t="shared" ref="DC7:DD7" si="15">DC$6</f>
        <v>6.25E-2</v>
      </c>
      <c r="DD7" s="29">
        <f t="shared" si="15"/>
        <v>6.25E-2</v>
      </c>
      <c r="DE7" s="29">
        <f>DE$6</f>
        <v>0.625</v>
      </c>
      <c r="DF7" s="29">
        <f t="shared" ref="DF7:EL8" si="16">DF$6</f>
        <v>1.5</v>
      </c>
      <c r="DG7" s="29">
        <f t="shared" si="16"/>
        <v>1.4947916666666667</v>
      </c>
      <c r="DH7" s="29">
        <f t="shared" si="16"/>
        <v>1.2990381056766576</v>
      </c>
      <c r="DI7" s="22" t="str">
        <f>IF(BZ7="S","S","U")</f>
        <v>U</v>
      </c>
      <c r="DJ7" s="162" t="str">
        <f t="shared" ref="DJ7:DJ9" si="17">DI7</f>
        <v>U</v>
      </c>
      <c r="DK7" s="111">
        <f t="shared" si="16"/>
        <v>25</v>
      </c>
      <c r="DL7" s="29">
        <f t="shared" si="16"/>
        <v>24</v>
      </c>
      <c r="DM7" s="29">
        <f t="shared" si="16"/>
        <v>2</v>
      </c>
      <c r="DN7" s="29">
        <f t="shared" si="16"/>
        <v>2</v>
      </c>
      <c r="DO7" s="34">
        <f t="shared" si="16"/>
        <v>2</v>
      </c>
      <c r="DP7" s="34">
        <f t="shared" si="16"/>
        <v>2</v>
      </c>
      <c r="DQ7" s="22" t="str">
        <f>IF(DI7="S","S",DQ$6)</f>
        <v>S</v>
      </c>
      <c r="DR7" s="29">
        <f t="shared" si="16"/>
        <v>1.4947916666666667</v>
      </c>
      <c r="DS7" s="111">
        <f t="shared" si="16"/>
        <v>5</v>
      </c>
      <c r="DT7" s="29">
        <f t="shared" si="16"/>
        <v>4</v>
      </c>
      <c r="DU7" s="29">
        <f t="shared" si="16"/>
        <v>2</v>
      </c>
      <c r="DV7" s="34">
        <f t="shared" si="16"/>
        <v>2</v>
      </c>
      <c r="DW7" s="111">
        <f t="shared" ref="DW7:EB8" si="18">DW$6</f>
        <v>5.979166666666667</v>
      </c>
      <c r="DX7" s="29">
        <f t="shared" si="18"/>
        <v>4.484375</v>
      </c>
      <c r="DY7" s="29" t="str">
        <f t="shared" si="18"/>
        <v>Short Row</v>
      </c>
      <c r="DZ7" s="29">
        <f t="shared" si="18"/>
        <v>0.75</v>
      </c>
      <c r="EA7" s="29">
        <f t="shared" si="18"/>
        <v>4.484375</v>
      </c>
      <c r="EB7" s="34">
        <f t="shared" si="18"/>
        <v>3.8971143170299727</v>
      </c>
      <c r="EC7" s="111">
        <f t="shared" ref="EC7:EE8" si="19">EC$6</f>
        <v>35.875</v>
      </c>
      <c r="ED7" s="29">
        <f t="shared" si="19"/>
        <v>34.380208333333336</v>
      </c>
      <c r="EE7" s="29">
        <f t="shared" si="19"/>
        <v>0.75</v>
      </c>
      <c r="EF7" s="29">
        <f t="shared" ref="EF7:EH8" si="20">EF$6</f>
        <v>0.875</v>
      </c>
      <c r="EG7" s="29">
        <f t="shared" si="20"/>
        <v>0.875</v>
      </c>
      <c r="EH7" s="29">
        <f t="shared" si="20"/>
        <v>34.380208333333336</v>
      </c>
      <c r="EI7" s="34">
        <f t="shared" ref="EI7:EI8" si="21">EI$6</f>
        <v>35.875</v>
      </c>
      <c r="EJ7" s="119"/>
      <c r="EK7" s="120">
        <f t="shared" si="16"/>
        <v>7.5711524227066302</v>
      </c>
      <c r="EL7" s="29">
        <f t="shared" si="16"/>
        <v>6.2721143170299722</v>
      </c>
      <c r="EM7" s="29">
        <f t="shared" ref="EL7:EY8" si="22">EM$6</f>
        <v>38.239800000000002</v>
      </c>
      <c r="EN7" s="121">
        <f t="shared" si="22"/>
        <v>76.375</v>
      </c>
      <c r="EO7" s="120">
        <f t="shared" si="22"/>
        <v>0.375</v>
      </c>
      <c r="EP7" s="29">
        <f t="shared" si="22"/>
        <v>3.7499999999999999E-2</v>
      </c>
      <c r="EQ7" s="34">
        <f t="shared" si="22"/>
        <v>20</v>
      </c>
      <c r="ER7" s="29">
        <f t="shared" si="22"/>
        <v>0.375</v>
      </c>
      <c r="ES7" s="29">
        <f t="shared" si="22"/>
        <v>3.7499999999999999E-2</v>
      </c>
      <c r="ET7" s="34">
        <f t="shared" si="22"/>
        <v>20</v>
      </c>
      <c r="EU7" s="29">
        <f t="shared" si="22"/>
        <v>1.5</v>
      </c>
      <c r="EV7" s="29">
        <f t="shared" si="22"/>
        <v>1.5</v>
      </c>
      <c r="EW7" s="32" t="str">
        <f t="shared" si="22"/>
        <v>S</v>
      </c>
      <c r="EX7" s="32" t="str">
        <f t="shared" si="22"/>
        <v>S</v>
      </c>
      <c r="EY7" s="29">
        <f t="shared" si="22"/>
        <v>0.15625</v>
      </c>
      <c r="EZ7" s="32" t="str">
        <f t="shared" ref="EZ7:FA8" si="23">EZ$6</f>
        <v>U</v>
      </c>
      <c r="FA7" s="22">
        <f>IF(AND(Material_Type="Stainless",Bevel_Type&lt;&gt;"Beasley",Extra_length_4_Beasley_MFG?="No"),0.125,     IF(AND(Material_Type="Stainless", OR(Bevel_Type="Beasley", Extra_length_4_Beasley_MFG?="Yes")),2,     IF(OR(Bevel_Type="Beasley", Extra_length_4_Beasley_MFG?="Yes"),3,     0)))</f>
        <v>0.125</v>
      </c>
      <c r="FB7" s="29">
        <f t="shared" ref="FB7:FB9" si="24">FA7</f>
        <v>0.125</v>
      </c>
      <c r="FC7" s="120" t="str">
        <f t="shared" ref="FC7:FC8" si="25">FC$6</f>
        <v>S</v>
      </c>
      <c r="FD7" s="29">
        <f t="shared" ref="FD7:FI8" si="26">FD$6</f>
        <v>0</v>
      </c>
      <c r="FE7" s="29">
        <f t="shared" ca="1" si="26"/>
        <v>20</v>
      </c>
      <c r="FF7" s="29">
        <f t="shared" si="26"/>
        <v>25</v>
      </c>
      <c r="FG7" s="29">
        <f t="shared" si="26"/>
        <v>1E-8</v>
      </c>
      <c r="FH7" s="22">
        <f>IF(Bevel_Type="Beasley", 0.125, FH$6)</f>
        <v>1E-8</v>
      </c>
      <c r="FI7" s="29">
        <f t="shared" si="26"/>
        <v>0.14161060078755441</v>
      </c>
      <c r="FJ7" s="29" t="str">
        <f t="shared" ref="FJ7:FK8" si="27">FJ$6</f>
        <v>S</v>
      </c>
      <c r="FK7" s="121" t="str">
        <f t="shared" si="27"/>
        <v>U</v>
      </c>
      <c r="FL7" s="22" t="str">
        <f>IF(AND(Bevel_Type="Jbevel", LEFT(Header_Type,5)="Plate"),  "Yes",     "No" )</f>
        <v>No</v>
      </c>
      <c r="FM7" s="22" t="str">
        <f>IF(OR(Extra_length_4_Beasley_MFG?="Yes"), "U", "S" )</f>
        <v>S</v>
      </c>
      <c r="FN7" s="162" t="str">
        <f>FN6</f>
        <v>S</v>
      </c>
      <c r="FO7" s="29">
        <f t="shared" ref="FO7:FT9" si="28">FO$6</f>
        <v>35.875</v>
      </c>
      <c r="FP7" s="29">
        <f t="shared" si="28"/>
        <v>25</v>
      </c>
      <c r="FQ7" s="29">
        <f t="shared" si="28"/>
        <v>35.875</v>
      </c>
      <c r="FR7" s="34">
        <f t="shared" si="28"/>
        <v>25</v>
      </c>
      <c r="FS7" s="29">
        <f t="shared" si="28"/>
        <v>1.0000000000000001E-5</v>
      </c>
      <c r="FT7" s="29">
        <f t="shared" si="28"/>
        <v>1.0000000000000001E-5</v>
      </c>
      <c r="FU7" s="29" t="str">
        <f t="shared" ref="FU7:GH7" si="29">FU$6</f>
        <v>1</v>
      </c>
      <c r="FV7" s="29" t="str">
        <f t="shared" si="29"/>
        <v>2</v>
      </c>
      <c r="FW7" s="29" t="str">
        <f t="shared" si="29"/>
        <v>1-2</v>
      </c>
      <c r="FX7" s="29" t="str">
        <f t="shared" si="29"/>
        <v>.1</v>
      </c>
      <c r="FY7" s="29" t="str">
        <f t="shared" si="29"/>
        <v>.2</v>
      </c>
      <c r="FZ7" s="29" t="str">
        <f t="shared" si="29"/>
        <v>1-2-BOX-F</v>
      </c>
      <c r="GA7" s="29" t="str">
        <f t="shared" si="29"/>
        <v>1-2-SEC</v>
      </c>
      <c r="GB7" s="33" t="str">
        <f t="shared" si="29"/>
        <v>000000</v>
      </c>
      <c r="GC7" s="162">
        <f t="shared" si="29"/>
        <v>0</v>
      </c>
      <c r="GD7" s="162">
        <f t="shared" si="29"/>
        <v>0</v>
      </c>
      <c r="GE7" s="29">
        <f t="shared" si="29"/>
        <v>0</v>
      </c>
      <c r="GF7" s="29">
        <f t="shared" si="29"/>
        <v>0</v>
      </c>
      <c r="GG7" s="29">
        <f t="shared" si="29"/>
        <v>0</v>
      </c>
      <c r="GH7" s="29">
        <f t="shared" si="29"/>
        <v>0</v>
      </c>
      <c r="GI7" s="117"/>
      <c r="GJ7" s="117"/>
      <c r="GK7" s="117"/>
      <c r="GL7" s="117"/>
      <c r="GM7" s="117"/>
      <c r="GN7" s="117"/>
      <c r="GO7" s="117"/>
      <c r="GP7" s="117"/>
      <c r="GQ7" s="117"/>
      <c r="GR7" s="29" t="str">
        <f>GR$6</f>
        <v>1-2-HDR</v>
      </c>
      <c r="GS7" s="117"/>
      <c r="IH7" s="117"/>
      <c r="II7" s="117"/>
      <c r="IK7" s="117"/>
      <c r="IL7" s="117"/>
      <c r="IM7" s="117"/>
      <c r="IN7" s="117"/>
      <c r="IP7" s="117"/>
      <c r="IQ7" s="117"/>
      <c r="IR7" s="117"/>
      <c r="IW7" s="117"/>
      <c r="IX7" s="117"/>
      <c r="IY7" s="117"/>
      <c r="IZ7" s="117"/>
      <c r="JA7" s="117"/>
      <c r="JE7" s="117"/>
      <c r="JF7" s="117"/>
      <c r="JG7" s="117"/>
      <c r="JH7" s="117"/>
      <c r="JI7" s="117"/>
      <c r="JJ7" s="117"/>
      <c r="JK7" s="117"/>
      <c r="JL7" s="117"/>
      <c r="JM7" s="117"/>
      <c r="JN7" s="117"/>
      <c r="JO7" s="117"/>
      <c r="JP7" s="117"/>
      <c r="JQ7" s="117"/>
      <c r="JR7" s="117"/>
      <c r="JS7" s="117"/>
      <c r="KJ7" s="117"/>
      <c r="KK7" s="117"/>
      <c r="KL7" s="117"/>
      <c r="KM7" s="117"/>
      <c r="KN7" s="117"/>
      <c r="KO7" s="117"/>
      <c r="KP7" s="117"/>
      <c r="KQ7" s="117"/>
      <c r="KR7" s="117"/>
      <c r="KS7" s="117"/>
      <c r="KT7" s="117"/>
      <c r="KU7" s="117"/>
      <c r="LB7" s="117"/>
      <c r="LF7" s="117"/>
      <c r="LG7" s="117"/>
      <c r="LK7" s="117"/>
      <c r="LL7" s="117"/>
      <c r="LM7" s="117"/>
      <c r="LN7" s="117"/>
      <c r="LW7" s="117"/>
      <c r="LX7" s="117"/>
      <c r="MG7" s="117"/>
      <c r="MH7" s="117"/>
      <c r="MI7" s="117"/>
      <c r="MJ7" s="117"/>
      <c r="MK7" s="117"/>
      <c r="ML7" s="117"/>
      <c r="MM7" s="117"/>
      <c r="MN7" s="117"/>
      <c r="MO7" s="117"/>
      <c r="MP7" s="117"/>
      <c r="MQ7" s="117"/>
      <c r="MR7" s="117"/>
      <c r="MS7" s="117"/>
      <c r="MT7" s="117"/>
      <c r="MU7" s="117"/>
      <c r="MV7" s="117"/>
      <c r="MW7" s="117"/>
      <c r="MX7" s="117"/>
      <c r="MY7" s="117"/>
      <c r="MZ7" s="117"/>
      <c r="NA7" s="117"/>
      <c r="NB7" s="117"/>
      <c r="NC7" s="117"/>
      <c r="ND7" s="117"/>
      <c r="NE7" s="117"/>
      <c r="NF7" s="117"/>
      <c r="NG7" s="117"/>
      <c r="NH7" s="117"/>
      <c r="NI7" s="117"/>
      <c r="NJ7" s="117"/>
      <c r="NK7" s="117"/>
      <c r="NL7" s="117"/>
      <c r="NM7" s="117"/>
      <c r="NN7" s="117"/>
      <c r="NO7" s="117"/>
      <c r="NP7" s="117"/>
      <c r="NQ7" s="117"/>
      <c r="NR7" s="117"/>
      <c r="NS7" s="117"/>
      <c r="NT7" s="117"/>
      <c r="NU7" s="117"/>
      <c r="NV7" s="117"/>
      <c r="NW7" s="117"/>
      <c r="NX7" s="117"/>
      <c r="NY7" s="117"/>
      <c r="NZ7" s="117"/>
      <c r="OA7" s="117"/>
      <c r="OB7" s="117"/>
      <c r="OC7" s="117"/>
      <c r="OD7" s="117"/>
      <c r="OE7" s="117"/>
      <c r="OF7" s="117"/>
      <c r="OG7" s="117"/>
      <c r="OH7" s="117"/>
      <c r="OI7" s="117"/>
      <c r="OJ7" s="117"/>
      <c r="OK7" s="117"/>
      <c r="OL7" s="117"/>
    </row>
    <row r="8" spans="1:403" s="3" customFormat="1" x14ac:dyDescent="0.3">
      <c r="A8" s="117" t="s">
        <v>3</v>
      </c>
      <c r="B8" s="30" t="str">
        <f t="shared" si="1"/>
        <v>AXC materials:SA240 304L</v>
      </c>
      <c r="C8" s="29" t="str">
        <f t="shared" si="1"/>
        <v>Stainless</v>
      </c>
      <c r="D8" s="29" t="str">
        <f t="shared" ref="D8:G8" si="30">D$6</f>
        <v>Plate</v>
      </c>
      <c r="E8" s="29" t="str">
        <f>E$6</f>
        <v>Regular</v>
      </c>
      <c r="F8" s="29" t="str">
        <f t="shared" si="30"/>
        <v>No</v>
      </c>
      <c r="G8" s="31" t="str">
        <f t="shared" si="30"/>
        <v>Standard</v>
      </c>
      <c r="H8" s="30">
        <f t="shared" si="2"/>
        <v>1.1559999999999999</v>
      </c>
      <c r="I8" s="29">
        <f t="shared" si="3"/>
        <v>0.625</v>
      </c>
      <c r="J8" s="29">
        <f t="shared" si="3"/>
        <v>25</v>
      </c>
      <c r="K8" s="128">
        <f t="shared" ref="K8:CB8" si="31">K$6</f>
        <v>5</v>
      </c>
      <c r="L8" s="31" t="str">
        <f t="shared" si="31"/>
        <v>No</v>
      </c>
      <c r="M8" s="30">
        <f t="shared" si="5"/>
        <v>0</v>
      </c>
      <c r="N8" s="29">
        <f t="shared" si="5"/>
        <v>5</v>
      </c>
      <c r="O8" s="29">
        <f t="shared" si="5"/>
        <v>0</v>
      </c>
      <c r="P8" s="29">
        <f>P$6</f>
        <v>0</v>
      </c>
      <c r="Q8" s="198" t="str">
        <f t="shared" si="31"/>
        <v>No</v>
      </c>
      <c r="R8" s="205">
        <f t="shared" si="4"/>
        <v>25</v>
      </c>
      <c r="S8" s="31">
        <f t="shared" si="4"/>
        <v>5</v>
      </c>
      <c r="T8" s="30">
        <f t="shared" si="6"/>
        <v>1.4375</v>
      </c>
      <c r="U8" s="29">
        <f t="shared" si="6"/>
        <v>1.625</v>
      </c>
      <c r="V8" s="31">
        <f t="shared" si="6"/>
        <v>1.5</v>
      </c>
      <c r="W8" s="29">
        <f t="shared" si="6"/>
        <v>0</v>
      </c>
      <c r="X8" s="30">
        <f t="shared" si="4"/>
        <v>1.1559999999999999</v>
      </c>
      <c r="Y8" s="29">
        <f t="shared" si="5"/>
        <v>0.625</v>
      </c>
      <c r="Z8" s="29">
        <f t="shared" si="5"/>
        <v>25</v>
      </c>
      <c r="AA8" s="29">
        <f t="shared" si="5"/>
        <v>4</v>
      </c>
      <c r="AB8" s="31" t="str">
        <f t="shared" si="31"/>
        <v>No</v>
      </c>
      <c r="AC8" s="30">
        <f t="shared" si="7"/>
        <v>0</v>
      </c>
      <c r="AD8" s="29">
        <f t="shared" si="7"/>
        <v>5</v>
      </c>
      <c r="AE8" s="29">
        <f t="shared" si="7"/>
        <v>0</v>
      </c>
      <c r="AF8" s="29">
        <f>AF$6</f>
        <v>0</v>
      </c>
      <c r="AG8" s="198" t="str">
        <f t="shared" si="31"/>
        <v>No</v>
      </c>
      <c r="AH8" s="29">
        <f>AH$6</f>
        <v>4</v>
      </c>
      <c r="AI8" s="29">
        <f t="shared" si="4"/>
        <v>24</v>
      </c>
      <c r="AJ8" s="30">
        <f t="shared" si="8"/>
        <v>1.4375</v>
      </c>
      <c r="AK8" s="29">
        <f t="shared" si="8"/>
        <v>1.625</v>
      </c>
      <c r="AL8" s="31">
        <f t="shared" si="8"/>
        <v>1.5</v>
      </c>
      <c r="AM8" s="30">
        <f t="shared" si="9"/>
        <v>0.5</v>
      </c>
      <c r="AN8" s="128">
        <f>AN$6</f>
        <v>1</v>
      </c>
      <c r="AO8" s="128">
        <f t="shared" si="9"/>
        <v>6.8836524227066302</v>
      </c>
      <c r="AP8" s="128">
        <f t="shared" si="9"/>
        <v>10</v>
      </c>
      <c r="AQ8" s="29">
        <f t="shared" si="9"/>
        <v>0.37500000000000006</v>
      </c>
      <c r="AR8" s="31">
        <f t="shared" si="9"/>
        <v>0.37500000000000006</v>
      </c>
      <c r="AS8" s="30">
        <f t="shared" si="9"/>
        <v>38.1875</v>
      </c>
      <c r="AT8" s="29">
        <f t="shared" si="9"/>
        <v>38.1875</v>
      </c>
      <c r="AU8" s="29">
        <f>AU$6</f>
        <v>76.375</v>
      </c>
      <c r="AV8" s="31">
        <f t="shared" si="9"/>
        <v>76.5</v>
      </c>
      <c r="AW8" s="118"/>
      <c r="AX8" s="22">
        <v>270</v>
      </c>
      <c r="AY8" s="23">
        <f>AP8/2</f>
        <v>5</v>
      </c>
      <c r="AZ8" s="132">
        <f>IF(LEFT(Header_Type,5)="Plate", Wrapper_Span_Rear-(2*Weld_Gap), Wrapper_Span_Rear+(2*T_and_P_Thk_Rear))</f>
        <v>9.6875</v>
      </c>
      <c r="BA8" s="29" t="str">
        <f t="shared" si="10"/>
        <v>S</v>
      </c>
      <c r="BB8" s="29">
        <f t="shared" si="10"/>
        <v>1</v>
      </c>
      <c r="BC8" s="29">
        <f t="shared" si="10"/>
        <v>2</v>
      </c>
      <c r="BD8" s="32" t="str">
        <f t="shared" si="11"/>
        <v>U</v>
      </c>
      <c r="BE8" s="32" t="str">
        <f t="shared" si="11"/>
        <v>S</v>
      </c>
      <c r="BF8" s="32" t="str">
        <f t="shared" si="11"/>
        <v>S</v>
      </c>
      <c r="BG8" s="32" t="str">
        <f t="shared" si="11"/>
        <v>S</v>
      </c>
      <c r="BH8" s="32" t="str">
        <f t="shared" si="11"/>
        <v>S</v>
      </c>
      <c r="BI8" s="32" t="str">
        <f t="shared" si="11"/>
        <v>U</v>
      </c>
      <c r="BJ8" s="32" t="str">
        <f t="shared" si="11"/>
        <v>U</v>
      </c>
      <c r="BK8" s="32" t="str">
        <f t="shared" si="11"/>
        <v>U</v>
      </c>
      <c r="BL8" s="32" t="str">
        <f t="shared" si="11"/>
        <v>U</v>
      </c>
      <c r="BM8" s="29" t="str">
        <f>BM6</f>
        <v>S</v>
      </c>
      <c r="BN8" s="32" t="str">
        <f t="shared" si="11"/>
        <v>U</v>
      </c>
      <c r="BO8" s="32" t="str">
        <f t="shared" si="11"/>
        <v>S</v>
      </c>
      <c r="BP8" s="32" t="str">
        <f t="shared" si="11"/>
        <v>S</v>
      </c>
      <c r="BQ8" s="22">
        <f>IF(Header_Type="Tube",T_and_P_Thk_Rear*2,IF(AND(Header_Type="SQ Pipe",Wrapper_Span_Rear+2*T_and_P_Thk_Rear&gt;10),1.25,1))</f>
        <v>1</v>
      </c>
      <c r="BR8" s="33"/>
      <c r="BS8" s="29">
        <f t="shared" si="7"/>
        <v>0.59375</v>
      </c>
      <c r="BT8" s="22">
        <f>0.0625</f>
        <v>6.25E-2</v>
      </c>
      <c r="BU8" s="22">
        <f>BT$6</f>
        <v>6.25E-2</v>
      </c>
      <c r="BV8" s="29">
        <f>BV$6</f>
        <v>0.625</v>
      </c>
      <c r="BW8" s="29">
        <f t="shared" si="31"/>
        <v>1.5</v>
      </c>
      <c r="BX8" s="29">
        <f t="shared" si="31"/>
        <v>1.4947916666666667</v>
      </c>
      <c r="BY8" s="34">
        <f t="shared" si="31"/>
        <v>1.2990381056766576</v>
      </c>
      <c r="BZ8" s="29" t="str">
        <f>BZ6</f>
        <v>U</v>
      </c>
      <c r="CA8" s="162" t="str">
        <f t="shared" si="12"/>
        <v>U</v>
      </c>
      <c r="CB8" s="111">
        <f t="shared" si="31"/>
        <v>25</v>
      </c>
      <c r="CC8" s="29">
        <f t="shared" si="4"/>
        <v>24</v>
      </c>
      <c r="CD8" s="29">
        <f t="shared" si="4"/>
        <v>3</v>
      </c>
      <c r="CE8" s="29">
        <f t="shared" si="4"/>
        <v>2</v>
      </c>
      <c r="CF8" s="29">
        <f>CF$6</f>
        <v>3</v>
      </c>
      <c r="CG8" s="34">
        <f t="shared" si="4"/>
        <v>2</v>
      </c>
      <c r="CH8" s="32" t="str">
        <f>CH$7</f>
        <v>S</v>
      </c>
      <c r="CI8" s="32">
        <f t="shared" si="4"/>
        <v>1.4947916666666667</v>
      </c>
      <c r="CJ8" s="111">
        <f t="shared" si="4"/>
        <v>5</v>
      </c>
      <c r="CK8" s="29">
        <f t="shared" si="4"/>
        <v>4</v>
      </c>
      <c r="CL8" s="29">
        <f t="shared" si="4"/>
        <v>3</v>
      </c>
      <c r="CM8" s="34">
        <f t="shared" si="4"/>
        <v>2</v>
      </c>
      <c r="CN8" s="111">
        <f t="shared" si="13"/>
        <v>35.875</v>
      </c>
      <c r="CO8" s="29">
        <f t="shared" si="13"/>
        <v>34.380208333333336</v>
      </c>
      <c r="CP8" s="29" t="str">
        <f t="shared" si="4"/>
        <v>Long Row</v>
      </c>
      <c r="CQ8" s="29">
        <f t="shared" si="4"/>
        <v>1.0000000000000001E-5</v>
      </c>
      <c r="CR8" s="29">
        <f>CR$6</f>
        <v>35.875</v>
      </c>
      <c r="CS8" s="34">
        <f t="shared" si="4"/>
        <v>5.1961524227066302</v>
      </c>
      <c r="CT8" s="111">
        <f t="shared" si="4"/>
        <v>5.979166666666667</v>
      </c>
      <c r="CU8" s="29">
        <f t="shared" si="4"/>
        <v>4.484375</v>
      </c>
      <c r="CV8" s="29">
        <f t="shared" si="4"/>
        <v>1.0000000000000001E-5</v>
      </c>
      <c r="CW8" s="29">
        <f t="shared" si="14"/>
        <v>0.875</v>
      </c>
      <c r="CX8" s="29">
        <f t="shared" si="14"/>
        <v>0.875</v>
      </c>
      <c r="CY8" s="29">
        <f t="shared" si="14"/>
        <v>5.979166666666667</v>
      </c>
      <c r="CZ8" s="34">
        <f t="shared" si="4"/>
        <v>1.0000000000000001E-5</v>
      </c>
      <c r="DA8" s="119"/>
      <c r="DB8" s="29">
        <f>DB$6</f>
        <v>0.59375</v>
      </c>
      <c r="DC8" s="22">
        <f>0.0625</f>
        <v>6.25E-2</v>
      </c>
      <c r="DD8" s="22">
        <f>DC$6</f>
        <v>6.25E-2</v>
      </c>
      <c r="DE8" s="29">
        <f>DE$6</f>
        <v>0.625</v>
      </c>
      <c r="DF8" s="29">
        <f t="shared" si="16"/>
        <v>1.5</v>
      </c>
      <c r="DG8" s="29">
        <f t="shared" si="16"/>
        <v>1.4947916666666667</v>
      </c>
      <c r="DH8" s="29">
        <f t="shared" si="16"/>
        <v>1.2990381056766576</v>
      </c>
      <c r="DI8" s="29" t="str">
        <f>DI6</f>
        <v>U</v>
      </c>
      <c r="DJ8" s="162" t="str">
        <f t="shared" si="17"/>
        <v>U</v>
      </c>
      <c r="DK8" s="111">
        <f t="shared" si="16"/>
        <v>25</v>
      </c>
      <c r="DL8" s="29">
        <f t="shared" si="16"/>
        <v>24</v>
      </c>
      <c r="DM8" s="29">
        <f t="shared" si="16"/>
        <v>2</v>
      </c>
      <c r="DN8" s="29">
        <f t="shared" si="16"/>
        <v>2</v>
      </c>
      <c r="DO8" s="34">
        <f t="shared" si="16"/>
        <v>2</v>
      </c>
      <c r="DP8" s="34">
        <f t="shared" si="16"/>
        <v>2</v>
      </c>
      <c r="DQ8" s="32" t="str">
        <f t="shared" si="16"/>
        <v>S</v>
      </c>
      <c r="DR8" s="29">
        <f t="shared" si="16"/>
        <v>1.4947916666666667</v>
      </c>
      <c r="DS8" s="111">
        <f t="shared" si="16"/>
        <v>5</v>
      </c>
      <c r="DT8" s="29">
        <f t="shared" si="16"/>
        <v>4</v>
      </c>
      <c r="DU8" s="29">
        <f t="shared" si="16"/>
        <v>2</v>
      </c>
      <c r="DV8" s="34">
        <f t="shared" si="16"/>
        <v>2</v>
      </c>
      <c r="DW8" s="111">
        <f t="shared" si="18"/>
        <v>5.979166666666667</v>
      </c>
      <c r="DX8" s="29">
        <f t="shared" si="18"/>
        <v>4.484375</v>
      </c>
      <c r="DY8" s="29" t="str">
        <f t="shared" si="18"/>
        <v>Short Row</v>
      </c>
      <c r="DZ8" s="29">
        <f t="shared" si="18"/>
        <v>0.75</v>
      </c>
      <c r="EA8" s="29">
        <f t="shared" si="18"/>
        <v>4.484375</v>
      </c>
      <c r="EB8" s="34">
        <f t="shared" si="18"/>
        <v>3.8971143170299727</v>
      </c>
      <c r="EC8" s="111">
        <f t="shared" si="19"/>
        <v>35.875</v>
      </c>
      <c r="ED8" s="29">
        <f t="shared" si="19"/>
        <v>34.380208333333336</v>
      </c>
      <c r="EE8" s="29">
        <f t="shared" si="19"/>
        <v>0.75</v>
      </c>
      <c r="EF8" s="29">
        <f t="shared" si="20"/>
        <v>0.875</v>
      </c>
      <c r="EG8" s="29">
        <f t="shared" si="20"/>
        <v>0.875</v>
      </c>
      <c r="EH8" s="29">
        <f t="shared" si="20"/>
        <v>34.380208333333336</v>
      </c>
      <c r="EI8" s="34">
        <f t="shared" si="21"/>
        <v>35.875</v>
      </c>
      <c r="EJ8" s="119"/>
      <c r="EK8" s="120">
        <f t="shared" si="16"/>
        <v>7.5711524227066302</v>
      </c>
      <c r="EL8" s="29">
        <f t="shared" si="22"/>
        <v>6.2721143170299722</v>
      </c>
      <c r="EM8" s="29">
        <f t="shared" si="22"/>
        <v>38.239800000000002</v>
      </c>
      <c r="EN8" s="121">
        <f t="shared" si="22"/>
        <v>76.375</v>
      </c>
      <c r="EO8" s="120">
        <f t="shared" si="22"/>
        <v>0.375</v>
      </c>
      <c r="EP8" s="29">
        <f t="shared" si="22"/>
        <v>3.7499999999999999E-2</v>
      </c>
      <c r="EQ8" s="34">
        <f t="shared" si="22"/>
        <v>20</v>
      </c>
      <c r="ER8" s="29">
        <f t="shared" si="22"/>
        <v>0.375</v>
      </c>
      <c r="ES8" s="29">
        <f t="shared" si="22"/>
        <v>3.7499999999999999E-2</v>
      </c>
      <c r="ET8" s="34">
        <f t="shared" si="22"/>
        <v>20</v>
      </c>
      <c r="EU8" s="29">
        <f t="shared" si="22"/>
        <v>1.5</v>
      </c>
      <c r="EV8" s="29">
        <f t="shared" si="22"/>
        <v>1.5</v>
      </c>
      <c r="EW8" s="32" t="str">
        <f t="shared" si="22"/>
        <v>S</v>
      </c>
      <c r="EX8" s="32" t="str">
        <f t="shared" si="22"/>
        <v>S</v>
      </c>
      <c r="EY8" s="29">
        <f t="shared" si="22"/>
        <v>0.15625</v>
      </c>
      <c r="EZ8" s="32" t="str">
        <f t="shared" si="23"/>
        <v>U</v>
      </c>
      <c r="FA8" s="32">
        <f t="shared" si="23"/>
        <v>0</v>
      </c>
      <c r="FB8" s="29">
        <f t="shared" si="24"/>
        <v>0</v>
      </c>
      <c r="FC8" s="120" t="str">
        <f t="shared" si="25"/>
        <v>S</v>
      </c>
      <c r="FD8" s="29">
        <f t="shared" si="26"/>
        <v>0</v>
      </c>
      <c r="FE8" s="29">
        <f t="shared" ca="1" si="26"/>
        <v>20</v>
      </c>
      <c r="FF8" s="29">
        <f t="shared" si="26"/>
        <v>25</v>
      </c>
      <c r="FG8" s="29">
        <f t="shared" si="26"/>
        <v>1E-8</v>
      </c>
      <c r="FH8" s="29">
        <f t="shared" si="26"/>
        <v>1E-8</v>
      </c>
      <c r="FI8" s="29">
        <f t="shared" si="26"/>
        <v>0.14161060078755441</v>
      </c>
      <c r="FJ8" s="29" t="str">
        <f t="shared" si="27"/>
        <v>S</v>
      </c>
      <c r="FK8" s="121" t="str">
        <f t="shared" si="27"/>
        <v>U</v>
      </c>
      <c r="FL8" s="162" t="str">
        <f>FL6</f>
        <v>No</v>
      </c>
      <c r="FM8" s="176" t="str">
        <f>FM6</f>
        <v>S</v>
      </c>
      <c r="FN8" s="162" t="str">
        <f t="shared" ref="FN8" si="32">FN6</f>
        <v>S</v>
      </c>
      <c r="FO8" s="29">
        <f t="shared" ref="FO8:FR8" si="33">FO$6</f>
        <v>35.875</v>
      </c>
      <c r="FP8" s="29">
        <f t="shared" si="33"/>
        <v>25</v>
      </c>
      <c r="FQ8" s="29">
        <f t="shared" si="33"/>
        <v>35.875</v>
      </c>
      <c r="FR8" s="34">
        <f t="shared" si="33"/>
        <v>25</v>
      </c>
      <c r="FS8" s="29">
        <f t="shared" si="28"/>
        <v>1.0000000000000001E-5</v>
      </c>
      <c r="FT8" s="29">
        <f t="shared" si="28"/>
        <v>1.0000000000000001E-5</v>
      </c>
      <c r="FU8" s="29" t="str">
        <f>FU$6</f>
        <v>1</v>
      </c>
      <c r="FV8" s="29" t="str">
        <f>FV$6</f>
        <v>2</v>
      </c>
      <c r="FW8" s="29" t="str">
        <f>FW$6</f>
        <v>1-2</v>
      </c>
      <c r="FX8" s="29" t="str">
        <f>FX$6</f>
        <v>.1</v>
      </c>
      <c r="FY8" s="29" t="str">
        <f>FY$6</f>
        <v>.2</v>
      </c>
      <c r="FZ8" s="21" t="str">
        <f>CONCATENATE($FW8,"-BOX-R")</f>
        <v>1-2-BOX-R</v>
      </c>
      <c r="GA8" s="29" t="str">
        <f>GA$6</f>
        <v>1-2-SEC</v>
      </c>
      <c r="GB8" s="33" t="str">
        <f>GB$6</f>
        <v>000000</v>
      </c>
      <c r="GC8" s="22">
        <f xml:space="preserve"> IF(Bevel_Type="Beasley",  VLOOKUP(End_Plate_Thk, TPW_Cham_Ang_at_EndPlate,2,TRUE),  0 )</f>
        <v>0</v>
      </c>
      <c r="GD8" s="22">
        <f>IF(Bevel_Type="Beasley", GC8, 0)</f>
        <v>0</v>
      </c>
      <c r="GE8" s="29">
        <f>GE$6</f>
        <v>0</v>
      </c>
      <c r="GF8" s="29">
        <f>GF$6</f>
        <v>0</v>
      </c>
      <c r="GG8" s="29">
        <f>GG$6</f>
        <v>0</v>
      </c>
      <c r="GH8" s="29">
        <f>GH$6</f>
        <v>0</v>
      </c>
      <c r="GI8" s="117"/>
      <c r="GJ8" s="117"/>
      <c r="GK8" s="117"/>
      <c r="GL8" s="117"/>
      <c r="GM8" s="117"/>
      <c r="GN8" s="117"/>
      <c r="GO8" s="117"/>
      <c r="GP8" s="117"/>
      <c r="GQ8" s="117"/>
      <c r="GR8" s="29" t="str">
        <f>GR$6</f>
        <v>1-2-HDR</v>
      </c>
      <c r="GS8" s="117"/>
      <c r="IH8" s="117"/>
      <c r="II8" s="117"/>
      <c r="IK8" s="117"/>
      <c r="IL8" s="117"/>
      <c r="IM8" s="117"/>
      <c r="IN8" s="117"/>
      <c r="IP8" s="117"/>
      <c r="IQ8" s="117"/>
      <c r="IR8" s="117"/>
      <c r="IW8" s="117"/>
      <c r="IX8" s="117"/>
      <c r="IY8" s="117"/>
      <c r="IZ8" s="117"/>
      <c r="JA8" s="117"/>
      <c r="JE8" s="117"/>
      <c r="JF8" s="117"/>
      <c r="JG8" s="117"/>
      <c r="JH8" s="117"/>
      <c r="JI8" s="117"/>
      <c r="JJ8" s="117"/>
      <c r="JK8" s="117"/>
      <c r="JL8" s="117"/>
      <c r="JM8" s="117"/>
      <c r="JN8" s="117"/>
      <c r="JO8" s="117"/>
      <c r="JP8" s="117"/>
      <c r="JQ8" s="117"/>
      <c r="JR8" s="117"/>
      <c r="JS8" s="117"/>
      <c r="KJ8" s="117"/>
      <c r="KK8" s="117"/>
      <c r="KL8" s="117"/>
      <c r="KM8" s="117"/>
      <c r="KN8" s="117"/>
      <c r="KO8" s="117"/>
      <c r="KP8" s="117"/>
      <c r="KQ8" s="117"/>
      <c r="KR8" s="117"/>
      <c r="KS8" s="117"/>
      <c r="KT8" s="117"/>
      <c r="KU8" s="117"/>
      <c r="LB8" s="117"/>
      <c r="LF8" s="117"/>
      <c r="LG8" s="117"/>
      <c r="LK8" s="117"/>
      <c r="LL8" s="117"/>
      <c r="LM8" s="117"/>
      <c r="LN8" s="117"/>
      <c r="LW8" s="117"/>
      <c r="LX8" s="117"/>
      <c r="MG8" s="117"/>
      <c r="MH8" s="117"/>
      <c r="MI8" s="117"/>
      <c r="MJ8" s="117"/>
      <c r="MK8" s="117"/>
      <c r="ML8" s="117"/>
      <c r="MM8" s="117"/>
      <c r="MN8" s="117"/>
      <c r="MO8" s="117"/>
      <c r="MP8" s="117"/>
      <c r="MQ8" s="117"/>
      <c r="MR8" s="117"/>
      <c r="MS8" s="117"/>
      <c r="MT8" s="117"/>
      <c r="MU8" s="117"/>
      <c r="MV8" s="117"/>
      <c r="MW8" s="117"/>
      <c r="MX8" s="117"/>
      <c r="MY8" s="117"/>
      <c r="MZ8" s="117"/>
      <c r="NA8" s="117"/>
      <c r="NB8" s="117"/>
      <c r="NC8" s="117"/>
      <c r="ND8" s="117"/>
      <c r="NE8" s="117"/>
      <c r="NF8" s="117"/>
      <c r="NG8" s="117"/>
      <c r="NH8" s="117"/>
      <c r="NI8" s="117"/>
      <c r="NJ8" s="117"/>
      <c r="NK8" s="117"/>
      <c r="NL8" s="117"/>
      <c r="NM8" s="117"/>
      <c r="NN8" s="117"/>
      <c r="NO8" s="117"/>
      <c r="NP8" s="117"/>
      <c r="NQ8" s="117"/>
      <c r="NR8" s="117"/>
      <c r="NS8" s="117"/>
      <c r="NT8" s="117"/>
      <c r="NU8" s="117"/>
      <c r="NV8" s="117"/>
      <c r="NW8" s="117"/>
      <c r="NX8" s="117"/>
      <c r="NY8" s="117"/>
      <c r="NZ8" s="117"/>
      <c r="OA8" s="117"/>
      <c r="OB8" s="117"/>
      <c r="OC8" s="117"/>
      <c r="OD8" s="117"/>
      <c r="OE8" s="117"/>
      <c r="OF8" s="117"/>
      <c r="OG8" s="117"/>
      <c r="OH8" s="117"/>
      <c r="OI8" s="117"/>
      <c r="OJ8" s="117"/>
      <c r="OK8" s="117"/>
      <c r="OL8" s="117"/>
    </row>
    <row r="9" spans="1:403" s="3" customFormat="1" x14ac:dyDescent="0.3">
      <c r="A9" s="122" t="s">
        <v>215</v>
      </c>
      <c r="B9" s="52" t="str">
        <f>B$8</f>
        <v>AXC materials:SA240 304L</v>
      </c>
      <c r="C9" s="49" t="str">
        <f t="shared" ref="C9:AV9" si="34">C$8</f>
        <v>Stainless</v>
      </c>
      <c r="D9" s="49" t="str">
        <f t="shared" si="34"/>
        <v>Plate</v>
      </c>
      <c r="E9" s="49" t="str">
        <f t="shared" si="34"/>
        <v>Regular</v>
      </c>
      <c r="F9" s="49" t="str">
        <f t="shared" si="34"/>
        <v>No</v>
      </c>
      <c r="G9" s="51" t="str">
        <f t="shared" si="34"/>
        <v>Standard</v>
      </c>
      <c r="H9" s="52">
        <f t="shared" si="34"/>
        <v>1.1559999999999999</v>
      </c>
      <c r="I9" s="49">
        <f t="shared" si="34"/>
        <v>0.625</v>
      </c>
      <c r="J9" s="49">
        <f t="shared" si="34"/>
        <v>25</v>
      </c>
      <c r="K9" s="49">
        <f t="shared" si="34"/>
        <v>5</v>
      </c>
      <c r="L9" s="51" t="str">
        <f t="shared" si="34"/>
        <v>No</v>
      </c>
      <c r="M9" s="52">
        <f t="shared" si="34"/>
        <v>0</v>
      </c>
      <c r="N9" s="49">
        <f t="shared" si="34"/>
        <v>5</v>
      </c>
      <c r="O9" s="49">
        <f t="shared" si="34"/>
        <v>0</v>
      </c>
      <c r="P9" s="49">
        <f t="shared" si="34"/>
        <v>0</v>
      </c>
      <c r="Q9" s="199" t="str">
        <f t="shared" si="34"/>
        <v>No</v>
      </c>
      <c r="R9" s="205">
        <f t="shared" si="34"/>
        <v>25</v>
      </c>
      <c r="S9" s="31">
        <f t="shared" si="34"/>
        <v>5</v>
      </c>
      <c r="T9" s="52">
        <f t="shared" si="34"/>
        <v>1.4375</v>
      </c>
      <c r="U9" s="49">
        <f t="shared" si="34"/>
        <v>1.625</v>
      </c>
      <c r="V9" s="51">
        <f t="shared" si="34"/>
        <v>1.5</v>
      </c>
      <c r="W9" s="194">
        <f t="shared" si="6"/>
        <v>0</v>
      </c>
      <c r="X9" s="52">
        <f t="shared" si="34"/>
        <v>1.1559999999999999</v>
      </c>
      <c r="Y9" s="49">
        <f t="shared" si="34"/>
        <v>0.625</v>
      </c>
      <c r="Z9" s="49">
        <f t="shared" si="34"/>
        <v>25</v>
      </c>
      <c r="AA9" s="49">
        <f t="shared" si="34"/>
        <v>4</v>
      </c>
      <c r="AB9" s="51" t="str">
        <f t="shared" si="34"/>
        <v>No</v>
      </c>
      <c r="AC9" s="52">
        <f t="shared" si="34"/>
        <v>0</v>
      </c>
      <c r="AD9" s="49">
        <f t="shared" si="34"/>
        <v>5</v>
      </c>
      <c r="AE9" s="49">
        <f t="shared" si="34"/>
        <v>0</v>
      </c>
      <c r="AF9" s="49">
        <f t="shared" si="34"/>
        <v>0</v>
      </c>
      <c r="AG9" s="199" t="str">
        <f t="shared" si="34"/>
        <v>No</v>
      </c>
      <c r="AH9" s="29">
        <f>AH$8</f>
        <v>4</v>
      </c>
      <c r="AI9" s="29">
        <f t="shared" si="34"/>
        <v>24</v>
      </c>
      <c r="AJ9" s="52">
        <f t="shared" si="34"/>
        <v>1.4375</v>
      </c>
      <c r="AK9" s="49">
        <f t="shared" si="34"/>
        <v>1.625</v>
      </c>
      <c r="AL9" s="51">
        <f t="shared" si="34"/>
        <v>1.5</v>
      </c>
      <c r="AM9" s="52">
        <f t="shared" si="34"/>
        <v>0.5</v>
      </c>
      <c r="AN9" s="49">
        <f t="shared" si="34"/>
        <v>1</v>
      </c>
      <c r="AO9" s="49">
        <f t="shared" si="34"/>
        <v>6.8836524227066302</v>
      </c>
      <c r="AP9" s="49">
        <f t="shared" si="34"/>
        <v>10</v>
      </c>
      <c r="AQ9" s="49">
        <f t="shared" si="34"/>
        <v>0.37500000000000006</v>
      </c>
      <c r="AR9" s="51">
        <f t="shared" si="34"/>
        <v>0.37500000000000006</v>
      </c>
      <c r="AS9" s="52">
        <f t="shared" si="34"/>
        <v>38.1875</v>
      </c>
      <c r="AT9" s="49">
        <f t="shared" si="34"/>
        <v>38.1875</v>
      </c>
      <c r="AU9" s="49">
        <f t="shared" si="34"/>
        <v>76.375</v>
      </c>
      <c r="AV9" s="51">
        <f t="shared" si="34"/>
        <v>76.5</v>
      </c>
      <c r="AW9" s="123" t="s">
        <v>3</v>
      </c>
      <c r="AX9" s="53">
        <v>270</v>
      </c>
      <c r="AY9" s="54">
        <f>AP9/2</f>
        <v>5</v>
      </c>
      <c r="AZ9" s="49">
        <f t="shared" ref="AZ9:CZ9" si="35">AZ$8</f>
        <v>9.6875</v>
      </c>
      <c r="BA9" s="49" t="str">
        <f t="shared" si="35"/>
        <v>S</v>
      </c>
      <c r="BB9" s="49">
        <f t="shared" si="35"/>
        <v>1</v>
      </c>
      <c r="BC9" s="49">
        <f t="shared" si="35"/>
        <v>2</v>
      </c>
      <c r="BD9" s="55" t="str">
        <f t="shared" si="35"/>
        <v>U</v>
      </c>
      <c r="BE9" s="55" t="str">
        <f t="shared" si="35"/>
        <v>S</v>
      </c>
      <c r="BF9" s="55" t="str">
        <f t="shared" si="35"/>
        <v>S</v>
      </c>
      <c r="BG9" s="55" t="str">
        <f t="shared" si="35"/>
        <v>S</v>
      </c>
      <c r="BH9" s="55" t="str">
        <f t="shared" si="35"/>
        <v>S</v>
      </c>
      <c r="BI9" s="55" t="str">
        <f t="shared" si="35"/>
        <v>U</v>
      </c>
      <c r="BJ9" s="55" t="str">
        <f t="shared" si="35"/>
        <v>U</v>
      </c>
      <c r="BK9" s="55" t="str">
        <f t="shared" si="35"/>
        <v>U</v>
      </c>
      <c r="BL9" s="55" t="str">
        <f t="shared" si="35"/>
        <v>U</v>
      </c>
      <c r="BM9" s="29" t="str">
        <f>BM8</f>
        <v>S</v>
      </c>
      <c r="BN9" s="55" t="str">
        <f t="shared" si="35"/>
        <v>U</v>
      </c>
      <c r="BO9" s="55" t="str">
        <f t="shared" si="35"/>
        <v>S</v>
      </c>
      <c r="BP9" s="55" t="str">
        <f t="shared" si="35"/>
        <v>S</v>
      </c>
      <c r="BQ9" s="55">
        <f t="shared" si="35"/>
        <v>1</v>
      </c>
      <c r="BR9" s="56"/>
      <c r="BS9" s="49">
        <f t="shared" si="35"/>
        <v>0.59375</v>
      </c>
      <c r="BT9" s="49">
        <f t="shared" si="35"/>
        <v>6.25E-2</v>
      </c>
      <c r="BU9" s="49">
        <f t="shared" si="35"/>
        <v>6.25E-2</v>
      </c>
      <c r="BV9" s="49">
        <f>BV$8</f>
        <v>0.625</v>
      </c>
      <c r="BW9" s="49">
        <f t="shared" si="35"/>
        <v>1.5</v>
      </c>
      <c r="BX9" s="49">
        <f t="shared" si="35"/>
        <v>1.4947916666666667</v>
      </c>
      <c r="BY9" s="50">
        <f t="shared" si="35"/>
        <v>1.2990381056766576</v>
      </c>
      <c r="BZ9" s="29" t="str">
        <f>BZ7</f>
        <v>U</v>
      </c>
      <c r="CA9" s="171" t="str">
        <f t="shared" si="12"/>
        <v>U</v>
      </c>
      <c r="CB9" s="112">
        <f t="shared" si="35"/>
        <v>25</v>
      </c>
      <c r="CC9" s="49">
        <f t="shared" si="35"/>
        <v>24</v>
      </c>
      <c r="CD9" s="49">
        <f t="shared" si="35"/>
        <v>3</v>
      </c>
      <c r="CE9" s="49">
        <f t="shared" si="35"/>
        <v>2</v>
      </c>
      <c r="CF9" s="49">
        <f t="shared" si="35"/>
        <v>3</v>
      </c>
      <c r="CG9" s="50">
        <f t="shared" si="35"/>
        <v>2</v>
      </c>
      <c r="CH9" s="55" t="str">
        <f t="shared" si="35"/>
        <v>S</v>
      </c>
      <c r="CI9" s="55">
        <f t="shared" si="35"/>
        <v>1.4947916666666667</v>
      </c>
      <c r="CJ9" s="112">
        <f t="shared" si="35"/>
        <v>5</v>
      </c>
      <c r="CK9" s="49">
        <f t="shared" si="35"/>
        <v>4</v>
      </c>
      <c r="CL9" s="49">
        <f t="shared" si="35"/>
        <v>3</v>
      </c>
      <c r="CM9" s="50">
        <f t="shared" si="35"/>
        <v>2</v>
      </c>
      <c r="CN9" s="112">
        <f t="shared" si="35"/>
        <v>35.875</v>
      </c>
      <c r="CO9" s="49">
        <f t="shared" si="35"/>
        <v>34.380208333333336</v>
      </c>
      <c r="CP9" s="49" t="str">
        <f t="shared" si="35"/>
        <v>Long Row</v>
      </c>
      <c r="CQ9" s="49">
        <f t="shared" si="35"/>
        <v>1.0000000000000001E-5</v>
      </c>
      <c r="CR9" s="49">
        <f t="shared" si="35"/>
        <v>35.875</v>
      </c>
      <c r="CS9" s="50">
        <f t="shared" si="35"/>
        <v>5.1961524227066302</v>
      </c>
      <c r="CT9" s="112">
        <f t="shared" si="35"/>
        <v>5.979166666666667</v>
      </c>
      <c r="CU9" s="49">
        <f t="shared" si="35"/>
        <v>4.484375</v>
      </c>
      <c r="CV9" s="49">
        <f t="shared" si="35"/>
        <v>1.0000000000000001E-5</v>
      </c>
      <c r="CW9" s="49">
        <f t="shared" si="35"/>
        <v>0.875</v>
      </c>
      <c r="CX9" s="49">
        <f t="shared" si="35"/>
        <v>0.875</v>
      </c>
      <c r="CY9" s="49">
        <f t="shared" si="35"/>
        <v>5.979166666666667</v>
      </c>
      <c r="CZ9" s="50">
        <f t="shared" si="35"/>
        <v>1.0000000000000001E-5</v>
      </c>
      <c r="DA9" s="124"/>
      <c r="DB9" s="49">
        <f t="shared" ref="DB9:EI9" si="36">DB$8</f>
        <v>0.59375</v>
      </c>
      <c r="DC9" s="49">
        <f t="shared" si="36"/>
        <v>6.25E-2</v>
      </c>
      <c r="DD9" s="49">
        <f t="shared" si="36"/>
        <v>6.25E-2</v>
      </c>
      <c r="DE9" s="49">
        <f>DE$8</f>
        <v>0.625</v>
      </c>
      <c r="DF9" s="49">
        <f t="shared" si="36"/>
        <v>1.5</v>
      </c>
      <c r="DG9" s="49">
        <f t="shared" si="36"/>
        <v>1.4947916666666667</v>
      </c>
      <c r="DH9" s="49">
        <f t="shared" si="36"/>
        <v>1.2990381056766576</v>
      </c>
      <c r="DI9" s="49" t="str">
        <f>DI7</f>
        <v>U</v>
      </c>
      <c r="DJ9" s="175" t="str">
        <f t="shared" si="17"/>
        <v>U</v>
      </c>
      <c r="DK9" s="112">
        <f t="shared" si="36"/>
        <v>25</v>
      </c>
      <c r="DL9" s="49">
        <f t="shared" si="36"/>
        <v>24</v>
      </c>
      <c r="DM9" s="49">
        <f t="shared" si="36"/>
        <v>2</v>
      </c>
      <c r="DN9" s="49">
        <f t="shared" si="36"/>
        <v>2</v>
      </c>
      <c r="DO9" s="50">
        <f t="shared" si="36"/>
        <v>2</v>
      </c>
      <c r="DP9" s="50">
        <f t="shared" si="36"/>
        <v>2</v>
      </c>
      <c r="DQ9" s="49" t="str">
        <f>DQ$7</f>
        <v>S</v>
      </c>
      <c r="DR9" s="49">
        <f t="shared" si="36"/>
        <v>1.4947916666666667</v>
      </c>
      <c r="DS9" s="112">
        <f t="shared" si="36"/>
        <v>5</v>
      </c>
      <c r="DT9" s="49">
        <f t="shared" si="36"/>
        <v>4</v>
      </c>
      <c r="DU9" s="49">
        <f t="shared" si="36"/>
        <v>2</v>
      </c>
      <c r="DV9" s="50">
        <f t="shared" si="36"/>
        <v>2</v>
      </c>
      <c r="DW9" s="112">
        <f t="shared" si="36"/>
        <v>5.979166666666667</v>
      </c>
      <c r="DX9" s="49">
        <f t="shared" si="36"/>
        <v>4.484375</v>
      </c>
      <c r="DY9" s="49" t="str">
        <f t="shared" si="36"/>
        <v>Short Row</v>
      </c>
      <c r="DZ9" s="49">
        <f t="shared" si="36"/>
        <v>0.75</v>
      </c>
      <c r="EA9" s="49">
        <f t="shared" si="36"/>
        <v>4.484375</v>
      </c>
      <c r="EB9" s="50">
        <f t="shared" si="36"/>
        <v>3.8971143170299727</v>
      </c>
      <c r="EC9" s="112">
        <f t="shared" si="36"/>
        <v>35.875</v>
      </c>
      <c r="ED9" s="49">
        <f t="shared" si="36"/>
        <v>34.380208333333336</v>
      </c>
      <c r="EE9" s="49">
        <f t="shared" si="36"/>
        <v>0.75</v>
      </c>
      <c r="EF9" s="49">
        <f t="shared" si="36"/>
        <v>0.875</v>
      </c>
      <c r="EG9" s="49">
        <f t="shared" si="36"/>
        <v>0.875</v>
      </c>
      <c r="EH9" s="49">
        <f t="shared" si="36"/>
        <v>34.380208333333336</v>
      </c>
      <c r="EI9" s="50">
        <f t="shared" si="36"/>
        <v>35.875</v>
      </c>
      <c r="EJ9" s="124"/>
      <c r="EK9" s="125">
        <f t="shared" ref="EK9:EZ9" si="37">EK$8</f>
        <v>7.5711524227066302</v>
      </c>
      <c r="EL9" s="49">
        <f t="shared" si="37"/>
        <v>6.2721143170299722</v>
      </c>
      <c r="EM9" s="49">
        <f t="shared" si="37"/>
        <v>38.239800000000002</v>
      </c>
      <c r="EN9" s="126">
        <f t="shared" si="37"/>
        <v>76.375</v>
      </c>
      <c r="EO9" s="125">
        <f t="shared" si="37"/>
        <v>0.375</v>
      </c>
      <c r="EP9" s="49">
        <f t="shared" si="37"/>
        <v>3.7499999999999999E-2</v>
      </c>
      <c r="EQ9" s="50">
        <f t="shared" si="37"/>
        <v>20</v>
      </c>
      <c r="ER9" s="49">
        <f t="shared" si="37"/>
        <v>0.375</v>
      </c>
      <c r="ES9" s="49">
        <f t="shared" si="37"/>
        <v>3.7499999999999999E-2</v>
      </c>
      <c r="ET9" s="50">
        <f t="shared" si="37"/>
        <v>20</v>
      </c>
      <c r="EU9" s="49">
        <f t="shared" si="37"/>
        <v>1.5</v>
      </c>
      <c r="EV9" s="49">
        <f t="shared" si="37"/>
        <v>1.5</v>
      </c>
      <c r="EW9" s="55" t="str">
        <f t="shared" si="37"/>
        <v>S</v>
      </c>
      <c r="EX9" s="55" t="str">
        <f t="shared" si="37"/>
        <v>S</v>
      </c>
      <c r="EY9" s="49">
        <f t="shared" si="37"/>
        <v>0.15625</v>
      </c>
      <c r="EZ9" s="55" t="str">
        <f t="shared" si="37"/>
        <v>U</v>
      </c>
      <c r="FA9" s="49">
        <f>FA$7</f>
        <v>0.125</v>
      </c>
      <c r="FB9" s="49">
        <f t="shared" si="24"/>
        <v>0.125</v>
      </c>
      <c r="FC9" s="125" t="str">
        <f t="shared" ref="FC9" si="38">FC$8</f>
        <v>S</v>
      </c>
      <c r="FD9" s="49">
        <f t="shared" ref="FD9:FI9" si="39">FD$8</f>
        <v>0</v>
      </c>
      <c r="FE9" s="49">
        <f t="shared" ca="1" si="39"/>
        <v>20</v>
      </c>
      <c r="FF9" s="49">
        <f t="shared" si="39"/>
        <v>25</v>
      </c>
      <c r="FG9" s="49">
        <f t="shared" si="39"/>
        <v>1E-8</v>
      </c>
      <c r="FH9" s="49">
        <f t="shared" si="39"/>
        <v>1E-8</v>
      </c>
      <c r="FI9" s="49">
        <f t="shared" si="39"/>
        <v>0.14161060078755441</v>
      </c>
      <c r="FJ9" s="49" t="str">
        <f t="shared" ref="FJ9:FK9" si="40">FJ$8</f>
        <v>S</v>
      </c>
      <c r="FK9" s="126" t="str">
        <f t="shared" si="40"/>
        <v>U</v>
      </c>
      <c r="FL9" s="162" t="str">
        <f>FL7</f>
        <v>No</v>
      </c>
      <c r="FM9" s="162" t="str">
        <f>FM7</f>
        <v>S</v>
      </c>
      <c r="FN9" s="162" t="str">
        <f>FN6</f>
        <v>S</v>
      </c>
      <c r="FO9" s="49">
        <f t="shared" ref="FO9:FR9" si="41">FO$8</f>
        <v>35.875</v>
      </c>
      <c r="FP9" s="49">
        <f t="shared" si="41"/>
        <v>25</v>
      </c>
      <c r="FQ9" s="49">
        <f t="shared" si="41"/>
        <v>35.875</v>
      </c>
      <c r="FR9" s="50">
        <f t="shared" si="41"/>
        <v>25</v>
      </c>
      <c r="FS9" s="49">
        <f t="shared" si="28"/>
        <v>1.0000000000000001E-5</v>
      </c>
      <c r="FT9" s="49">
        <f t="shared" si="28"/>
        <v>1.0000000000000001E-5</v>
      </c>
      <c r="FU9" s="49" t="str">
        <f t="shared" ref="FU9:GH9" si="42">FU$8</f>
        <v>1</v>
      </c>
      <c r="FV9" s="49" t="str">
        <f t="shared" si="42"/>
        <v>2</v>
      </c>
      <c r="FW9" s="49" t="str">
        <f t="shared" si="42"/>
        <v>1-2</v>
      </c>
      <c r="FX9" s="49" t="str">
        <f t="shared" si="42"/>
        <v>.1</v>
      </c>
      <c r="FY9" s="49" t="str">
        <f t="shared" si="42"/>
        <v>.2</v>
      </c>
      <c r="FZ9" s="49" t="str">
        <f t="shared" si="42"/>
        <v>1-2-BOX-R</v>
      </c>
      <c r="GA9" s="49" t="str">
        <f t="shared" si="42"/>
        <v>1-2-SEC</v>
      </c>
      <c r="GB9" s="56" t="str">
        <f t="shared" si="42"/>
        <v>000000</v>
      </c>
      <c r="GC9" s="210">
        <f t="shared" si="42"/>
        <v>0</v>
      </c>
      <c r="GD9" s="162">
        <f t="shared" si="42"/>
        <v>0</v>
      </c>
      <c r="GE9" s="29">
        <f t="shared" si="42"/>
        <v>0</v>
      </c>
      <c r="GF9" s="29">
        <f t="shared" si="42"/>
        <v>0</v>
      </c>
      <c r="GG9" s="32">
        <f t="shared" si="42"/>
        <v>0</v>
      </c>
      <c r="GH9" s="32">
        <f t="shared" si="42"/>
        <v>0</v>
      </c>
      <c r="GI9" s="117"/>
      <c r="GJ9" s="117"/>
      <c r="GK9" s="117"/>
      <c r="GL9" s="117"/>
      <c r="GM9" s="117"/>
      <c r="GN9" s="117"/>
      <c r="GO9" s="117"/>
      <c r="GP9" s="117"/>
      <c r="GQ9" s="117"/>
      <c r="GR9" s="49" t="str">
        <f>GR$8</f>
        <v>1-2-HDR</v>
      </c>
      <c r="GS9" s="117"/>
      <c r="IH9" s="117"/>
      <c r="II9" s="117"/>
      <c r="IK9" s="117"/>
      <c r="IL9" s="117"/>
      <c r="IM9" s="117"/>
      <c r="IN9" s="117"/>
      <c r="IP9" s="117"/>
      <c r="IQ9" s="117"/>
      <c r="IR9" s="117"/>
      <c r="IW9" s="117"/>
      <c r="IX9" s="117"/>
      <c r="IY9" s="117"/>
      <c r="IZ9" s="117"/>
      <c r="JA9" s="117"/>
      <c r="JE9" s="117"/>
      <c r="JF9" s="117"/>
      <c r="JG9" s="117"/>
      <c r="JH9" s="117"/>
      <c r="JI9" s="117"/>
      <c r="JJ9" s="117"/>
      <c r="JK9" s="117"/>
      <c r="JL9" s="117"/>
      <c r="JM9" s="117"/>
      <c r="JN9" s="117"/>
      <c r="JO9" s="117"/>
      <c r="JP9" s="117"/>
      <c r="JQ9" s="117"/>
      <c r="JR9" s="117"/>
      <c r="JS9" s="117"/>
      <c r="KJ9" s="117"/>
      <c r="KK9" s="117"/>
      <c r="KL9" s="117"/>
      <c r="KM9" s="117"/>
      <c r="KN9" s="117"/>
      <c r="KO9" s="117"/>
      <c r="KP9" s="117"/>
      <c r="KQ9" s="117"/>
      <c r="KR9" s="117"/>
      <c r="KS9" s="117"/>
      <c r="KT9" s="117"/>
      <c r="KU9" s="117"/>
      <c r="LB9" s="117"/>
      <c r="LF9" s="117"/>
      <c r="LG9" s="117"/>
      <c r="LK9" s="117"/>
      <c r="LL9" s="117"/>
      <c r="LM9" s="117"/>
      <c r="LN9" s="117"/>
      <c r="LW9" s="117"/>
      <c r="LX9" s="117"/>
      <c r="MG9" s="117"/>
      <c r="MH9" s="117"/>
      <c r="MI9" s="117"/>
      <c r="MJ9" s="117"/>
      <c r="MK9" s="117"/>
      <c r="ML9" s="117"/>
      <c r="MM9" s="117"/>
      <c r="MN9" s="117"/>
      <c r="MO9" s="117"/>
      <c r="MP9" s="117"/>
      <c r="MQ9" s="117"/>
      <c r="MR9" s="117"/>
      <c r="MS9" s="117"/>
      <c r="MT9" s="117"/>
      <c r="MU9" s="117"/>
      <c r="MV9" s="117"/>
      <c r="MW9" s="117"/>
      <c r="MX9" s="117"/>
      <c r="MY9" s="117"/>
      <c r="MZ9" s="117"/>
      <c r="NA9" s="117"/>
      <c r="NB9" s="117"/>
      <c r="NC9" s="117"/>
      <c r="ND9" s="117"/>
      <c r="NE9" s="117"/>
      <c r="NF9" s="117"/>
      <c r="NG9" s="117"/>
      <c r="NH9" s="117"/>
      <c r="NI9" s="117"/>
      <c r="NJ9" s="117"/>
      <c r="NK9" s="117"/>
      <c r="NL9" s="117"/>
      <c r="NM9" s="117"/>
      <c r="NN9" s="117"/>
      <c r="NO9" s="117"/>
      <c r="NP9" s="117"/>
      <c r="NQ9" s="117"/>
      <c r="NR9" s="117"/>
      <c r="NS9" s="117"/>
      <c r="NT9" s="117"/>
      <c r="NU9" s="117"/>
      <c r="NV9" s="117"/>
      <c r="NW9" s="117"/>
      <c r="NX9" s="117"/>
      <c r="NY9" s="117"/>
      <c r="NZ9" s="117"/>
      <c r="OA9" s="117"/>
      <c r="OB9" s="117"/>
      <c r="OC9" s="117"/>
      <c r="OD9" s="117"/>
      <c r="OE9" s="117"/>
      <c r="OF9" s="117"/>
      <c r="OG9" s="117"/>
      <c r="OH9" s="117"/>
      <c r="OI9" s="117"/>
      <c r="OJ9" s="117"/>
      <c r="OK9" s="117"/>
      <c r="OL9" s="117"/>
    </row>
    <row r="10" spans="1:403" ht="21" x14ac:dyDescent="0.4">
      <c r="A10" s="1" t="s">
        <v>0</v>
      </c>
      <c r="B10" s="36"/>
      <c r="E10" s="233" t="str">
        <f>IF(AND(Bevel_Type="Jbevel",Header_Length&gt;=149),"Port City MFG limit is 12'-5'' [149''] Must change Bevel Type or shorten header", "")</f>
        <v/>
      </c>
      <c r="F10" s="233"/>
      <c r="H10" s="67">
        <f>BT6</f>
        <v>6.25E-2</v>
      </c>
      <c r="I10" s="245" t="str">
        <f>IF(Tube_Connection_Type="strength weld","←Ref chamfer size from Drilled Hole","")</f>
        <v/>
      </c>
      <c r="J10" s="245"/>
      <c r="K10" s="245"/>
      <c r="L10" s="245"/>
      <c r="M10" s="3"/>
      <c r="N10"/>
      <c r="P10" s="39">
        <f>Fan_Shaft_Angle_ShortLeg / Pitch</f>
        <v>0</v>
      </c>
      <c r="Q10" s="20"/>
      <c r="R10" s="106">
        <v>0</v>
      </c>
      <c r="S10" s="204">
        <v>0</v>
      </c>
      <c r="T10" s="146" t="s">
        <v>207</v>
      </c>
      <c r="U10" s="145" t="s">
        <v>207</v>
      </c>
      <c r="V10" s="147" t="s">
        <v>207</v>
      </c>
      <c r="W10" s="191"/>
      <c r="X10" s="193"/>
      <c r="Y10" s="3"/>
      <c r="AB10" s="70"/>
      <c r="AC10" s="60"/>
      <c r="AD10"/>
      <c r="AF10" s="39">
        <f>COMB_Fan_Shaft_Angle_ShortLeg / COMB_Pitch</f>
        <v>0</v>
      </c>
      <c r="AG10" s="20"/>
      <c r="AH10" s="211">
        <v>0</v>
      </c>
      <c r="AI10" s="213">
        <v>0</v>
      </c>
      <c r="AJ10" s="214" t="s">
        <v>207</v>
      </c>
      <c r="AK10" s="145" t="s">
        <v>207</v>
      </c>
      <c r="AL10" s="145" t="s">
        <v>207</v>
      </c>
      <c r="AM10" s="148" t="str">
        <f ca="1">IF(TP_Land&lt;0.25,"T&amp;P Land→"&amp;CHAR(10)&amp;"(Below 0.25Min)","T&amp;P Land →"&amp;CHAR(10)&amp;"(0.25MIN)")</f>
        <v>T&amp;P Land →
(0.25MIN)</v>
      </c>
      <c r="AN10" s="143">
        <f ca="1">T_and_P_Thk - JBevel_Land - (Wrapper_Thk*TAN(RADIANS(Bevel_Angle)))</f>
        <v>0.81801487286689878</v>
      </c>
      <c r="AO10" s="145" t="s">
        <v>207</v>
      </c>
      <c r="AP10" s="28"/>
      <c r="AS10" s="12"/>
      <c r="AV10" s="11"/>
      <c r="AW10" s="12"/>
      <c r="AY10" s="70"/>
      <c r="AZ10" s="70"/>
      <c r="BA10" s="70"/>
      <c r="BB10" s="70"/>
      <c r="BC10" s="70"/>
      <c r="BD10" s="57"/>
      <c r="BE10" s="57"/>
      <c r="BF10" s="57"/>
      <c r="BG10" s="57"/>
      <c r="BH10" s="57"/>
      <c r="BI10" s="157" t="s">
        <v>389</v>
      </c>
      <c r="BJ10" s="57"/>
      <c r="BK10" s="157" t="s">
        <v>389</v>
      </c>
      <c r="BL10" s="57"/>
      <c r="BM10" s="57"/>
      <c r="BN10" s="157" t="s">
        <v>389</v>
      </c>
      <c r="BO10" s="157" t="s">
        <v>396</v>
      </c>
      <c r="BP10" s="157"/>
      <c r="BQ10" s="57"/>
      <c r="BR10" s="57"/>
      <c r="BS10" s="70"/>
      <c r="BT10" s="70"/>
      <c r="BU10" s="70"/>
      <c r="BV10" s="100"/>
      <c r="BW10" s="70"/>
      <c r="BX10" s="70"/>
      <c r="BY10" s="70"/>
      <c r="CB10" s="108">
        <f>IF(SS_1&gt;0,QTY_in_Long_Row - QTY_in_Long_Row_SS,QTY_in_Long_Row)</f>
        <v>25</v>
      </c>
      <c r="CC10" s="108">
        <f>IF(Half_Tube_Face="No",QTY_in_Long_Row_Pattern-1,QTY_in_Long_Row_Pattern)</f>
        <v>24</v>
      </c>
      <c r="CD10" s="109"/>
      <c r="CE10" s="109"/>
      <c r="CF10" s="109"/>
      <c r="CG10" s="109"/>
      <c r="CH10" s="109"/>
      <c r="CI10" s="109"/>
      <c r="CJ10" s="108">
        <f>QTY_in_Long_Row_SS+Additional_Tubes_SS</f>
        <v>5</v>
      </c>
      <c r="CK10" s="108">
        <f>IF(Half_Tube_Face_SS="No",QTY_in_Long_Row_SS_Pattern-1,QTY_in_Long_Row_SS_Pattern)</f>
        <v>4</v>
      </c>
      <c r="CL10" s="109"/>
      <c r="CM10" s="109"/>
      <c r="CN10" s="108">
        <f>Pitch_Actual*(QTY_in_Long_Row_Pattern-1)</f>
        <v>35.875</v>
      </c>
      <c r="CO10" s="108">
        <f>Pitch_Actual*(QTY_in_Short_Row_Pattern-1)</f>
        <v>34.380208333333336</v>
      </c>
      <c r="CP10" s="70"/>
      <c r="CQ10" s="70"/>
      <c r="CR10" s="108">
        <f>Pitch_Actual*(SSS_After_Tube-1)</f>
        <v>35.875</v>
      </c>
      <c r="CS10" s="108">
        <f>IF(Vertical_Pitch*(Total_No_of_Rows-1)=0,Vertical_Pitch*(Total_No_of_Rows-1)+0.000001,Vertical_Pitch*(Total_No_of_Rows-1))</f>
        <v>5.1961524227066302</v>
      </c>
      <c r="CT10" s="108">
        <f>Pitch_Actual*(QTY_in_Long_Row_SS_Pattern-1)</f>
        <v>5.979166666666667</v>
      </c>
      <c r="CU10" s="108">
        <f>Pitch_Actual*(QTY_in_Short_Row_SS_Pattern-1)</f>
        <v>4.484375</v>
      </c>
      <c r="CV10" s="70"/>
      <c r="CW10" s="70"/>
      <c r="CX10" s="70"/>
      <c r="CY10" s="108">
        <f>Pitch_Actual*(SSS_After_Tube_SS-1)</f>
        <v>5.979166666666667</v>
      </c>
      <c r="CZ10" s="108">
        <f>IF(SS_1&gt;0,Pitch_Actual*(QTY_in_Long_Row_SS_Pattern-Additional_Tubes_SS-1),0.00001)</f>
        <v>1.0000000000000001E-5</v>
      </c>
      <c r="DA10" s="69"/>
      <c r="DB10" s="70"/>
      <c r="DC10" s="70"/>
      <c r="DD10" s="70"/>
      <c r="DE10" s="70"/>
      <c r="DF10" s="70"/>
      <c r="DG10" s="70"/>
      <c r="DH10" s="70"/>
      <c r="DK10" s="108">
        <f>IF(SS_2&gt;0,COMB_QTY_in_Long_Row + COMB_Additional_Tubes_SS - COMB_QTY_in_Long_Row_SS,COMB_QTY_in_Long_Row)</f>
        <v>25</v>
      </c>
      <c r="DL10" s="108">
        <f>IF(COMB_Half_Tube_Face="No",COMB_QTY_in_Long_Row_Pattern-1,COMB_QTY_in_Long_Row_Pattern)</f>
        <v>24</v>
      </c>
      <c r="DM10" s="4"/>
      <c r="DN10" s="4"/>
      <c r="DO10" s="4"/>
      <c r="DP10" s="4"/>
      <c r="DQ10" s="4"/>
      <c r="DR10" s="4"/>
      <c r="DS10" s="108">
        <f>COMB_QTY_in_Long_Row_SS</f>
        <v>5</v>
      </c>
      <c r="DT10" s="108">
        <f>IF(COMB_Half_Tube_Face_SS="No",COMB_QTY_in_Long_Row_SS_Pattern-1,COMB_QTY_in_Long_Row_SS_Pattern)</f>
        <v>4</v>
      </c>
      <c r="DU10" s="4"/>
      <c r="DV10" s="4"/>
      <c r="DW10" s="108">
        <f>COMB_Pitch_Actual*(COMB_QTY_in_Long_Row_SS_Pattern-1)</f>
        <v>5.979166666666667</v>
      </c>
      <c r="DX10" s="108">
        <f>COMB_Pitch_Actual*(COMB_QTY_in_Short_Row_SS_Pattern-1)</f>
        <v>4.484375</v>
      </c>
      <c r="DY10" s="70"/>
      <c r="DZ10" s="70"/>
      <c r="EA10" s="108">
        <f>COMB_Pitch_Actual*(COMB_SSS_After_Tube_SS-1)</f>
        <v>4.484375</v>
      </c>
      <c r="EB10" s="70"/>
      <c r="EC10" s="108">
        <f>COMB_Pitch_Actual*(COMB_QTY_in_Long_Row_Pattern-1)</f>
        <v>35.875</v>
      </c>
      <c r="ED10" s="108">
        <f>COMB_Pitch_Actual*(COMB_QTY_in_Short_Row_Pattern-1)</f>
        <v>34.380208333333336</v>
      </c>
      <c r="EE10" s="70"/>
      <c r="EF10" s="57"/>
      <c r="EG10" s="57"/>
      <c r="EH10" s="108">
        <f>COMB_Pitch_Actual*(COMB_SSS_After_Tube-1)</f>
        <v>34.380208333333336</v>
      </c>
      <c r="EI10" s="108">
        <f>IF(SS_2&gt;0,   COMB_Pitch_Actual*(COMB_QTY_in_Long_Row_Pattern-COMB_Additional_Tubes_SS-1),   COMB_Pitch_Actual*(COMB_QTY_in_Long_Row_Pattern-1)   )</f>
        <v>35.875</v>
      </c>
      <c r="EJ10" s="69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57"/>
      <c r="EX10" s="57"/>
      <c r="EY10" s="159" t="s">
        <v>389</v>
      </c>
      <c r="EZ10" s="57"/>
      <c r="FA10" s="159" t="s">
        <v>389</v>
      </c>
      <c r="FC10" s="70"/>
      <c r="FD10" s="70"/>
      <c r="FE10" s="70"/>
      <c r="FF10" s="70"/>
      <c r="FG10" s="70"/>
      <c r="FH10" s="159" t="s">
        <v>389</v>
      </c>
      <c r="FJ10" s="159" t="s">
        <v>389</v>
      </c>
      <c r="FK10" s="70"/>
      <c r="FL10" s="70"/>
      <c r="FM10" s="70"/>
      <c r="FN10" s="70"/>
      <c r="FO10" s="70"/>
      <c r="FP10" s="70"/>
      <c r="FQ10" s="70"/>
      <c r="FR10" s="57"/>
      <c r="FX10" s="70"/>
      <c r="FY10" s="70"/>
      <c r="FZ10" s="60"/>
      <c r="GA10" s="60"/>
      <c r="GB10" s="60"/>
      <c r="GC10" t="s">
        <v>389</v>
      </c>
      <c r="GD10" t="s">
        <v>389</v>
      </c>
      <c r="GJ10" s="1"/>
      <c r="GK10" s="1"/>
      <c r="GL10" s="1"/>
      <c r="GM10" s="1"/>
      <c r="GN10" s="1"/>
      <c r="GR10" s="60"/>
      <c r="GT10"/>
      <c r="IH10" s="1"/>
      <c r="IJ10"/>
      <c r="IK10" s="1"/>
      <c r="IO10"/>
      <c r="IP10" s="1"/>
      <c r="IS10"/>
      <c r="IW10" s="1"/>
      <c r="JB10"/>
      <c r="JE10" s="1"/>
      <c r="JT10"/>
      <c r="KJ10" s="1"/>
      <c r="KV10"/>
      <c r="LB10" s="1"/>
      <c r="LC10"/>
      <c r="LF10" s="1"/>
      <c r="LH10"/>
      <c r="LK10" s="1"/>
      <c r="LO10"/>
      <c r="LW10" s="1"/>
      <c r="LY10"/>
      <c r="MG10" s="1"/>
      <c r="OM10"/>
    </row>
    <row r="11" spans="1:403" s="4" customFormat="1" ht="34.5" customHeight="1" x14ac:dyDescent="0.35">
      <c r="A11" s="38" t="str">
        <f>IF(CD6&lt;1,"Delete 1 LONG row","")</f>
        <v/>
      </c>
      <c r="B11" s="26" t="str">
        <f>IF(DM6&lt;1,"COMB    Delete 1 LONG row","")</f>
        <v/>
      </c>
      <c r="C11" s="127" t="s">
        <v>324</v>
      </c>
      <c r="E11" s="234"/>
      <c r="F11" s="234"/>
      <c r="G11" s="167" t="str">
        <f>IF(Tube_Connection_Type="strength weld","Ref chamfer size from Reamed Hole→","")</f>
        <v/>
      </c>
      <c r="H11" s="139">
        <f>(Tube_Hole_Chamfer_OD-VLOOKUP(Tube_Dia,Hole_Table,9,FALSE))/2</f>
        <v>0.26199999999999996</v>
      </c>
      <c r="I11" s="138"/>
      <c r="L11" s="246" t="s">
        <v>284</v>
      </c>
      <c r="M11" s="247"/>
      <c r="N11" s="247"/>
      <c r="O11" s="248"/>
      <c r="P11" s="106">
        <v>1.4999999999999999E-2</v>
      </c>
      <c r="Q11" s="15"/>
      <c r="R11" s="243" t="s">
        <v>449</v>
      </c>
      <c r="S11" s="244"/>
      <c r="T11" s="238" t="s">
        <v>364</v>
      </c>
      <c r="U11" s="238"/>
      <c r="V11" s="239"/>
      <c r="W11" s="192"/>
      <c r="X11" s="13"/>
      <c r="AC11" s="43"/>
      <c r="AF11" s="6"/>
      <c r="AG11" s="15"/>
      <c r="AH11" s="243" t="str">
        <f>R11</f>
        <v>↑ Manual ↑
 Adjustment Cells</v>
      </c>
      <c r="AI11" s="244"/>
      <c r="AJ11" s="249" t="s">
        <v>208</v>
      </c>
      <c r="AK11" s="238"/>
      <c r="AL11" s="250"/>
      <c r="AM11" s="148" t="str">
        <f ca="1">IF(TP_Land_Rear&lt;0.25,"T&amp;P Land rear→"&amp;CHAR(10)&amp;"(Below 0.25Min)","T&amp;P Land Rear →"&amp;CHAR(10)&amp;"(0.25MIN)")</f>
        <v>T&amp;P Land Rear →
(0.25MIN)</v>
      </c>
      <c r="AN11" s="144">
        <f ca="1">T_and_P_Thk_Rear - JBevel_Land - (Wrapper_Thk*TAN(RADIANS(Bevel_Angle)))</f>
        <v>0.81801487286689878</v>
      </c>
      <c r="AO11" s="249" t="s">
        <v>213</v>
      </c>
      <c r="AP11" s="238"/>
      <c r="AQ11" s="250"/>
      <c r="AS11" s="13"/>
      <c r="AU11" s="44"/>
      <c r="AV11" s="14"/>
      <c r="AW11" s="13"/>
      <c r="BB11" s="44"/>
      <c r="BC11" s="44"/>
      <c r="BV11" s="27"/>
      <c r="BW11" s="44"/>
      <c r="BY11" s="44"/>
      <c r="BZ11" s="44"/>
      <c r="CA11" s="44"/>
      <c r="CN11" s="44">
        <f>IF(SS_1&gt;0,Pitch_Actual*(QTY_in_Long_Row_Pattern-Additional_Tubes_SS-1),Pitch_Actual*(QTY_in_Long_Row_Pattern-1))</f>
        <v>35.875</v>
      </c>
      <c r="CO11" s="44">
        <f>IF(SS_1&gt;0,Pitch*(QTY_in_Short_Row_Pattern-Additional_Tubes_SS - IF(Bottom_Row_Type="Short Row",0,1)),Pitch*(QTY_in_Short_Row_Pattern-1))</f>
        <v>34.5</v>
      </c>
      <c r="CR11" s="44">
        <f>IF(Bottom_Row_Type="Long Row",Length_of_Long_Row,Length_of_Short_Row)</f>
        <v>35.875</v>
      </c>
      <c r="CY11" s="44">
        <f>IF(Bottom_Row_Type="Long Row",Length_of_Long_Row_SS,Length_of_Short_Row_SS)</f>
        <v>5.979166666666667</v>
      </c>
      <c r="DA11" s="101"/>
      <c r="DE11" s="44"/>
      <c r="DI11" s="44"/>
      <c r="DJ11" s="44"/>
      <c r="DW11" s="44">
        <f>IF(SS_2&gt;0,COMB_Pitch_Actual*(COMB_QTY_in_Long_Row_SS_Pattern-COMB_Additional_Tubes_SS-1),COMB_Pitch_Actual*(COMB_QTY_in_Long_Row_SS_Pattern-1))</f>
        <v>5.979166666666667</v>
      </c>
      <c r="DX11" s="44">
        <f>IF(SS_2&gt;0,COMB_Pitch_Actual*(COMB_QTY_in_Short_Row_SS_Pattern-COMB_Additional_Tubes_SS-0),COMB_Pitch_Actual*(COMB_QTY_in_Short_Row_SS_Pattern-1))</f>
        <v>4.484375</v>
      </c>
      <c r="EA11" s="44">
        <f>IF(SS_2&gt;0,IF(COMB_Bottom_Row_Type="Long Row",COMB_Length_of_Long_Row_SS,COMB_Length_of_Short_Row_SS),0.00001)</f>
        <v>1.0000000000000001E-5</v>
      </c>
      <c r="EH11" s="44">
        <f>IF(COMB_Bottom_Row_Type="Long Row",COMB_Length_of_Long_Row,COMB_Length_of_Short_Row)</f>
        <v>34.380208333333336</v>
      </c>
      <c r="EJ11" s="101"/>
      <c r="EO11" s="44"/>
      <c r="EY11" s="3"/>
      <c r="FA11" s="44"/>
      <c r="FB11" s="44"/>
      <c r="FC11" s="44"/>
      <c r="FD11" s="44" t="s">
        <v>341</v>
      </c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X11" s="3"/>
      <c r="FY11" s="3"/>
      <c r="FZ11" s="44"/>
      <c r="GA11" s="44"/>
      <c r="GB11" s="44"/>
      <c r="GC11" s="44"/>
      <c r="GR11" s="44"/>
    </row>
    <row r="12" spans="1:403" ht="68.25" customHeight="1" x14ac:dyDescent="0.35">
      <c r="A12" s="38" t="str">
        <f>IF(CE6&lt;1,"Delete 1 SHORT row","")</f>
        <v/>
      </c>
      <c r="B12" s="26" t="str">
        <f>IF(DN6&lt;1,"COMB    Delete 1 SHORT row","")</f>
        <v/>
      </c>
      <c r="C12" s="127" t="s">
        <v>324</v>
      </c>
      <c r="L12" s="266" t="s">
        <v>332</v>
      </c>
      <c r="M12" s="267"/>
      <c r="N12" s="267"/>
      <c r="O12" s="268"/>
      <c r="P12" s="106">
        <v>0.375</v>
      </c>
      <c r="Q12" s="256" t="s">
        <v>454</v>
      </c>
      <c r="R12" s="269"/>
      <c r="S12" s="270"/>
      <c r="T12" s="27">
        <f>IF(End_Plate_Thk&gt;=1,End_Plate_Thk-1+(VLOOKUP(Tube_Size,Hole_Table,6,FALSE)),VLOOKUP(Tube_Size,Hole_Table,6,FALSE))</f>
        <v>1.4375</v>
      </c>
      <c r="U12" s="27">
        <f>IF(Wrapper_Thk&gt;=1,Wrapper_Thk-1+(VLOOKUP(Tube_Size,Hole_Table,7,FALSE)),VLOOKUP(Tube_Size,Hole_Table,7,FALSE))</f>
        <v>1.625</v>
      </c>
      <c r="V12" s="48">
        <f>VLOOKUP(Tube_Size,Hole_Table,4,FALSE)</f>
        <v>1.5</v>
      </c>
      <c r="W12" s="27"/>
      <c r="X12" s="12"/>
      <c r="AC12" s="3"/>
      <c r="AD12"/>
      <c r="AG12" s="256" t="str">
        <f>Q12</f>
        <v>Change these cells w/ pos or neg value to adjust the location of the Shaft Split supports and the Air shaft panels after nth tube hole .
Ref "Row Dims Sketch"</v>
      </c>
      <c r="AH12" s="257"/>
      <c r="AI12" s="258"/>
      <c r="AJ12" s="27">
        <f>IF(End_Plate_Thk&gt;=1,End_Plate_Thk-1+(VLOOKUP(COMB_Tube_Size,Hole_Table,6,FALSE)),VLOOKUP(COMB_Tube_Size,Hole_Table,6,FALSE))</f>
        <v>1.4375</v>
      </c>
      <c r="AK12" s="27">
        <f>IF(Wrapper_Thk&gt;=1,Wrapper_Thk-1+(VLOOKUP(COMB_Tube_Size,Hole_Table,7,FALSE)),VLOOKUP(COMB_Tube_Size,Hole_Table,7,FALSE))</f>
        <v>1.625</v>
      </c>
      <c r="AL12" s="27">
        <f>VLOOKUP(COMB_Tube_Size,Hole_Table,4,FALSE)</f>
        <v>1.5</v>
      </c>
      <c r="AO12" s="27">
        <f>IF(Top_Drill-Wrapper_Thk+(Vertical_Pitch*(Total_No_of_Rows-1))+(Tube_Dia/2)+0.25  &gt;  COMB_Top_Drill-Wrapper_Thk+(COMB_Vertical_Pitch*(COMB_Total_No_of_Rows-1))+(COMB_Tube_Dia/2)+0.25,  Top_Drill-Wrapper_Thk+(Vertical_Pitch*(Total_No_of_Rows-1))+(Tube_Dia/2)+0.25, COMB_Top_Drill-Wrapper_Thk+(COMB_Vertical_Pitch*(COMB_Total_No_of_Rows-1))+(COMB_Tube_Dia/2)+0.25)</f>
        <v>6.8836524227066302</v>
      </c>
      <c r="BD12" s="1"/>
      <c r="BS12"/>
      <c r="BT12"/>
      <c r="BU12"/>
      <c r="CH12" s="1"/>
      <c r="CI12" s="1"/>
      <c r="CJ12"/>
      <c r="DA12" s="7"/>
      <c r="DB12"/>
      <c r="DC12"/>
      <c r="DD12"/>
      <c r="DE12"/>
      <c r="DQ12" s="1"/>
      <c r="DR12" s="1"/>
      <c r="DS12"/>
      <c r="EF12" s="1"/>
      <c r="EJ12" s="7"/>
      <c r="EK12"/>
      <c r="EW12" s="1"/>
      <c r="EX12" s="1"/>
      <c r="EZ12" s="1"/>
      <c r="FA12"/>
      <c r="FR12" s="1"/>
      <c r="FZ12" s="3"/>
      <c r="GA12" s="3"/>
      <c r="GB12" s="3"/>
      <c r="GC12" s="44"/>
      <c r="GD12" s="4"/>
      <c r="GE12" s="4"/>
      <c r="GF12" s="4"/>
      <c r="GG12" s="4"/>
      <c r="GH12" s="4"/>
      <c r="GJ12" s="1"/>
      <c r="GK12" s="1"/>
      <c r="GL12" s="1"/>
      <c r="GM12" s="1"/>
      <c r="GN12" s="1"/>
      <c r="GR12" s="3"/>
      <c r="GT12"/>
      <c r="IH12" s="1"/>
      <c r="IJ12"/>
      <c r="IK12" s="1"/>
      <c r="IO12"/>
      <c r="IP12" s="1"/>
      <c r="IS12"/>
      <c r="IW12" s="1"/>
      <c r="JB12"/>
      <c r="JE12" s="1"/>
      <c r="JT12"/>
      <c r="KJ12" s="1"/>
      <c r="KV12"/>
      <c r="LB12" s="1"/>
      <c r="LC12"/>
      <c r="LF12" s="1"/>
      <c r="LH12"/>
      <c r="LK12" s="1"/>
      <c r="LO12"/>
      <c r="LW12" s="1"/>
      <c r="LY12"/>
      <c r="MG12" s="1"/>
      <c r="OM12"/>
    </row>
    <row r="13" spans="1:403" x14ac:dyDescent="0.3">
      <c r="O13" s="24" t="s">
        <v>285</v>
      </c>
      <c r="P13" s="42">
        <f>(Divider_Plate_Location-(Divider_Plate_Thk/2)) - (End_Drill+(Pitch_Standard*(QTY_in_Long_Row-1+IF(Half_Tube_Face="Yes",0.5,0)))) - (Tube_Dia/2) - SS_1</f>
        <v>0.25</v>
      </c>
      <c r="V13" s="11"/>
      <c r="X13" s="12"/>
      <c r="Y13" s="42">
        <f>(Divider_Plate_Location_Right-(Divider_Plate_Thk/2)) - (COMB_End_Drill+(COMB_Pitch_Standard*(COMB_QTY_in_Long_Row-1+IF(COMB_Half_Tube_Face="Yes",0.5,0))) + (COMB_Tube_Dia/2)) - SS_2</f>
        <v>0.25</v>
      </c>
      <c r="Z13" s="25" t="s">
        <v>286</v>
      </c>
      <c r="AC13" s="3"/>
      <c r="AD13"/>
      <c r="AM13">
        <v>0.5</v>
      </c>
      <c r="AN13">
        <v>1</v>
      </c>
      <c r="AO13" s="149">
        <f>CEILING(AO12,0.0625)</f>
        <v>6.9375</v>
      </c>
      <c r="AP13">
        <v>10</v>
      </c>
      <c r="BD13" s="1"/>
      <c r="BS13"/>
      <c r="BT13"/>
      <c r="BU13"/>
      <c r="BX13" s="2">
        <f>Pitch_Standard-$BX$14</f>
        <v>1.4947916666666667</v>
      </c>
      <c r="CH13" s="1"/>
      <c r="CI13" s="1"/>
      <c r="CJ13"/>
      <c r="CV13" s="40" t="s">
        <v>325</v>
      </c>
      <c r="CW13" s="22">
        <f>IF(P12-((Pitch/2)-(Divider_Plate_Thk/2)-(Tube_Dia/2))&gt; 0,(P12-((Pitch/2)-(Divider_Plate_Thk/2)-(Tube_Dia/2))),0)</f>
        <v>0.125</v>
      </c>
      <c r="DA13" s="7"/>
      <c r="DB13"/>
      <c r="DC13"/>
      <c r="DD13"/>
      <c r="DE13"/>
      <c r="DG13" s="2">
        <f>COMB_Pitch_Standard-$DG$14</f>
        <v>1.4947916666666667</v>
      </c>
      <c r="DQ13" s="1"/>
      <c r="DR13" s="1"/>
      <c r="DS13"/>
      <c r="EE13" s="40" t="s">
        <v>326</v>
      </c>
      <c r="EF13" s="22">
        <f>IF(P12-((COMB_Pitch/2)-(Divider_Plate_Thk/2)-(COMB_Tube_Dia/2)) &gt; 0,P12 - ((COMB_Pitch/2)-(Divider_Plate_Thk/2)-(COMB_Tube_Dia/2)),0)</f>
        <v>0.125</v>
      </c>
      <c r="EG13"/>
      <c r="EH13"/>
      <c r="EJ13" s="7"/>
      <c r="EK13"/>
      <c r="EW13" s="1"/>
      <c r="EX13" s="1"/>
      <c r="EZ13" s="1"/>
      <c r="FA13"/>
      <c r="FR13" s="1"/>
      <c r="FZ13" s="3"/>
      <c r="GA13" s="3"/>
      <c r="GB13" s="3"/>
      <c r="GJ13" s="1"/>
      <c r="GK13" s="1"/>
      <c r="GL13" s="1"/>
      <c r="GM13" s="1"/>
      <c r="GN13" s="1"/>
      <c r="GR13" s="3"/>
      <c r="GT13"/>
      <c r="IH13" s="1"/>
      <c r="IJ13"/>
      <c r="IK13" s="1"/>
      <c r="IO13"/>
      <c r="IP13" s="1"/>
      <c r="IS13"/>
      <c r="IW13" s="1"/>
      <c r="JB13"/>
      <c r="JE13" s="1"/>
      <c r="JT13"/>
      <c r="KJ13" s="1"/>
      <c r="KV13"/>
      <c r="LB13" s="1"/>
      <c r="LC13"/>
      <c r="LF13" s="1"/>
      <c r="LH13"/>
      <c r="LK13" s="1"/>
      <c r="LO13"/>
      <c r="LW13" s="1"/>
      <c r="LY13"/>
      <c r="MG13" s="1"/>
      <c r="OM13"/>
    </row>
    <row r="14" spans="1:403" x14ac:dyDescent="0.3">
      <c r="O14" s="24" t="s">
        <v>305</v>
      </c>
      <c r="P14" s="42">
        <f>IF($P$12-$P$13&lt;=0, 0, $P$12-$P$13)</f>
        <v>0.125</v>
      </c>
      <c r="V14" s="11"/>
      <c r="X14" s="12"/>
      <c r="Y14" s="42">
        <f>IF($P$12-$Y$13&lt;=0,0,$P$12-$Y$13)</f>
        <v>0.125</v>
      </c>
      <c r="Z14" s="25" t="s">
        <v>306</v>
      </c>
      <c r="AC14" s="3"/>
      <c r="AD14"/>
      <c r="BD14" s="1"/>
      <c r="BS14"/>
      <c r="BT14"/>
      <c r="BU14"/>
      <c r="BW14" s="40" t="s">
        <v>287</v>
      </c>
      <c r="BX14" s="2">
        <f>IF($P$14/(QTY_in_Long_Row-1)&gt;Max_Squeeze,Max_Squeeze,$P$14/(QTY_in_Long_Row-1))</f>
        <v>5.208333333333333E-3</v>
      </c>
      <c r="CH14" s="1"/>
      <c r="CI14" s="1"/>
      <c r="CJ14"/>
      <c r="DA14" s="7"/>
      <c r="DB14"/>
      <c r="DC14"/>
      <c r="DD14"/>
      <c r="DE14"/>
      <c r="DG14" s="2">
        <f>IF($Y$14/(COMB_QTY_in_Long_Row-1)&gt;Max_Squeeze,Max_Squeeze,$Y$14/(COMB_QTY_in_Long_Row-1))</f>
        <v>5.208333333333333E-3</v>
      </c>
      <c r="DH14" s="41" t="s">
        <v>288</v>
      </c>
      <c r="DQ14" s="1"/>
      <c r="DR14" s="1"/>
      <c r="DS14"/>
      <c r="EF14" s="1"/>
      <c r="EJ14" s="7"/>
      <c r="EK14"/>
      <c r="EW14" s="1"/>
      <c r="EX14" s="1"/>
      <c r="EZ14" s="1"/>
      <c r="FA14"/>
      <c r="FR14" s="1"/>
      <c r="FZ14" s="3"/>
      <c r="GA14" s="3"/>
      <c r="GB14" s="3"/>
      <c r="GJ14" s="1"/>
      <c r="GK14" s="1"/>
      <c r="GL14" s="1"/>
      <c r="GM14" s="1"/>
      <c r="GN14" s="1"/>
      <c r="GR14" s="3"/>
      <c r="GT14"/>
      <c r="IH14" s="1"/>
      <c r="IJ14"/>
      <c r="IK14" s="1"/>
      <c r="IO14"/>
      <c r="IP14" s="1"/>
      <c r="IS14"/>
      <c r="IW14" s="1"/>
      <c r="JB14"/>
      <c r="JE14" s="1"/>
      <c r="JT14"/>
      <c r="KJ14" s="1"/>
      <c r="KV14"/>
      <c r="LB14" s="1"/>
      <c r="LC14"/>
      <c r="LF14" s="1"/>
      <c r="LH14"/>
      <c r="LK14" s="1"/>
      <c r="LO14"/>
      <c r="LW14" s="1"/>
      <c r="LY14"/>
      <c r="MG14" s="1"/>
      <c r="OM14"/>
    </row>
    <row r="15" spans="1:403" x14ac:dyDescent="0.3">
      <c r="M15" s="3"/>
      <c r="N15"/>
      <c r="V15" s="40"/>
      <c r="W15" s="40"/>
      <c r="AC15" s="3"/>
      <c r="AD15"/>
      <c r="BD15" s="1"/>
      <c r="BS15"/>
      <c r="BT15"/>
      <c r="BU15"/>
      <c r="CH15" s="1"/>
      <c r="CI15" s="1"/>
      <c r="CJ15"/>
      <c r="DA15" s="7"/>
      <c r="DB15"/>
      <c r="DC15"/>
      <c r="DD15"/>
      <c r="DE15"/>
      <c r="DQ15" s="1"/>
      <c r="DR15" s="1"/>
      <c r="DS15"/>
      <c r="EF15" s="1"/>
      <c r="EJ15" s="7"/>
      <c r="EK15"/>
      <c r="EW15" s="1"/>
      <c r="EX15" s="1"/>
      <c r="EZ15" s="1"/>
      <c r="FA15"/>
      <c r="FR15" s="1"/>
      <c r="GJ15" s="1"/>
      <c r="GK15" s="1"/>
      <c r="GL15" s="1"/>
      <c r="GM15" s="1"/>
      <c r="GN15" s="1"/>
      <c r="GT15"/>
      <c r="IH15" s="1"/>
      <c r="IJ15"/>
      <c r="IK15" s="1"/>
      <c r="IO15"/>
      <c r="IP15" s="1"/>
      <c r="IS15"/>
      <c r="IW15" s="1"/>
      <c r="JB15"/>
      <c r="JE15" s="1"/>
      <c r="JT15"/>
      <c r="KJ15" s="1"/>
      <c r="KV15"/>
      <c r="LB15" s="1"/>
      <c r="LC15"/>
      <c r="LF15" s="1"/>
      <c r="LH15"/>
      <c r="LK15" s="1"/>
      <c r="LO15"/>
      <c r="LW15" s="1"/>
      <c r="LY15"/>
      <c r="MG15" s="1"/>
      <c r="OM15"/>
    </row>
    <row r="16" spans="1:403" x14ac:dyDescent="0.3">
      <c r="M16" s="3"/>
      <c r="N16"/>
      <c r="AC16" s="3"/>
      <c r="AD16"/>
      <c r="BD16" s="1"/>
      <c r="BS16"/>
      <c r="BT16"/>
      <c r="BU16"/>
      <c r="CH16" s="1"/>
      <c r="CI16" s="1"/>
      <c r="CJ16"/>
      <c r="DA16" s="7"/>
      <c r="DB16"/>
      <c r="DC16"/>
      <c r="DD16"/>
      <c r="DE16"/>
      <c r="DQ16" s="1"/>
      <c r="DR16" s="1"/>
      <c r="DS16"/>
      <c r="EF16" s="1"/>
      <c r="EJ16" s="7"/>
      <c r="EK16"/>
      <c r="EW16" s="1"/>
      <c r="EX16" s="1"/>
      <c r="EZ16" s="1"/>
      <c r="FA16"/>
      <c r="FR16" s="1"/>
      <c r="GJ16" s="1"/>
      <c r="GK16" s="1"/>
      <c r="GL16" s="1"/>
      <c r="GM16" s="1"/>
      <c r="GN16" s="1"/>
      <c r="GT16"/>
      <c r="IH16" s="1"/>
      <c r="IJ16"/>
      <c r="IK16" s="1"/>
      <c r="IO16"/>
      <c r="IP16" s="1"/>
      <c r="IS16"/>
      <c r="IW16" s="1"/>
      <c r="JB16"/>
      <c r="JE16" s="1"/>
      <c r="JT16"/>
      <c r="KJ16" s="1"/>
      <c r="KV16"/>
      <c r="LB16" s="1"/>
      <c r="LC16"/>
      <c r="LF16" s="1"/>
      <c r="LH16"/>
      <c r="LK16" s="1"/>
      <c r="LO16"/>
      <c r="LW16" s="1"/>
      <c r="LY16"/>
      <c r="MG16" s="1"/>
      <c r="OM16"/>
    </row>
    <row r="17" spans="13:403" x14ac:dyDescent="0.3">
      <c r="M17" s="3"/>
      <c r="N17"/>
      <c r="AC17" s="3"/>
      <c r="AD17"/>
      <c r="BD17" s="1"/>
      <c r="BS17"/>
      <c r="BT17"/>
      <c r="BU17"/>
      <c r="CH17" s="1"/>
      <c r="CI17" s="1"/>
      <c r="CJ17"/>
      <c r="DA17" s="7"/>
      <c r="DB17"/>
      <c r="DC17"/>
      <c r="DD17"/>
      <c r="DE17"/>
      <c r="DQ17" s="1"/>
      <c r="DR17" s="1"/>
      <c r="DS17"/>
      <c r="EF17" s="1"/>
      <c r="EJ17" s="7"/>
      <c r="EK17"/>
      <c r="EW17" s="1"/>
      <c r="EX17" s="1"/>
      <c r="EZ17" s="1"/>
      <c r="FA17"/>
      <c r="FR17" s="1"/>
      <c r="GJ17" s="1"/>
      <c r="GK17" s="1"/>
      <c r="GL17" s="1"/>
      <c r="GM17" s="1"/>
      <c r="GN17" s="1"/>
      <c r="GT17"/>
      <c r="IH17" s="1"/>
      <c r="IJ17"/>
      <c r="IK17" s="1"/>
      <c r="IO17"/>
      <c r="IP17" s="1"/>
      <c r="IS17"/>
      <c r="IW17" s="1"/>
      <c r="JB17"/>
      <c r="JE17" s="1"/>
      <c r="JT17"/>
      <c r="KJ17" s="1"/>
      <c r="KV17"/>
      <c r="LB17" s="1"/>
      <c r="LC17"/>
      <c r="LF17" s="1"/>
      <c r="LH17"/>
      <c r="LK17" s="1"/>
      <c r="LO17"/>
      <c r="LW17" s="1"/>
      <c r="LY17"/>
      <c r="MG17" s="1"/>
      <c r="OM17"/>
    </row>
    <row r="18" spans="13:403" x14ac:dyDescent="0.3">
      <c r="M18" s="3"/>
      <c r="N18"/>
      <c r="AC18" s="3"/>
      <c r="AD18"/>
      <c r="BD18" s="1"/>
      <c r="BS18"/>
      <c r="BT18"/>
      <c r="BU18"/>
      <c r="CH18" s="1"/>
      <c r="CI18" s="1"/>
      <c r="CJ18"/>
      <c r="DA18" s="7"/>
      <c r="DB18"/>
      <c r="DC18"/>
      <c r="DD18"/>
      <c r="DE18"/>
      <c r="DQ18" s="1"/>
      <c r="DR18" s="1"/>
      <c r="DS18"/>
      <c r="EF18" s="1"/>
      <c r="EJ18" s="7"/>
      <c r="EK18"/>
      <c r="EW18" s="1"/>
      <c r="EX18" s="1"/>
      <c r="EZ18" s="1"/>
      <c r="FA18"/>
      <c r="FR18" s="1"/>
      <c r="GJ18" s="1"/>
      <c r="GK18" s="1"/>
      <c r="GL18" s="1"/>
      <c r="GM18" s="1"/>
      <c r="GN18" s="1"/>
      <c r="GT18"/>
      <c r="IH18" s="1"/>
      <c r="IJ18"/>
      <c r="IK18" s="1"/>
      <c r="IO18"/>
      <c r="IP18" s="1"/>
      <c r="IS18"/>
      <c r="IW18" s="1"/>
      <c r="JB18"/>
      <c r="JE18" s="1"/>
      <c r="JT18"/>
      <c r="KJ18" s="1"/>
      <c r="KV18"/>
      <c r="LB18" s="1"/>
      <c r="LC18"/>
      <c r="LF18" s="1"/>
      <c r="LH18"/>
      <c r="LK18" s="1"/>
      <c r="LO18"/>
      <c r="LW18" s="1"/>
      <c r="LY18"/>
      <c r="MG18" s="1"/>
      <c r="OM18"/>
    </row>
    <row r="19" spans="13:403" x14ac:dyDescent="0.3">
      <c r="M19" s="3"/>
      <c r="N19"/>
      <c r="AC19" s="3"/>
      <c r="AD19"/>
      <c r="BD19" s="1"/>
      <c r="BS19"/>
      <c r="BT19"/>
      <c r="BU19"/>
      <c r="CH19" s="1"/>
      <c r="CI19" s="1"/>
      <c r="CJ19"/>
      <c r="DA19" s="7"/>
      <c r="DB19"/>
      <c r="DC19"/>
      <c r="DD19"/>
      <c r="DE19"/>
      <c r="DQ19" s="1"/>
      <c r="DR19" s="1"/>
      <c r="DS19"/>
      <c r="EF19" s="1"/>
      <c r="EJ19" s="7"/>
      <c r="EK19"/>
      <c r="EW19" s="1"/>
      <c r="EX19" s="1"/>
      <c r="EZ19" s="1"/>
      <c r="FA19"/>
      <c r="FR19" s="1"/>
      <c r="GJ19" s="1"/>
      <c r="GK19" s="1"/>
      <c r="GL19" s="1"/>
      <c r="GM19" s="1"/>
      <c r="GN19" s="1"/>
      <c r="GT19"/>
      <c r="IH19" s="1"/>
      <c r="IJ19"/>
      <c r="IK19" s="1"/>
      <c r="IO19"/>
      <c r="IP19" s="1"/>
      <c r="IS19"/>
      <c r="IW19" s="1"/>
      <c r="JB19"/>
      <c r="JE19" s="1"/>
      <c r="JT19"/>
      <c r="KJ19" s="1"/>
      <c r="KV19"/>
      <c r="LB19" s="1"/>
      <c r="LC19"/>
      <c r="LF19" s="1"/>
      <c r="LH19"/>
      <c r="LK19" s="1"/>
      <c r="LO19"/>
      <c r="LW19" s="1"/>
      <c r="LY19"/>
      <c r="MG19" s="1"/>
      <c r="OM19"/>
    </row>
    <row r="20" spans="13:403" x14ac:dyDescent="0.3">
      <c r="M20" s="3"/>
      <c r="N20"/>
      <c r="AC20" s="3"/>
      <c r="AD20"/>
      <c r="BD20" s="1"/>
      <c r="BS20"/>
      <c r="BT20"/>
      <c r="BU20"/>
      <c r="CH20" s="1"/>
      <c r="CI20" s="1"/>
      <c r="CJ20"/>
      <c r="DA20" s="7"/>
      <c r="DB20"/>
      <c r="DC20"/>
      <c r="DD20"/>
      <c r="DE20"/>
      <c r="DQ20" s="1"/>
      <c r="DR20" s="1"/>
      <c r="DS20"/>
      <c r="EF20" s="1"/>
      <c r="EJ20" s="7"/>
      <c r="EK20"/>
      <c r="EW20" s="1"/>
      <c r="EX20" s="1"/>
      <c r="EZ20" s="1"/>
      <c r="FA20"/>
      <c r="FR20" s="1"/>
      <c r="GJ20" s="1"/>
      <c r="GK20" s="1"/>
      <c r="GL20" s="1"/>
      <c r="GM20" s="1"/>
      <c r="GN20" s="1"/>
      <c r="GT20"/>
      <c r="IH20" s="1"/>
      <c r="IJ20"/>
      <c r="IK20" s="1"/>
      <c r="IO20"/>
      <c r="IP20" s="1"/>
      <c r="IS20"/>
      <c r="IW20" s="1"/>
      <c r="JB20"/>
      <c r="JE20" s="1"/>
      <c r="JT20"/>
      <c r="KJ20" s="1"/>
      <c r="KV20"/>
      <c r="LB20" s="1"/>
      <c r="LC20"/>
      <c r="LF20" s="1"/>
      <c r="LH20"/>
      <c r="LK20" s="1"/>
      <c r="LO20"/>
      <c r="LW20" s="1"/>
      <c r="LY20"/>
      <c r="MG20" s="1"/>
      <c r="OM20"/>
    </row>
    <row r="21" spans="13:403" x14ac:dyDescent="0.3">
      <c r="M21" s="3"/>
      <c r="N21"/>
      <c r="AC21" s="3"/>
      <c r="AD21"/>
      <c r="BD21" s="1"/>
      <c r="BS21"/>
      <c r="BT21"/>
      <c r="BU21"/>
      <c r="CH21" s="1"/>
      <c r="CI21" s="1"/>
      <c r="CJ21"/>
      <c r="DA21" s="7"/>
      <c r="DB21"/>
      <c r="DC21"/>
      <c r="DD21"/>
      <c r="DE21"/>
      <c r="DQ21" s="1"/>
      <c r="DR21" s="1"/>
      <c r="DS21"/>
      <c r="EF21" s="1"/>
      <c r="EJ21" s="7"/>
      <c r="EK21"/>
      <c r="EW21" s="1"/>
      <c r="EX21" s="1"/>
      <c r="EZ21" s="1"/>
      <c r="FA21"/>
      <c r="FR21" s="1"/>
      <c r="GJ21" s="1"/>
      <c r="GK21" s="1"/>
      <c r="GL21" s="1"/>
      <c r="GM21" s="1"/>
      <c r="GN21" s="1"/>
      <c r="GT21"/>
      <c r="IH21" s="1"/>
      <c r="IJ21"/>
      <c r="IK21" s="1"/>
      <c r="IO21"/>
      <c r="IP21" s="1"/>
      <c r="IS21"/>
      <c r="IW21" s="1"/>
      <c r="JB21"/>
      <c r="JE21" s="1"/>
      <c r="JT21"/>
      <c r="KJ21" s="1"/>
      <c r="KV21"/>
      <c r="LB21" s="1"/>
      <c r="LC21"/>
      <c r="LF21" s="1"/>
      <c r="LH21"/>
      <c r="LK21" s="1"/>
      <c r="LO21"/>
      <c r="LW21" s="1"/>
      <c r="LY21"/>
      <c r="MG21" s="1"/>
      <c r="OM21"/>
    </row>
    <row r="22" spans="13:403" x14ac:dyDescent="0.3">
      <c r="M22" s="3"/>
      <c r="N22"/>
      <c r="AC22" s="3"/>
      <c r="AD22"/>
      <c r="BD22" s="1"/>
      <c r="BS22"/>
      <c r="BT22"/>
      <c r="BU22"/>
      <c r="CH22" s="1"/>
      <c r="CI22" s="1"/>
      <c r="CJ22"/>
      <c r="DA22" s="7"/>
      <c r="DB22"/>
      <c r="DC22"/>
      <c r="DD22"/>
      <c r="DE22"/>
      <c r="DQ22" s="1"/>
      <c r="DR22" s="1"/>
      <c r="DS22"/>
      <c r="EF22" s="1"/>
      <c r="EJ22" s="7"/>
      <c r="EK22"/>
      <c r="EW22" s="1"/>
      <c r="EX22" s="1"/>
      <c r="EZ22" s="1"/>
      <c r="FA22"/>
      <c r="FR22" s="1"/>
      <c r="GJ22" s="1"/>
      <c r="GK22" s="1"/>
      <c r="GL22" s="1"/>
      <c r="GM22" s="1"/>
      <c r="GN22" s="1"/>
      <c r="GT22"/>
      <c r="IH22" s="1"/>
      <c r="IJ22"/>
      <c r="IK22" s="1"/>
      <c r="IO22"/>
      <c r="IP22" s="1"/>
      <c r="IS22"/>
      <c r="IW22" s="1"/>
      <c r="JB22"/>
      <c r="JE22" s="1"/>
      <c r="JT22"/>
      <c r="KJ22" s="1"/>
      <c r="KV22"/>
      <c r="LB22" s="1"/>
      <c r="LC22"/>
      <c r="LF22" s="1"/>
      <c r="LH22"/>
      <c r="LK22" s="1"/>
      <c r="LO22"/>
      <c r="LW22" s="1"/>
      <c r="LY22"/>
      <c r="MG22" s="1"/>
      <c r="OM22"/>
    </row>
    <row r="23" spans="13:403" x14ac:dyDescent="0.3">
      <c r="M23" s="3"/>
      <c r="N23"/>
      <c r="AC23" s="3"/>
      <c r="AD23"/>
      <c r="BD23" s="1"/>
      <c r="BS23"/>
      <c r="BT23"/>
      <c r="BU23"/>
      <c r="CH23" s="1"/>
      <c r="CI23" s="1"/>
      <c r="CJ23"/>
      <c r="DA23" s="7"/>
      <c r="DB23"/>
      <c r="DC23"/>
      <c r="DD23"/>
      <c r="DE23"/>
      <c r="DQ23" s="1"/>
      <c r="DR23" s="1"/>
      <c r="DS23"/>
      <c r="EF23" s="1"/>
      <c r="EJ23" s="7"/>
      <c r="EK23"/>
      <c r="EW23" s="1"/>
      <c r="EX23" s="1"/>
      <c r="EZ23" s="1"/>
      <c r="FA23"/>
      <c r="FR23" s="1"/>
      <c r="GJ23" s="1"/>
      <c r="GK23" s="1"/>
      <c r="GL23" s="1"/>
      <c r="GM23" s="1"/>
      <c r="GN23" s="1"/>
      <c r="GT23"/>
      <c r="IH23" s="1"/>
      <c r="IJ23"/>
      <c r="IK23" s="1"/>
      <c r="IO23"/>
      <c r="IP23" s="1"/>
      <c r="IS23"/>
      <c r="IW23" s="1"/>
      <c r="JB23"/>
      <c r="JE23" s="1"/>
      <c r="JT23"/>
      <c r="KJ23" s="1"/>
      <c r="KV23"/>
      <c r="LB23" s="1"/>
      <c r="LC23"/>
      <c r="LF23" s="1"/>
      <c r="LH23"/>
      <c r="LK23" s="1"/>
      <c r="LO23"/>
      <c r="LW23" s="1"/>
      <c r="LY23"/>
      <c r="MG23" s="1"/>
      <c r="OM23"/>
    </row>
    <row r="24" spans="13:403" x14ac:dyDescent="0.3">
      <c r="M24" s="3"/>
      <c r="N24"/>
      <c r="AC24" s="3"/>
      <c r="AD24"/>
      <c r="BD24" s="1"/>
      <c r="BS24"/>
      <c r="BT24"/>
      <c r="BU24"/>
      <c r="CH24" s="1"/>
      <c r="CI24" s="1"/>
      <c r="CJ24"/>
      <c r="DA24" s="7"/>
      <c r="DB24"/>
      <c r="DC24"/>
      <c r="DD24"/>
      <c r="DE24"/>
      <c r="DQ24" s="1"/>
      <c r="DR24" s="1"/>
      <c r="DS24"/>
      <c r="EF24" s="1"/>
      <c r="EJ24" s="7"/>
      <c r="EK24"/>
      <c r="EW24" s="1"/>
      <c r="EX24" s="1"/>
      <c r="EZ24" s="1"/>
      <c r="FA24"/>
      <c r="FR24" s="1"/>
      <c r="GJ24" s="1"/>
      <c r="GK24" s="1"/>
      <c r="GL24" s="1"/>
      <c r="GM24" s="1"/>
      <c r="GN24" s="1"/>
      <c r="GT24"/>
      <c r="IH24" s="1"/>
      <c r="IJ24"/>
      <c r="IK24" s="1"/>
      <c r="IO24"/>
      <c r="IP24" s="1"/>
      <c r="IS24"/>
      <c r="IW24" s="1"/>
      <c r="JB24"/>
      <c r="JE24" s="1"/>
      <c r="JT24"/>
      <c r="KJ24" s="1"/>
      <c r="KV24"/>
      <c r="LB24" s="1"/>
      <c r="LC24"/>
      <c r="LF24" s="1"/>
      <c r="LH24"/>
      <c r="LK24" s="1"/>
      <c r="LO24"/>
      <c r="LW24" s="1"/>
      <c r="LY24"/>
      <c r="MG24" s="1"/>
      <c r="OM24"/>
    </row>
    <row r="25" spans="13:403" x14ac:dyDescent="0.3">
      <c r="M25" s="3"/>
      <c r="N25"/>
      <c r="AC25" s="3"/>
      <c r="AD25"/>
      <c r="BD25" s="1"/>
      <c r="BS25"/>
      <c r="BT25"/>
      <c r="BU25"/>
      <c r="CH25" s="1"/>
      <c r="CI25" s="1"/>
      <c r="CJ25"/>
      <c r="DA25" s="7"/>
      <c r="DB25"/>
      <c r="DC25"/>
      <c r="DD25"/>
      <c r="DE25"/>
      <c r="DQ25" s="1"/>
      <c r="DR25" s="1"/>
      <c r="DS25"/>
      <c r="EF25" s="1"/>
      <c r="EJ25" s="7"/>
      <c r="EK25"/>
      <c r="EW25" s="1"/>
      <c r="EX25" s="1"/>
      <c r="EZ25" s="1"/>
      <c r="FA25"/>
      <c r="FR25" s="1"/>
      <c r="GJ25" s="1"/>
      <c r="GK25" s="1"/>
      <c r="GL25" s="1"/>
      <c r="GM25" s="1"/>
      <c r="GN25" s="1"/>
      <c r="GT25"/>
      <c r="IH25" s="1"/>
      <c r="IJ25"/>
      <c r="IK25" s="1"/>
      <c r="IO25"/>
      <c r="IP25" s="1"/>
      <c r="IS25"/>
      <c r="IW25" s="1"/>
      <c r="JB25"/>
      <c r="JE25" s="1"/>
      <c r="JT25"/>
      <c r="KJ25" s="1"/>
      <c r="KV25"/>
      <c r="LB25" s="1"/>
      <c r="LC25"/>
      <c r="LF25" s="1"/>
      <c r="LH25"/>
      <c r="LK25" s="1"/>
      <c r="LO25"/>
      <c r="LW25" s="1"/>
      <c r="LY25"/>
      <c r="MG25" s="1"/>
      <c r="OM25"/>
    </row>
    <row r="26" spans="13:403" x14ac:dyDescent="0.3">
      <c r="M26" s="3"/>
      <c r="N26"/>
      <c r="AC26" s="3"/>
      <c r="AD26"/>
      <c r="BD26" s="1"/>
      <c r="BS26"/>
      <c r="BT26"/>
      <c r="BU26"/>
      <c r="CH26" s="1"/>
      <c r="CI26" s="1"/>
      <c r="CJ26"/>
      <c r="DA26" s="7"/>
      <c r="DB26"/>
      <c r="DC26"/>
      <c r="DD26"/>
      <c r="DE26"/>
      <c r="DQ26" s="1"/>
      <c r="DR26" s="1"/>
      <c r="DS26"/>
      <c r="EF26" s="1"/>
      <c r="EJ26" s="7"/>
      <c r="EK26"/>
      <c r="EW26" s="1"/>
      <c r="EX26" s="1"/>
      <c r="EZ26" s="1"/>
      <c r="FA26"/>
      <c r="FR26" s="1"/>
      <c r="GJ26" s="1"/>
      <c r="GK26" s="1"/>
      <c r="GL26" s="1"/>
      <c r="GM26" s="1"/>
      <c r="GN26" s="1"/>
      <c r="GT26"/>
      <c r="IH26" s="1"/>
      <c r="IJ26"/>
      <c r="IK26" s="1"/>
      <c r="IO26"/>
      <c r="IP26" s="1"/>
      <c r="IS26"/>
      <c r="IW26" s="1"/>
      <c r="JB26"/>
      <c r="JE26" s="1"/>
      <c r="JT26"/>
      <c r="KJ26" s="1"/>
      <c r="KV26"/>
      <c r="LB26" s="1"/>
      <c r="LC26"/>
      <c r="LF26" s="1"/>
      <c r="LH26"/>
      <c r="LK26" s="1"/>
      <c r="LO26"/>
      <c r="LW26" s="1"/>
      <c r="LY26"/>
      <c r="MG26" s="1"/>
      <c r="OM26"/>
    </row>
    <row r="27" spans="13:403" x14ac:dyDescent="0.3">
      <c r="M27" s="3"/>
      <c r="N27"/>
      <c r="AC27" s="3"/>
      <c r="AD27"/>
      <c r="BD27" s="1"/>
      <c r="BS27"/>
      <c r="BT27"/>
      <c r="BU27"/>
      <c r="CH27" s="1"/>
      <c r="CI27" s="1"/>
      <c r="CJ27"/>
      <c r="DA27" s="7"/>
      <c r="DB27"/>
      <c r="DC27"/>
      <c r="DD27"/>
      <c r="DE27"/>
      <c r="DQ27" s="1"/>
      <c r="DR27" s="1"/>
      <c r="DS27"/>
      <c r="EF27" s="1"/>
      <c r="EJ27" s="7"/>
      <c r="EK27"/>
      <c r="EW27" s="1"/>
      <c r="EX27" s="1"/>
      <c r="EZ27" s="1"/>
      <c r="FA27"/>
      <c r="FR27" s="1"/>
      <c r="GJ27" s="1"/>
      <c r="GK27" s="1"/>
      <c r="GL27" s="1"/>
      <c r="GM27" s="1"/>
      <c r="GN27" s="1"/>
      <c r="GT27"/>
      <c r="IH27" s="1"/>
      <c r="IJ27"/>
      <c r="IK27" s="1"/>
      <c r="IO27"/>
      <c r="IP27" s="1"/>
      <c r="IS27"/>
      <c r="IW27" s="1"/>
      <c r="JB27"/>
      <c r="JE27" s="1"/>
      <c r="JT27"/>
      <c r="KJ27" s="1"/>
      <c r="KV27"/>
      <c r="LB27" s="1"/>
      <c r="LC27"/>
      <c r="LF27" s="1"/>
      <c r="LH27"/>
      <c r="LK27" s="1"/>
      <c r="LO27"/>
      <c r="LW27" s="1"/>
      <c r="LY27"/>
      <c r="MG27" s="1"/>
      <c r="OM27"/>
    </row>
    <row r="28" spans="13:403" x14ac:dyDescent="0.3">
      <c r="M28" s="3"/>
      <c r="N28"/>
      <c r="AC28" s="3"/>
      <c r="AD28"/>
      <c r="BD28" s="1"/>
      <c r="BS28"/>
      <c r="BT28"/>
      <c r="BU28"/>
      <c r="CH28" s="1"/>
      <c r="CI28" s="1"/>
      <c r="CJ28"/>
      <c r="DA28" s="7"/>
      <c r="DB28"/>
      <c r="DC28"/>
      <c r="DD28"/>
      <c r="DE28"/>
      <c r="DQ28" s="1"/>
      <c r="DR28" s="1"/>
      <c r="DS28"/>
      <c r="EF28" s="1"/>
      <c r="EJ28" s="7"/>
      <c r="EK28"/>
      <c r="EW28" s="1"/>
      <c r="EX28" s="1"/>
      <c r="EZ28" s="1"/>
      <c r="FA28"/>
      <c r="FR28" s="1"/>
      <c r="GJ28" s="1"/>
      <c r="GK28" s="1"/>
      <c r="GL28" s="1"/>
      <c r="GM28" s="1"/>
      <c r="GN28" s="1"/>
      <c r="GT28"/>
      <c r="IH28" s="1"/>
      <c r="IJ28"/>
      <c r="IK28" s="1"/>
      <c r="IO28"/>
      <c r="IP28" s="1"/>
      <c r="IS28"/>
      <c r="IW28" s="1"/>
      <c r="JB28"/>
      <c r="JE28" s="1"/>
      <c r="JT28"/>
      <c r="KJ28" s="1"/>
      <c r="KV28"/>
      <c r="LB28" s="1"/>
      <c r="LC28"/>
      <c r="LF28" s="1"/>
      <c r="LH28"/>
      <c r="LK28" s="1"/>
      <c r="LO28"/>
      <c r="LW28" s="1"/>
      <c r="LY28"/>
      <c r="MG28" s="1"/>
      <c r="OM28"/>
    </row>
    <row r="29" spans="13:403" x14ac:dyDescent="0.3">
      <c r="M29" s="3"/>
      <c r="N29"/>
      <c r="AC29" s="3"/>
      <c r="AD29"/>
      <c r="BD29" s="1"/>
      <c r="BS29"/>
      <c r="BT29"/>
      <c r="BU29"/>
      <c r="CH29" s="1"/>
      <c r="CI29" s="1"/>
      <c r="CJ29"/>
      <c r="DA29" s="7"/>
      <c r="DB29"/>
      <c r="DC29"/>
      <c r="DD29"/>
      <c r="DE29"/>
      <c r="DQ29" s="1"/>
      <c r="DR29" s="1"/>
      <c r="DS29"/>
      <c r="EF29" s="1"/>
      <c r="EJ29" s="7"/>
      <c r="EK29"/>
      <c r="EW29" s="1"/>
      <c r="EX29" s="1"/>
      <c r="EZ29" s="1"/>
      <c r="FA29"/>
      <c r="FR29" s="1"/>
      <c r="GJ29" s="1"/>
      <c r="GK29" s="1"/>
      <c r="GL29" s="1"/>
      <c r="GM29" s="1"/>
      <c r="GN29" s="1"/>
      <c r="GT29"/>
      <c r="IH29" s="1"/>
      <c r="IJ29"/>
      <c r="IK29" s="1"/>
      <c r="IO29"/>
      <c r="IP29" s="1"/>
      <c r="IS29"/>
      <c r="IW29" s="1"/>
      <c r="JB29"/>
      <c r="JE29" s="1"/>
      <c r="JT29"/>
      <c r="KJ29" s="1"/>
      <c r="KV29"/>
      <c r="LB29" s="1"/>
      <c r="LC29"/>
      <c r="LF29" s="1"/>
      <c r="LH29"/>
      <c r="LK29" s="1"/>
      <c r="LO29"/>
      <c r="LW29" s="1"/>
      <c r="LY29"/>
      <c r="MG29" s="1"/>
      <c r="OM29"/>
    </row>
    <row r="30" spans="13:403" x14ac:dyDescent="0.3">
      <c r="M30" s="3"/>
      <c r="N30"/>
      <c r="AC30" s="3"/>
      <c r="AD30"/>
      <c r="BD30" s="1"/>
      <c r="BS30"/>
      <c r="BT30"/>
      <c r="BU30"/>
      <c r="CH30" s="1"/>
      <c r="CI30" s="1"/>
      <c r="CJ30"/>
      <c r="DA30" s="7"/>
      <c r="DB30"/>
      <c r="DC30"/>
      <c r="DD30"/>
      <c r="DE30"/>
      <c r="DQ30" s="1"/>
      <c r="DR30" s="1"/>
      <c r="DS30"/>
      <c r="EF30" s="1"/>
      <c r="EJ30" s="7"/>
      <c r="EK30"/>
      <c r="EW30" s="1"/>
      <c r="EX30" s="1"/>
      <c r="EZ30" s="1"/>
      <c r="FA30"/>
      <c r="FR30" s="1"/>
      <c r="GJ30" s="1"/>
      <c r="GK30" s="1"/>
      <c r="GL30" s="1"/>
      <c r="GM30" s="1"/>
      <c r="GN30" s="1"/>
      <c r="GT30"/>
      <c r="IH30" s="1"/>
      <c r="IJ30"/>
      <c r="IK30" s="1"/>
      <c r="IO30"/>
      <c r="IP30" s="1"/>
      <c r="IS30"/>
      <c r="IW30" s="1"/>
      <c r="JB30"/>
      <c r="JE30" s="1"/>
      <c r="JT30"/>
      <c r="KJ30" s="1"/>
      <c r="KV30"/>
      <c r="LB30" s="1"/>
      <c r="LC30"/>
      <c r="LF30" s="1"/>
      <c r="LH30"/>
      <c r="LK30" s="1"/>
      <c r="LO30"/>
      <c r="LW30" s="1"/>
      <c r="LY30"/>
      <c r="MG30" s="1"/>
      <c r="OM30"/>
    </row>
    <row r="31" spans="13:403" x14ac:dyDescent="0.3">
      <c r="M31" s="3"/>
      <c r="N31"/>
      <c r="AC31" s="3"/>
      <c r="AD31"/>
      <c r="BD31" s="1"/>
      <c r="BS31"/>
      <c r="BT31"/>
      <c r="BU31"/>
      <c r="CH31" s="1"/>
      <c r="CI31" s="1"/>
      <c r="CJ31"/>
      <c r="DA31" s="7"/>
      <c r="DB31"/>
      <c r="DC31"/>
      <c r="DD31"/>
      <c r="DE31"/>
      <c r="DQ31" s="1"/>
      <c r="DR31" s="1"/>
      <c r="DS31"/>
      <c r="EF31" s="1"/>
      <c r="EJ31" s="7"/>
      <c r="EK31"/>
      <c r="EW31" s="1"/>
      <c r="EX31" s="1"/>
      <c r="EZ31" s="1"/>
      <c r="FA31"/>
      <c r="FR31" s="1"/>
      <c r="GJ31" s="1"/>
      <c r="GK31" s="1"/>
      <c r="GL31" s="1"/>
      <c r="GM31" s="1"/>
      <c r="GN31" s="1"/>
      <c r="GT31"/>
      <c r="IH31" s="1"/>
      <c r="IJ31"/>
      <c r="IK31" s="1"/>
      <c r="IO31"/>
      <c r="IP31" s="1"/>
      <c r="IS31"/>
      <c r="IW31" s="1"/>
      <c r="JB31"/>
      <c r="JE31" s="1"/>
      <c r="JT31"/>
      <c r="KJ31" s="1"/>
      <c r="KV31"/>
      <c r="LB31" s="1"/>
      <c r="LC31"/>
      <c r="LF31" s="1"/>
      <c r="LH31"/>
      <c r="LK31" s="1"/>
      <c r="LO31"/>
      <c r="LW31" s="1"/>
      <c r="LY31"/>
      <c r="MG31" s="1"/>
      <c r="OM31"/>
    </row>
    <row r="32" spans="13:403" x14ac:dyDescent="0.3">
      <c r="M32" s="3"/>
      <c r="N32"/>
      <c r="AC32" s="3"/>
      <c r="AD32"/>
      <c r="BD32" s="1"/>
      <c r="BS32"/>
      <c r="BT32"/>
      <c r="BU32"/>
      <c r="CH32" s="1"/>
      <c r="CI32" s="1"/>
      <c r="CJ32"/>
      <c r="DA32" s="7"/>
      <c r="DB32"/>
      <c r="DC32"/>
      <c r="DD32"/>
      <c r="DE32"/>
      <c r="DQ32" s="1"/>
      <c r="DR32" s="1"/>
      <c r="DS32"/>
      <c r="EF32" s="1"/>
      <c r="EJ32" s="7"/>
      <c r="EK32"/>
      <c r="EW32" s="1"/>
      <c r="EX32" s="1"/>
      <c r="EZ32" s="1"/>
      <c r="FA32"/>
      <c r="FR32" s="1"/>
      <c r="GJ32" s="1"/>
      <c r="GK32" s="1"/>
      <c r="GL32" s="1"/>
      <c r="GM32" s="1"/>
      <c r="GN32" s="1"/>
      <c r="GT32"/>
      <c r="IH32" s="1"/>
      <c r="IJ32"/>
      <c r="IK32" s="1"/>
      <c r="IO32"/>
      <c r="IP32" s="1"/>
      <c r="IS32"/>
      <c r="IW32" s="1"/>
      <c r="JB32"/>
      <c r="JE32" s="1"/>
      <c r="JT32"/>
      <c r="KJ32" s="1"/>
      <c r="KV32"/>
      <c r="LB32" s="1"/>
      <c r="LC32"/>
      <c r="LF32" s="1"/>
      <c r="LH32"/>
      <c r="LK32" s="1"/>
      <c r="LO32"/>
      <c r="LW32" s="1"/>
      <c r="LY32"/>
      <c r="MG32" s="1"/>
      <c r="OM32"/>
    </row>
    <row r="33" spans="13:403" x14ac:dyDescent="0.3">
      <c r="M33" s="3"/>
      <c r="N33"/>
      <c r="AC33" s="3"/>
      <c r="AD33"/>
      <c r="BD33" s="1"/>
      <c r="BS33"/>
      <c r="BT33"/>
      <c r="BU33"/>
      <c r="CH33" s="1"/>
      <c r="CI33" s="1"/>
      <c r="CJ33"/>
      <c r="DA33" s="7"/>
      <c r="DB33"/>
      <c r="DC33"/>
      <c r="DD33"/>
      <c r="DE33"/>
      <c r="DQ33" s="1"/>
      <c r="DR33" s="1"/>
      <c r="DS33"/>
      <c r="EF33" s="1"/>
      <c r="EJ33" s="7"/>
      <c r="EK33"/>
      <c r="EW33" s="1"/>
      <c r="EX33" s="1"/>
      <c r="EZ33" s="1"/>
      <c r="FA33"/>
      <c r="FR33" s="1"/>
      <c r="GJ33" s="1"/>
      <c r="GK33" s="1"/>
      <c r="GL33" s="1"/>
      <c r="GM33" s="1"/>
      <c r="GN33" s="1"/>
      <c r="GT33"/>
      <c r="IH33" s="1"/>
      <c r="IJ33"/>
      <c r="IK33" s="1"/>
      <c r="IO33"/>
      <c r="IP33" s="1"/>
      <c r="IS33"/>
      <c r="IW33" s="1"/>
      <c r="JB33"/>
      <c r="JE33" s="1"/>
      <c r="JT33"/>
      <c r="KJ33" s="1"/>
      <c r="KV33"/>
      <c r="LB33" s="1"/>
      <c r="LC33"/>
      <c r="LF33" s="1"/>
      <c r="LH33"/>
      <c r="LK33" s="1"/>
      <c r="LO33"/>
      <c r="LW33" s="1"/>
      <c r="LY33"/>
      <c r="MG33" s="1"/>
      <c r="OM33"/>
    </row>
    <row r="34" spans="13:403" x14ac:dyDescent="0.3">
      <c r="M34" s="3"/>
      <c r="N34"/>
      <c r="AC34" s="3"/>
      <c r="AD34"/>
      <c r="BD34" s="1"/>
      <c r="BS34"/>
      <c r="BT34"/>
      <c r="BU34"/>
      <c r="CH34" s="1"/>
      <c r="CI34" s="1"/>
      <c r="CJ34"/>
      <c r="DA34" s="7"/>
      <c r="DB34"/>
      <c r="DC34"/>
      <c r="DD34"/>
      <c r="DE34"/>
      <c r="DQ34" s="1"/>
      <c r="DR34" s="1"/>
      <c r="DS34"/>
      <c r="EF34" s="1"/>
      <c r="EJ34" s="7"/>
      <c r="EK34"/>
      <c r="EW34" s="1"/>
      <c r="EX34" s="1"/>
      <c r="EZ34" s="1"/>
      <c r="FA34"/>
      <c r="FR34" s="1"/>
      <c r="GJ34" s="1"/>
      <c r="GK34" s="1"/>
      <c r="GL34" s="1"/>
      <c r="GM34" s="1"/>
      <c r="GN34" s="1"/>
      <c r="GT34"/>
      <c r="IH34" s="1"/>
      <c r="IJ34"/>
      <c r="IK34" s="1"/>
      <c r="IO34"/>
      <c r="IP34" s="1"/>
      <c r="IS34"/>
      <c r="IW34" s="1"/>
      <c r="JB34"/>
      <c r="JE34" s="1"/>
      <c r="JT34"/>
      <c r="KJ34" s="1"/>
      <c r="KV34"/>
      <c r="LB34" s="1"/>
      <c r="LC34"/>
      <c r="LF34" s="1"/>
      <c r="LH34"/>
      <c r="LK34" s="1"/>
      <c r="LO34"/>
      <c r="LW34" s="1"/>
      <c r="LY34"/>
      <c r="MG34" s="1"/>
      <c r="OM34"/>
    </row>
    <row r="35" spans="13:403" x14ac:dyDescent="0.3">
      <c r="M35" s="3"/>
      <c r="N35"/>
      <c r="AC35" s="3"/>
      <c r="AD35"/>
      <c r="BD35" s="1"/>
      <c r="BS35"/>
      <c r="BT35"/>
      <c r="BU35"/>
      <c r="CH35" s="1"/>
      <c r="CI35" s="1"/>
      <c r="CJ35"/>
      <c r="DA35" s="7"/>
      <c r="DB35"/>
      <c r="DC35"/>
      <c r="DD35"/>
      <c r="DE35"/>
      <c r="DQ35" s="1"/>
      <c r="DR35" s="1"/>
      <c r="DS35"/>
      <c r="EF35" s="1"/>
      <c r="EJ35" s="7"/>
      <c r="EK35"/>
      <c r="EW35" s="1"/>
      <c r="EX35" s="1"/>
      <c r="EZ35" s="1"/>
      <c r="FA35"/>
      <c r="FR35" s="1"/>
      <c r="GJ35" s="1"/>
      <c r="GK35" s="1"/>
      <c r="GL35" s="1"/>
      <c r="GM35" s="1"/>
      <c r="GN35" s="1"/>
      <c r="GT35"/>
      <c r="IH35" s="1"/>
      <c r="IJ35"/>
      <c r="IK35" s="1"/>
      <c r="IO35"/>
      <c r="IP35" s="1"/>
      <c r="IS35"/>
      <c r="IW35" s="1"/>
      <c r="JB35"/>
      <c r="JE35" s="1"/>
      <c r="JT35"/>
      <c r="KJ35" s="1"/>
      <c r="KV35"/>
      <c r="LB35" s="1"/>
      <c r="LC35"/>
      <c r="LF35" s="1"/>
      <c r="LH35"/>
      <c r="LK35" s="1"/>
      <c r="LO35"/>
      <c r="LW35" s="1"/>
      <c r="LY35"/>
      <c r="MG35" s="1"/>
      <c r="OM35"/>
    </row>
    <row r="36" spans="13:403" x14ac:dyDescent="0.3">
      <c r="M36" s="3"/>
      <c r="N36"/>
      <c r="AC36" s="3"/>
      <c r="AD36"/>
      <c r="BD36" s="1"/>
      <c r="BS36"/>
      <c r="BT36"/>
      <c r="BU36"/>
      <c r="CH36" s="1"/>
      <c r="CI36" s="1"/>
      <c r="CJ36"/>
      <c r="DA36" s="7"/>
      <c r="DB36"/>
      <c r="DC36"/>
      <c r="DD36"/>
      <c r="DE36"/>
      <c r="DQ36" s="1"/>
      <c r="DR36" s="1"/>
      <c r="DS36"/>
      <c r="EF36" s="1"/>
      <c r="EJ36" s="7"/>
      <c r="EK36"/>
      <c r="EW36" s="1"/>
      <c r="EX36" s="1"/>
      <c r="EZ36" s="1"/>
      <c r="FA36"/>
      <c r="FR36" s="1"/>
      <c r="GJ36" s="1"/>
      <c r="GK36" s="1"/>
      <c r="GL36" s="1"/>
      <c r="GM36" s="1"/>
      <c r="GN36" s="1"/>
      <c r="GT36"/>
      <c r="IH36" s="1"/>
      <c r="IJ36"/>
      <c r="IK36" s="1"/>
      <c r="IO36"/>
      <c r="IP36" s="1"/>
      <c r="IS36"/>
      <c r="IW36" s="1"/>
      <c r="JB36"/>
      <c r="JE36" s="1"/>
      <c r="JT36"/>
      <c r="KJ36" s="1"/>
      <c r="KV36"/>
      <c r="LB36" s="1"/>
      <c r="LC36"/>
      <c r="LF36" s="1"/>
      <c r="LH36"/>
      <c r="LK36" s="1"/>
      <c r="LO36"/>
      <c r="LW36" s="1"/>
      <c r="LY36"/>
      <c r="MG36" s="1"/>
      <c r="OM36"/>
    </row>
    <row r="37" spans="13:403" x14ac:dyDescent="0.3">
      <c r="M37" s="3"/>
      <c r="N37"/>
      <c r="AC37" s="3"/>
      <c r="AD37"/>
      <c r="BD37" s="1"/>
      <c r="BS37"/>
      <c r="BT37"/>
      <c r="BU37"/>
      <c r="CH37" s="1"/>
      <c r="CI37" s="1"/>
      <c r="CJ37"/>
      <c r="DA37" s="7"/>
      <c r="DB37"/>
      <c r="DC37"/>
      <c r="DD37"/>
      <c r="DE37"/>
      <c r="DQ37" s="1"/>
      <c r="DR37" s="1"/>
      <c r="DS37"/>
      <c r="EF37" s="1"/>
      <c r="EJ37" s="7"/>
      <c r="EK37"/>
      <c r="EW37" s="1"/>
      <c r="EX37" s="1"/>
      <c r="EZ37" s="1"/>
      <c r="FA37"/>
      <c r="FR37" s="1"/>
      <c r="GJ37" s="1"/>
      <c r="GK37" s="1"/>
      <c r="GL37" s="1"/>
      <c r="GM37" s="1"/>
      <c r="GN37" s="1"/>
      <c r="GT37"/>
      <c r="IH37" s="1"/>
      <c r="IJ37"/>
      <c r="IK37" s="1"/>
      <c r="IO37"/>
      <c r="IP37" s="1"/>
      <c r="IS37"/>
      <c r="IW37" s="1"/>
      <c r="JB37"/>
      <c r="JE37" s="1"/>
      <c r="JT37"/>
      <c r="KJ37" s="1"/>
      <c r="KV37"/>
      <c r="LB37" s="1"/>
      <c r="LC37"/>
      <c r="LF37" s="1"/>
      <c r="LH37"/>
      <c r="LK37" s="1"/>
      <c r="LO37"/>
      <c r="LW37" s="1"/>
      <c r="LY37"/>
      <c r="MG37" s="1"/>
      <c r="OM37"/>
    </row>
    <row r="38" spans="13:403" x14ac:dyDescent="0.3">
      <c r="M38" s="3"/>
      <c r="N38"/>
      <c r="AC38" s="3"/>
      <c r="AD38"/>
      <c r="BD38" s="1"/>
      <c r="BS38"/>
      <c r="BT38"/>
      <c r="BU38"/>
      <c r="CH38" s="1"/>
      <c r="CI38" s="1"/>
      <c r="CJ38"/>
      <c r="DA38" s="7"/>
      <c r="DB38"/>
      <c r="DC38"/>
      <c r="DD38"/>
      <c r="DE38"/>
      <c r="DQ38" s="1"/>
      <c r="DR38" s="1"/>
      <c r="DS38"/>
      <c r="EF38" s="1"/>
      <c r="EJ38" s="7"/>
      <c r="EK38"/>
      <c r="EW38" s="1"/>
      <c r="EX38" s="1"/>
      <c r="EZ38" s="1"/>
      <c r="FA38"/>
      <c r="FR38" s="1"/>
      <c r="GJ38" s="1"/>
      <c r="GK38" s="1"/>
      <c r="GL38" s="1"/>
      <c r="GM38" s="1"/>
      <c r="GN38" s="1"/>
      <c r="GT38"/>
      <c r="IH38" s="1"/>
      <c r="IJ38"/>
      <c r="IK38" s="1"/>
      <c r="IO38"/>
      <c r="IP38" s="1"/>
      <c r="IS38"/>
      <c r="IW38" s="1"/>
      <c r="JB38"/>
      <c r="JE38" s="1"/>
      <c r="JT38"/>
      <c r="KJ38" s="1"/>
      <c r="KV38"/>
      <c r="LB38" s="1"/>
      <c r="LC38"/>
      <c r="LF38" s="1"/>
      <c r="LH38"/>
      <c r="LK38" s="1"/>
      <c r="LO38"/>
      <c r="LW38" s="1"/>
      <c r="LY38"/>
      <c r="MG38" s="1"/>
      <c r="OM38"/>
    </row>
    <row r="39" spans="13:403" x14ac:dyDescent="0.3">
      <c r="M39" s="3"/>
      <c r="N39"/>
      <c r="AC39" s="3"/>
      <c r="AD39"/>
      <c r="BD39" s="1"/>
      <c r="BS39"/>
      <c r="BT39"/>
      <c r="BU39"/>
      <c r="CH39" s="1"/>
      <c r="CI39" s="1"/>
      <c r="CJ39"/>
      <c r="DA39" s="7"/>
      <c r="DB39"/>
      <c r="DC39"/>
      <c r="DD39"/>
      <c r="DE39"/>
      <c r="DQ39" s="1"/>
      <c r="DR39" s="1"/>
      <c r="DS39"/>
      <c r="EF39" s="1"/>
      <c r="EJ39" s="7"/>
      <c r="EK39"/>
      <c r="EW39" s="1"/>
      <c r="EX39" s="1"/>
      <c r="EZ39" s="1"/>
      <c r="FA39"/>
      <c r="FR39" s="1"/>
      <c r="GJ39" s="1"/>
      <c r="GK39" s="1"/>
      <c r="GL39" s="1"/>
      <c r="GM39" s="1"/>
      <c r="GN39" s="1"/>
      <c r="GT39"/>
      <c r="IH39" s="1"/>
      <c r="IJ39"/>
      <c r="IK39" s="1"/>
      <c r="IO39"/>
      <c r="IP39" s="1"/>
      <c r="IS39"/>
      <c r="IW39" s="1"/>
      <c r="JB39"/>
      <c r="JE39" s="1"/>
      <c r="JT39"/>
      <c r="KJ39" s="1"/>
      <c r="KV39"/>
      <c r="LB39" s="1"/>
      <c r="LC39"/>
      <c r="LF39" s="1"/>
      <c r="LH39"/>
      <c r="LK39" s="1"/>
      <c r="LO39"/>
      <c r="LW39" s="1"/>
      <c r="LY39"/>
      <c r="MG39" s="1"/>
      <c r="OM39"/>
    </row>
    <row r="40" spans="13:403" x14ac:dyDescent="0.3">
      <c r="M40" s="3"/>
      <c r="N40"/>
      <c r="AC40" s="3"/>
      <c r="AD40"/>
      <c r="BD40" s="1"/>
      <c r="BS40"/>
      <c r="BT40"/>
      <c r="BU40"/>
      <c r="CH40" s="1"/>
      <c r="CI40" s="1"/>
      <c r="CJ40"/>
      <c r="DA40" s="7"/>
      <c r="DB40"/>
      <c r="DC40"/>
      <c r="DD40"/>
      <c r="DE40"/>
      <c r="DQ40" s="1"/>
      <c r="DR40" s="1"/>
      <c r="DS40"/>
      <c r="EF40" s="1"/>
      <c r="EJ40" s="7"/>
      <c r="EK40"/>
      <c r="EW40" s="1"/>
      <c r="EX40" s="1"/>
      <c r="EZ40" s="1"/>
      <c r="FA40"/>
      <c r="FR40" s="1"/>
      <c r="GJ40" s="1"/>
      <c r="GK40" s="1"/>
      <c r="GL40" s="1"/>
      <c r="GM40" s="1"/>
      <c r="GN40" s="1"/>
      <c r="GT40"/>
      <c r="IH40" s="1"/>
      <c r="IJ40"/>
      <c r="IK40" s="1"/>
      <c r="IO40"/>
      <c r="IP40" s="1"/>
      <c r="IS40"/>
      <c r="IW40" s="1"/>
      <c r="JB40"/>
      <c r="JE40" s="1"/>
      <c r="JT40"/>
      <c r="KJ40" s="1"/>
      <c r="KV40"/>
      <c r="LB40" s="1"/>
      <c r="LC40"/>
      <c r="LF40" s="1"/>
      <c r="LH40"/>
      <c r="LK40" s="1"/>
      <c r="LO40"/>
      <c r="LW40" s="1"/>
      <c r="LY40"/>
      <c r="MG40" s="1"/>
      <c r="OM40"/>
    </row>
    <row r="41" spans="13:403" x14ac:dyDescent="0.3">
      <c r="M41" s="3"/>
      <c r="N41"/>
      <c r="AC41" s="3"/>
      <c r="AD41"/>
      <c r="BD41" s="1"/>
      <c r="BS41"/>
      <c r="BT41"/>
      <c r="BU41"/>
      <c r="CH41" s="1"/>
      <c r="CI41" s="1"/>
      <c r="CJ41"/>
      <c r="DA41" s="7"/>
      <c r="DB41"/>
      <c r="DC41"/>
      <c r="DD41"/>
      <c r="DE41"/>
      <c r="DQ41" s="1"/>
      <c r="DR41" s="1"/>
      <c r="DS41"/>
      <c r="EF41" s="1"/>
      <c r="EJ41" s="7"/>
      <c r="EK41"/>
      <c r="EW41" s="1"/>
      <c r="EX41" s="1"/>
      <c r="EZ41" s="1"/>
      <c r="FA41"/>
      <c r="FR41" s="1"/>
      <c r="GJ41" s="1"/>
      <c r="GK41" s="1"/>
      <c r="GL41" s="1"/>
      <c r="GM41" s="1"/>
      <c r="GN41" s="1"/>
      <c r="GT41"/>
      <c r="IH41" s="1"/>
      <c r="IJ41"/>
      <c r="IK41" s="1"/>
      <c r="IO41"/>
      <c r="IP41" s="1"/>
      <c r="IS41"/>
      <c r="IW41" s="1"/>
      <c r="JB41"/>
      <c r="JE41" s="1"/>
      <c r="JT41"/>
      <c r="KJ41" s="1"/>
      <c r="KV41"/>
      <c r="LB41" s="1"/>
      <c r="LC41"/>
      <c r="LF41" s="1"/>
      <c r="LH41"/>
      <c r="LK41" s="1"/>
      <c r="LO41"/>
      <c r="LW41" s="1"/>
      <c r="LY41"/>
      <c r="MG41" s="1"/>
      <c r="OM41"/>
    </row>
    <row r="42" spans="13:403" x14ac:dyDescent="0.3">
      <c r="M42" s="3"/>
      <c r="N42"/>
      <c r="AC42" s="3"/>
      <c r="AD42"/>
      <c r="BD42" s="1"/>
      <c r="BS42"/>
      <c r="BT42"/>
      <c r="BU42"/>
      <c r="CH42" s="1"/>
      <c r="CI42" s="1"/>
      <c r="CJ42"/>
      <c r="DA42" s="7"/>
      <c r="DB42"/>
      <c r="DC42"/>
      <c r="DD42"/>
      <c r="DE42"/>
      <c r="DQ42" s="1"/>
      <c r="DR42" s="1"/>
      <c r="DS42"/>
      <c r="EF42" s="1"/>
      <c r="EJ42" s="7"/>
      <c r="EK42"/>
      <c r="EW42" s="1"/>
      <c r="EX42" s="1"/>
      <c r="EZ42" s="1"/>
      <c r="FA42"/>
      <c r="FR42" s="1"/>
      <c r="GJ42" s="1"/>
      <c r="GK42" s="1"/>
      <c r="GL42" s="1"/>
      <c r="GM42" s="1"/>
      <c r="GN42" s="1"/>
      <c r="GT42"/>
      <c r="IH42" s="1"/>
      <c r="IJ42"/>
      <c r="IK42" s="1"/>
      <c r="IO42"/>
      <c r="IP42" s="1"/>
      <c r="IS42"/>
      <c r="IW42" s="1"/>
      <c r="JB42"/>
      <c r="JE42" s="1"/>
      <c r="JT42"/>
      <c r="KJ42" s="1"/>
      <c r="KV42"/>
      <c r="LB42" s="1"/>
      <c r="LC42"/>
      <c r="LF42" s="1"/>
      <c r="LH42"/>
      <c r="LK42" s="1"/>
      <c r="LO42"/>
      <c r="LW42" s="1"/>
      <c r="LY42"/>
      <c r="MG42" s="1"/>
      <c r="OM42"/>
    </row>
    <row r="43" spans="13:403" x14ac:dyDescent="0.3">
      <c r="M43" s="3"/>
      <c r="N43"/>
      <c r="AC43" s="3"/>
      <c r="AD43"/>
      <c r="BD43" s="1"/>
      <c r="BS43"/>
      <c r="BT43"/>
      <c r="BU43"/>
      <c r="CH43" s="1"/>
      <c r="CI43" s="1"/>
      <c r="CJ43"/>
      <c r="DA43" s="7"/>
      <c r="DB43"/>
      <c r="DC43"/>
      <c r="DD43"/>
      <c r="DE43"/>
      <c r="DQ43" s="1"/>
      <c r="DR43" s="1"/>
      <c r="DS43"/>
      <c r="EF43" s="1"/>
      <c r="EJ43" s="7"/>
      <c r="EK43"/>
      <c r="EW43" s="1"/>
      <c r="EX43" s="1"/>
      <c r="EZ43" s="1"/>
      <c r="FA43"/>
      <c r="FR43" s="1"/>
      <c r="GJ43" s="1"/>
      <c r="GK43" s="1"/>
      <c r="GL43" s="1"/>
      <c r="GM43" s="1"/>
      <c r="GN43" s="1"/>
      <c r="GT43"/>
      <c r="IH43" s="1"/>
      <c r="IJ43"/>
      <c r="IK43" s="1"/>
      <c r="IO43"/>
      <c r="IP43" s="1"/>
      <c r="IS43"/>
      <c r="IW43" s="1"/>
      <c r="JB43"/>
      <c r="JE43" s="1"/>
      <c r="JT43"/>
      <c r="KJ43" s="1"/>
      <c r="KV43"/>
      <c r="LB43" s="1"/>
      <c r="LC43"/>
      <c r="LF43" s="1"/>
      <c r="LH43"/>
      <c r="LK43" s="1"/>
      <c r="LO43"/>
      <c r="LW43" s="1"/>
      <c r="LY43"/>
      <c r="MG43" s="1"/>
      <c r="OM43"/>
    </row>
    <row r="44" spans="13:403" x14ac:dyDescent="0.3">
      <c r="M44" s="3"/>
      <c r="N44"/>
      <c r="AC44" s="3"/>
      <c r="AD44"/>
      <c r="BD44" s="1"/>
      <c r="BS44"/>
      <c r="BT44"/>
      <c r="BU44"/>
      <c r="CH44" s="1"/>
      <c r="CI44" s="1"/>
      <c r="CJ44"/>
      <c r="DA44" s="7"/>
      <c r="DB44"/>
      <c r="DC44"/>
      <c r="DD44"/>
      <c r="DE44"/>
      <c r="DQ44" s="1"/>
      <c r="DR44" s="1"/>
      <c r="DS44"/>
      <c r="EF44" s="1"/>
      <c r="EJ44" s="7"/>
      <c r="EK44"/>
      <c r="EW44" s="1"/>
      <c r="EX44" s="1"/>
      <c r="EZ44" s="1"/>
      <c r="FA44"/>
      <c r="FR44" s="1"/>
      <c r="GJ44" s="1"/>
      <c r="GK44" s="1"/>
      <c r="GL44" s="1"/>
      <c r="GM44" s="1"/>
      <c r="GN44" s="1"/>
      <c r="GT44"/>
      <c r="IH44" s="1"/>
      <c r="IJ44"/>
      <c r="IK44" s="1"/>
      <c r="IO44"/>
      <c r="IP44" s="1"/>
      <c r="IS44"/>
      <c r="IW44" s="1"/>
      <c r="JB44"/>
      <c r="JE44" s="1"/>
      <c r="JT44"/>
      <c r="KJ44" s="1"/>
      <c r="KV44"/>
      <c r="LB44" s="1"/>
      <c r="LC44"/>
      <c r="LF44" s="1"/>
      <c r="LH44"/>
      <c r="LK44" s="1"/>
      <c r="LO44"/>
      <c r="LW44" s="1"/>
      <c r="LY44"/>
      <c r="MG44" s="1"/>
      <c r="OM44"/>
    </row>
    <row r="45" spans="13:403" x14ac:dyDescent="0.3">
      <c r="M45" s="3"/>
      <c r="N45"/>
      <c r="AC45" s="3"/>
      <c r="AD45"/>
      <c r="BD45" s="1"/>
      <c r="BS45"/>
      <c r="BT45"/>
      <c r="BU45"/>
      <c r="CH45" s="1"/>
      <c r="CI45" s="1"/>
      <c r="CJ45"/>
      <c r="DA45" s="7"/>
      <c r="DB45"/>
      <c r="DC45"/>
      <c r="DD45"/>
      <c r="DE45"/>
      <c r="DQ45" s="1"/>
      <c r="DR45" s="1"/>
      <c r="DS45"/>
      <c r="EF45" s="1"/>
      <c r="EJ45" s="7"/>
      <c r="EK45"/>
      <c r="EW45" s="1"/>
      <c r="EX45" s="1"/>
      <c r="EZ45" s="1"/>
      <c r="FA45"/>
      <c r="FR45" s="1"/>
      <c r="GJ45" s="1"/>
      <c r="GK45" s="1"/>
      <c r="GL45" s="1"/>
      <c r="GM45" s="1"/>
      <c r="GN45" s="1"/>
      <c r="GT45"/>
      <c r="IH45" s="1"/>
      <c r="IJ45"/>
      <c r="IK45" s="1"/>
      <c r="IO45"/>
      <c r="IP45" s="1"/>
      <c r="IS45"/>
      <c r="IW45" s="1"/>
      <c r="JB45"/>
      <c r="JE45" s="1"/>
      <c r="JT45"/>
      <c r="KJ45" s="1"/>
      <c r="KV45"/>
      <c r="LB45" s="1"/>
      <c r="LC45"/>
      <c r="LF45" s="1"/>
      <c r="LH45"/>
      <c r="LK45" s="1"/>
      <c r="LO45"/>
      <c r="LW45" s="1"/>
      <c r="LY45"/>
      <c r="MG45" s="1"/>
      <c r="OM45"/>
    </row>
    <row r="46" spans="13:403" x14ac:dyDescent="0.3">
      <c r="M46" s="3"/>
      <c r="N46"/>
      <c r="AC46" s="3"/>
      <c r="AD46"/>
      <c r="BD46" s="1"/>
      <c r="BS46"/>
      <c r="BT46"/>
      <c r="BU46"/>
      <c r="CH46" s="1"/>
      <c r="CI46" s="1"/>
      <c r="CJ46"/>
      <c r="DA46" s="7"/>
      <c r="DB46"/>
      <c r="DC46"/>
      <c r="DD46"/>
      <c r="DE46"/>
      <c r="DQ46" s="1"/>
      <c r="DR46" s="1"/>
      <c r="DS46"/>
      <c r="EF46" s="1"/>
      <c r="EJ46" s="7"/>
      <c r="EK46"/>
      <c r="EW46" s="1"/>
      <c r="EX46" s="1"/>
      <c r="EZ46" s="1"/>
      <c r="FA46"/>
      <c r="FR46" s="1"/>
      <c r="GJ46" s="1"/>
      <c r="GK46" s="1"/>
      <c r="GL46" s="1"/>
      <c r="GM46" s="1"/>
      <c r="GN46" s="1"/>
      <c r="GT46"/>
      <c r="IH46" s="1"/>
      <c r="IJ46"/>
      <c r="IK46" s="1"/>
      <c r="IO46"/>
      <c r="IP46" s="1"/>
      <c r="IS46"/>
      <c r="IW46" s="1"/>
      <c r="JB46"/>
      <c r="JE46" s="1"/>
      <c r="JT46"/>
      <c r="KJ46" s="1"/>
      <c r="KV46"/>
      <c r="LB46" s="1"/>
      <c r="LC46"/>
      <c r="LF46" s="1"/>
      <c r="LH46"/>
      <c r="LK46" s="1"/>
      <c r="LO46"/>
      <c r="LW46" s="1"/>
      <c r="LY46"/>
      <c r="MG46" s="1"/>
      <c r="OM46"/>
    </row>
    <row r="47" spans="13:403" x14ac:dyDescent="0.3">
      <c r="M47" s="3"/>
      <c r="N47"/>
      <c r="AC47" s="3"/>
      <c r="AD47"/>
      <c r="BD47" s="1"/>
      <c r="BS47"/>
      <c r="BT47"/>
      <c r="BU47"/>
      <c r="CH47" s="1"/>
      <c r="CI47" s="1"/>
      <c r="CJ47"/>
      <c r="DA47" s="7"/>
      <c r="DB47"/>
      <c r="DC47"/>
      <c r="DD47"/>
      <c r="DE47"/>
      <c r="DQ47" s="1"/>
      <c r="DR47" s="1"/>
      <c r="DS47"/>
      <c r="EF47" s="1"/>
      <c r="EJ47" s="7"/>
      <c r="EK47"/>
      <c r="EW47" s="1"/>
      <c r="EX47" s="1"/>
      <c r="EZ47" s="1"/>
      <c r="FA47"/>
      <c r="FR47" s="1"/>
      <c r="GJ47" s="1"/>
      <c r="GK47" s="1"/>
      <c r="GL47" s="1"/>
      <c r="GM47" s="1"/>
      <c r="GN47" s="1"/>
      <c r="GT47"/>
      <c r="IH47" s="1"/>
      <c r="IJ47"/>
      <c r="IK47" s="1"/>
      <c r="IO47"/>
      <c r="IP47" s="1"/>
      <c r="IS47"/>
      <c r="IW47" s="1"/>
      <c r="JB47"/>
      <c r="JE47" s="1"/>
      <c r="JT47"/>
      <c r="KJ47" s="1"/>
      <c r="KV47"/>
      <c r="LB47" s="1"/>
      <c r="LC47"/>
      <c r="LF47" s="1"/>
      <c r="LH47"/>
      <c r="LK47" s="1"/>
      <c r="LO47"/>
      <c r="LW47" s="1"/>
      <c r="LY47"/>
      <c r="MG47" s="1"/>
      <c r="OM47"/>
    </row>
    <row r="48" spans="13:403" x14ac:dyDescent="0.3">
      <c r="M48" s="3"/>
      <c r="N48"/>
      <c r="AC48" s="3"/>
      <c r="AD48"/>
      <c r="BD48" s="1"/>
      <c r="BS48"/>
      <c r="BT48"/>
      <c r="BU48"/>
      <c r="CH48" s="1"/>
      <c r="CI48" s="1"/>
      <c r="CJ48"/>
      <c r="DA48" s="7"/>
      <c r="DB48"/>
      <c r="DC48"/>
      <c r="DD48"/>
      <c r="DE48"/>
      <c r="DQ48" s="1"/>
      <c r="DR48" s="1"/>
      <c r="DS48"/>
      <c r="EF48" s="1"/>
      <c r="EJ48" s="7"/>
      <c r="EK48"/>
      <c r="EW48" s="1"/>
      <c r="EX48" s="1"/>
      <c r="EZ48" s="1"/>
      <c r="FA48"/>
      <c r="FR48" s="1"/>
      <c r="GJ48" s="1"/>
      <c r="GK48" s="1"/>
      <c r="GL48" s="1"/>
      <c r="GM48" s="1"/>
      <c r="GN48" s="1"/>
      <c r="GT48"/>
      <c r="IH48" s="1"/>
      <c r="IJ48"/>
      <c r="IK48" s="1"/>
      <c r="IO48"/>
      <c r="IP48" s="1"/>
      <c r="IS48"/>
      <c r="IW48" s="1"/>
      <c r="JB48"/>
      <c r="JE48" s="1"/>
      <c r="JT48"/>
      <c r="KJ48" s="1"/>
      <c r="KV48"/>
      <c r="LB48" s="1"/>
      <c r="LC48"/>
      <c r="LF48" s="1"/>
      <c r="LH48"/>
      <c r="LK48" s="1"/>
      <c r="LO48"/>
      <c r="LW48" s="1"/>
      <c r="LY48"/>
      <c r="MG48" s="1"/>
      <c r="OM48"/>
    </row>
    <row r="49" spans="13:403" x14ac:dyDescent="0.3">
      <c r="M49" s="3"/>
      <c r="N49"/>
      <c r="AC49" s="3"/>
      <c r="AD49"/>
      <c r="BD49" s="1"/>
      <c r="BS49"/>
      <c r="BT49"/>
      <c r="BU49"/>
      <c r="CH49" s="1"/>
      <c r="CI49" s="1"/>
      <c r="CJ49"/>
      <c r="DA49" s="7"/>
      <c r="DB49"/>
      <c r="DC49"/>
      <c r="DD49"/>
      <c r="DE49"/>
      <c r="DQ49" s="1"/>
      <c r="DR49" s="1"/>
      <c r="DS49"/>
      <c r="EF49" s="1"/>
      <c r="EJ49" s="7"/>
      <c r="EK49"/>
      <c r="EW49" s="1"/>
      <c r="EX49" s="1"/>
      <c r="EZ49" s="1"/>
      <c r="FA49"/>
      <c r="FR49" s="1"/>
      <c r="GJ49" s="1"/>
      <c r="GK49" s="1"/>
      <c r="GL49" s="1"/>
      <c r="GM49" s="1"/>
      <c r="GN49" s="1"/>
      <c r="GT49"/>
      <c r="IH49" s="1"/>
      <c r="IJ49"/>
      <c r="IK49" s="1"/>
      <c r="IO49"/>
      <c r="IP49" s="1"/>
      <c r="IS49"/>
      <c r="IW49" s="1"/>
      <c r="JB49"/>
      <c r="JE49" s="1"/>
      <c r="JT49"/>
      <c r="KJ49" s="1"/>
      <c r="KV49"/>
      <c r="LB49" s="1"/>
      <c r="LC49"/>
      <c r="LF49" s="1"/>
      <c r="LH49"/>
      <c r="LK49" s="1"/>
      <c r="LO49"/>
      <c r="LW49" s="1"/>
      <c r="LY49"/>
      <c r="MG49" s="1"/>
      <c r="OM49"/>
    </row>
    <row r="50" spans="13:403" x14ac:dyDescent="0.3">
      <c r="M50" s="3"/>
      <c r="N50"/>
      <c r="AC50" s="3"/>
      <c r="AD50"/>
      <c r="BD50" s="1"/>
      <c r="BS50"/>
      <c r="BT50"/>
      <c r="BU50"/>
      <c r="CH50" s="1"/>
      <c r="CI50" s="1"/>
      <c r="CJ50"/>
      <c r="DA50" s="7"/>
      <c r="DB50"/>
      <c r="DC50"/>
      <c r="DD50"/>
      <c r="DE50"/>
      <c r="DQ50" s="1"/>
      <c r="DR50" s="1"/>
      <c r="DS50"/>
      <c r="EF50" s="1"/>
      <c r="EJ50" s="7"/>
      <c r="EK50"/>
      <c r="EW50" s="1"/>
      <c r="EX50" s="1"/>
      <c r="EZ50" s="1"/>
      <c r="FA50"/>
      <c r="FR50" s="1"/>
      <c r="GJ50" s="1"/>
      <c r="GK50" s="1"/>
      <c r="GL50" s="1"/>
      <c r="GM50" s="1"/>
      <c r="GN50" s="1"/>
      <c r="GT50"/>
      <c r="IH50" s="1"/>
      <c r="IJ50"/>
      <c r="IK50" s="1"/>
      <c r="IO50"/>
      <c r="IP50" s="1"/>
      <c r="IS50"/>
      <c r="IW50" s="1"/>
      <c r="JB50"/>
      <c r="JE50" s="1"/>
      <c r="JT50"/>
      <c r="KJ50" s="1"/>
      <c r="KV50"/>
      <c r="LB50" s="1"/>
      <c r="LC50"/>
      <c r="LF50" s="1"/>
      <c r="LH50"/>
      <c r="LK50" s="1"/>
      <c r="LO50"/>
      <c r="LW50" s="1"/>
      <c r="LY50"/>
      <c r="MG50" s="1"/>
      <c r="OM50"/>
    </row>
    <row r="51" spans="13:403" x14ac:dyDescent="0.3">
      <c r="M51" s="3"/>
      <c r="N51"/>
      <c r="AC51" s="3"/>
      <c r="AD51"/>
      <c r="BD51" s="1"/>
      <c r="BS51"/>
      <c r="BT51"/>
      <c r="BU51"/>
      <c r="CH51" s="1"/>
      <c r="CI51" s="1"/>
      <c r="CJ51"/>
      <c r="DA51" s="7"/>
      <c r="DB51"/>
      <c r="DC51"/>
      <c r="DD51"/>
      <c r="DE51"/>
      <c r="DQ51" s="1"/>
      <c r="DR51" s="1"/>
      <c r="DS51"/>
      <c r="EF51" s="1"/>
      <c r="EJ51" s="7"/>
      <c r="EK51"/>
      <c r="EW51" s="1"/>
      <c r="EX51" s="1"/>
      <c r="EZ51" s="1"/>
      <c r="FA51"/>
      <c r="FR51" s="1"/>
      <c r="GJ51" s="1"/>
      <c r="GK51" s="1"/>
      <c r="GL51" s="1"/>
      <c r="GM51" s="1"/>
      <c r="GN51" s="1"/>
      <c r="GT51"/>
      <c r="IH51" s="1"/>
      <c r="IJ51"/>
      <c r="IK51" s="1"/>
      <c r="IO51"/>
      <c r="IP51" s="1"/>
      <c r="IS51"/>
      <c r="IW51" s="1"/>
      <c r="JB51"/>
      <c r="JE51" s="1"/>
      <c r="JT51"/>
      <c r="KJ51" s="1"/>
      <c r="KV51"/>
      <c r="LB51" s="1"/>
      <c r="LC51"/>
      <c r="LF51" s="1"/>
      <c r="LH51"/>
      <c r="LK51" s="1"/>
      <c r="LO51"/>
      <c r="LW51" s="1"/>
      <c r="LY51"/>
      <c r="MG51" s="1"/>
      <c r="OM51"/>
    </row>
    <row r="52" spans="13:403" x14ac:dyDescent="0.3">
      <c r="M52" s="3"/>
      <c r="N52"/>
      <c r="AC52" s="3"/>
      <c r="AD52"/>
      <c r="BD52" s="1"/>
      <c r="BS52"/>
      <c r="BT52"/>
      <c r="BU52"/>
      <c r="CH52" s="1"/>
      <c r="CI52" s="1"/>
      <c r="CJ52"/>
      <c r="DA52" s="7"/>
      <c r="DB52"/>
      <c r="DC52"/>
      <c r="DD52"/>
      <c r="DE52"/>
      <c r="DQ52" s="1"/>
      <c r="DR52" s="1"/>
      <c r="DS52"/>
      <c r="EF52" s="1"/>
      <c r="EJ52" s="7"/>
      <c r="EK52"/>
      <c r="EW52" s="1"/>
      <c r="EX52" s="1"/>
      <c r="EZ52" s="1"/>
      <c r="FA52"/>
      <c r="FR52" s="1"/>
      <c r="GJ52" s="1"/>
      <c r="GK52" s="1"/>
      <c r="GL52" s="1"/>
      <c r="GM52" s="1"/>
      <c r="GN52" s="1"/>
      <c r="GT52"/>
      <c r="IH52" s="1"/>
      <c r="IJ52"/>
      <c r="IK52" s="1"/>
      <c r="IO52"/>
      <c r="IP52" s="1"/>
      <c r="IS52"/>
      <c r="IW52" s="1"/>
      <c r="JB52"/>
      <c r="JE52" s="1"/>
      <c r="JT52"/>
      <c r="KJ52" s="1"/>
      <c r="KV52"/>
      <c r="LB52" s="1"/>
      <c r="LC52"/>
      <c r="LF52" s="1"/>
      <c r="LH52"/>
      <c r="LK52" s="1"/>
      <c r="LO52"/>
      <c r="LW52" s="1"/>
      <c r="LY52"/>
      <c r="MG52" s="1"/>
      <c r="OM52"/>
    </row>
    <row r="53" spans="13:403" x14ac:dyDescent="0.3">
      <c r="M53" s="3"/>
      <c r="N53"/>
      <c r="AC53" s="3"/>
      <c r="AD53"/>
      <c r="BD53" s="1"/>
      <c r="BS53"/>
      <c r="BT53"/>
      <c r="BU53"/>
      <c r="CH53" s="1"/>
      <c r="CI53" s="1"/>
      <c r="CJ53"/>
      <c r="DA53" s="7"/>
      <c r="DB53"/>
      <c r="DC53"/>
      <c r="DD53"/>
      <c r="DE53"/>
      <c r="DQ53" s="1"/>
      <c r="DR53" s="1"/>
      <c r="DS53"/>
      <c r="EF53" s="1"/>
      <c r="EJ53" s="7"/>
      <c r="EK53"/>
      <c r="EW53" s="1"/>
      <c r="EX53" s="1"/>
      <c r="EZ53" s="1"/>
      <c r="FA53"/>
      <c r="FR53" s="1"/>
      <c r="GJ53" s="1"/>
      <c r="GK53" s="1"/>
      <c r="GL53" s="1"/>
      <c r="GM53" s="1"/>
      <c r="GN53" s="1"/>
      <c r="GT53"/>
      <c r="IH53" s="1"/>
      <c r="IJ53"/>
      <c r="IK53" s="1"/>
      <c r="IO53"/>
      <c r="IP53" s="1"/>
      <c r="IS53"/>
      <c r="IW53" s="1"/>
      <c r="JB53"/>
      <c r="JE53" s="1"/>
      <c r="JT53"/>
      <c r="KJ53" s="1"/>
      <c r="KV53"/>
      <c r="LB53" s="1"/>
      <c r="LC53"/>
      <c r="LF53" s="1"/>
      <c r="LH53"/>
      <c r="LK53" s="1"/>
      <c r="LO53"/>
      <c r="LW53" s="1"/>
      <c r="LY53"/>
      <c r="MG53" s="1"/>
      <c r="OM53"/>
    </row>
    <row r="54" spans="13:403" x14ac:dyDescent="0.3">
      <c r="M54" s="3"/>
      <c r="N54"/>
      <c r="AC54" s="3"/>
      <c r="AD54"/>
      <c r="BD54" s="1"/>
      <c r="BS54"/>
      <c r="BT54"/>
      <c r="BU54"/>
      <c r="CH54" s="1"/>
      <c r="CI54" s="1"/>
      <c r="CJ54"/>
      <c r="DA54" s="7"/>
      <c r="DB54"/>
      <c r="DC54"/>
      <c r="DD54"/>
      <c r="DE54"/>
      <c r="DQ54" s="1"/>
      <c r="DR54" s="1"/>
      <c r="DS54"/>
      <c r="EF54" s="1"/>
      <c r="EJ54" s="7"/>
      <c r="EK54"/>
      <c r="EW54" s="1"/>
      <c r="EX54" s="1"/>
      <c r="EZ54" s="1"/>
      <c r="FA54"/>
      <c r="FR54" s="1"/>
      <c r="GJ54" s="1"/>
      <c r="GK54" s="1"/>
      <c r="GL54" s="1"/>
      <c r="GM54" s="1"/>
      <c r="GN54" s="1"/>
      <c r="GT54"/>
      <c r="IH54" s="1"/>
      <c r="IJ54"/>
      <c r="IK54" s="1"/>
      <c r="IO54"/>
      <c r="IP54" s="1"/>
      <c r="IS54"/>
      <c r="IW54" s="1"/>
      <c r="JB54"/>
      <c r="JE54" s="1"/>
      <c r="JT54"/>
      <c r="KJ54" s="1"/>
      <c r="KV54"/>
      <c r="LB54" s="1"/>
      <c r="LC54"/>
      <c r="LF54" s="1"/>
      <c r="LH54"/>
      <c r="LK54" s="1"/>
      <c r="LO54"/>
      <c r="LW54" s="1"/>
      <c r="LY54"/>
      <c r="MG54" s="1"/>
      <c r="OM54"/>
    </row>
    <row r="55" spans="13:403" x14ac:dyDescent="0.3">
      <c r="M55" s="3"/>
      <c r="N55"/>
      <c r="AC55" s="3"/>
      <c r="AD55"/>
      <c r="BD55" s="1"/>
      <c r="BS55"/>
      <c r="BT55"/>
      <c r="BU55"/>
      <c r="CH55" s="1"/>
      <c r="CI55" s="1"/>
      <c r="CJ55"/>
      <c r="DA55" s="7"/>
      <c r="DB55"/>
      <c r="DC55"/>
      <c r="DD55"/>
      <c r="DE55"/>
      <c r="DQ55" s="1"/>
      <c r="DR55" s="1"/>
      <c r="DS55"/>
      <c r="EF55" s="1"/>
      <c r="EJ55" s="7"/>
      <c r="EK55"/>
      <c r="EW55" s="1"/>
      <c r="EX55" s="1"/>
      <c r="EZ55" s="1"/>
      <c r="FA55"/>
      <c r="FR55" s="1"/>
      <c r="GJ55" s="1"/>
      <c r="GK55" s="1"/>
      <c r="GL55" s="1"/>
      <c r="GM55" s="1"/>
      <c r="GN55" s="1"/>
      <c r="GT55"/>
      <c r="IH55" s="1"/>
      <c r="IJ55"/>
      <c r="IK55" s="1"/>
      <c r="IO55"/>
      <c r="IP55" s="1"/>
      <c r="IS55"/>
      <c r="IW55" s="1"/>
      <c r="JB55"/>
      <c r="JE55" s="1"/>
      <c r="JT55"/>
      <c r="KJ55" s="1"/>
      <c r="KV55"/>
      <c r="LB55" s="1"/>
      <c r="LC55"/>
      <c r="LF55" s="1"/>
      <c r="LH55"/>
      <c r="LK55" s="1"/>
      <c r="LO55"/>
      <c r="LW55" s="1"/>
      <c r="LY55"/>
      <c r="MG55" s="1"/>
      <c r="OM55"/>
    </row>
    <row r="56" spans="13:403" x14ac:dyDescent="0.3">
      <c r="M56" s="3"/>
      <c r="N56"/>
      <c r="AC56" s="3"/>
      <c r="AD56"/>
      <c r="BD56" s="1"/>
      <c r="BS56"/>
      <c r="BT56"/>
      <c r="BU56"/>
      <c r="CH56" s="1"/>
      <c r="CI56" s="1"/>
      <c r="CJ56"/>
      <c r="DA56" s="7"/>
      <c r="DB56"/>
      <c r="DC56"/>
      <c r="DD56"/>
      <c r="DE56"/>
      <c r="DQ56" s="1"/>
      <c r="DR56" s="1"/>
      <c r="DS56"/>
      <c r="EF56" s="1"/>
      <c r="EJ56" s="7"/>
      <c r="EK56"/>
      <c r="EW56" s="1"/>
      <c r="EX56" s="1"/>
      <c r="EZ56" s="1"/>
      <c r="FA56"/>
      <c r="FR56" s="1"/>
      <c r="GJ56" s="1"/>
      <c r="GK56" s="1"/>
      <c r="GL56" s="1"/>
      <c r="GM56" s="1"/>
      <c r="GN56" s="1"/>
      <c r="GT56"/>
      <c r="IH56" s="1"/>
      <c r="IJ56"/>
      <c r="IK56" s="1"/>
      <c r="IO56"/>
      <c r="IP56" s="1"/>
      <c r="IS56"/>
      <c r="IW56" s="1"/>
      <c r="JB56"/>
      <c r="JE56" s="1"/>
      <c r="JT56"/>
      <c r="KJ56" s="1"/>
      <c r="KV56"/>
      <c r="LB56" s="1"/>
      <c r="LC56"/>
      <c r="LF56" s="1"/>
      <c r="LH56"/>
      <c r="LK56" s="1"/>
      <c r="LO56"/>
      <c r="LW56" s="1"/>
      <c r="LY56"/>
      <c r="MG56" s="1"/>
      <c r="OM56"/>
    </row>
    <row r="57" spans="13:403" x14ac:dyDescent="0.3">
      <c r="M57" s="3"/>
      <c r="N57"/>
      <c r="AC57" s="3"/>
      <c r="AD57"/>
      <c r="BD57" s="1"/>
      <c r="BS57"/>
      <c r="BT57"/>
      <c r="BU57"/>
      <c r="CH57" s="1"/>
      <c r="CI57" s="1"/>
      <c r="CJ57"/>
      <c r="DA57" s="7"/>
      <c r="DB57"/>
      <c r="DC57"/>
      <c r="DD57"/>
      <c r="DE57"/>
      <c r="DQ57" s="1"/>
      <c r="DR57" s="1"/>
      <c r="DS57"/>
      <c r="EF57" s="1"/>
      <c r="EJ57" s="7"/>
      <c r="EK57"/>
      <c r="EW57" s="1"/>
      <c r="EX57" s="1"/>
      <c r="EZ57" s="1"/>
      <c r="FA57"/>
      <c r="FR57" s="1"/>
      <c r="GJ57" s="1"/>
      <c r="GK57" s="1"/>
      <c r="GL57" s="1"/>
      <c r="GM57" s="1"/>
      <c r="GN57" s="1"/>
      <c r="GT57"/>
      <c r="IH57" s="1"/>
      <c r="IJ57"/>
      <c r="IK57" s="1"/>
      <c r="IO57"/>
      <c r="IP57" s="1"/>
      <c r="IS57"/>
      <c r="IW57" s="1"/>
      <c r="JB57"/>
      <c r="JE57" s="1"/>
      <c r="JT57"/>
      <c r="KJ57" s="1"/>
      <c r="KV57"/>
      <c r="LB57" s="1"/>
      <c r="LC57"/>
      <c r="LF57" s="1"/>
      <c r="LH57"/>
      <c r="LK57" s="1"/>
      <c r="LO57"/>
      <c r="LW57" s="1"/>
      <c r="LY57"/>
      <c r="MG57" s="1"/>
      <c r="OM57"/>
    </row>
    <row r="58" spans="13:403" x14ac:dyDescent="0.3">
      <c r="M58" s="3"/>
      <c r="N58"/>
      <c r="AC58" s="3"/>
      <c r="AD58"/>
      <c r="BD58" s="1"/>
      <c r="BS58"/>
      <c r="BT58"/>
      <c r="BU58"/>
      <c r="CH58" s="1"/>
      <c r="CI58" s="1"/>
      <c r="CJ58"/>
      <c r="DA58" s="7"/>
      <c r="DB58"/>
      <c r="DC58"/>
      <c r="DD58"/>
      <c r="DE58"/>
      <c r="DQ58" s="1"/>
      <c r="DR58" s="1"/>
      <c r="DS58"/>
      <c r="EF58" s="1"/>
      <c r="EJ58" s="7"/>
      <c r="EK58"/>
      <c r="EW58" s="1"/>
      <c r="EX58" s="1"/>
      <c r="EZ58" s="1"/>
      <c r="FA58"/>
      <c r="FR58" s="1"/>
      <c r="GJ58" s="1"/>
      <c r="GK58" s="1"/>
      <c r="GL58" s="1"/>
      <c r="GM58" s="1"/>
      <c r="GN58" s="1"/>
      <c r="GT58"/>
      <c r="IH58" s="1"/>
      <c r="IJ58"/>
      <c r="IK58" s="1"/>
      <c r="IO58"/>
      <c r="IP58" s="1"/>
      <c r="IS58"/>
      <c r="IW58" s="1"/>
      <c r="JB58"/>
      <c r="JE58" s="1"/>
      <c r="JT58"/>
      <c r="KJ58" s="1"/>
      <c r="KV58"/>
      <c r="LB58" s="1"/>
      <c r="LC58"/>
      <c r="LF58" s="1"/>
      <c r="LH58"/>
      <c r="LK58" s="1"/>
      <c r="LO58"/>
      <c r="LW58" s="1"/>
      <c r="LY58"/>
      <c r="MG58" s="1"/>
      <c r="OM58"/>
    </row>
    <row r="59" spans="13:403" x14ac:dyDescent="0.3">
      <c r="M59" s="3"/>
      <c r="N59"/>
      <c r="AC59" s="3"/>
      <c r="AD59"/>
      <c r="BD59" s="1"/>
      <c r="BS59"/>
      <c r="BT59"/>
      <c r="BU59"/>
      <c r="CH59" s="1"/>
      <c r="CI59" s="1"/>
      <c r="CJ59"/>
      <c r="DA59" s="7"/>
      <c r="DB59"/>
      <c r="DC59"/>
      <c r="DD59"/>
      <c r="DE59"/>
      <c r="DQ59" s="1"/>
      <c r="DR59" s="1"/>
      <c r="DS59"/>
      <c r="EF59" s="1"/>
      <c r="EJ59" s="7"/>
      <c r="EK59"/>
      <c r="EW59" s="1"/>
      <c r="EX59" s="1"/>
      <c r="EZ59" s="1"/>
      <c r="FA59"/>
      <c r="FR59" s="1"/>
      <c r="GJ59" s="1"/>
      <c r="GK59" s="1"/>
      <c r="GL59" s="1"/>
      <c r="GM59" s="1"/>
      <c r="GN59" s="1"/>
      <c r="GT59"/>
      <c r="IH59" s="1"/>
      <c r="IJ59"/>
      <c r="IK59" s="1"/>
      <c r="IO59"/>
      <c r="IP59" s="1"/>
      <c r="IS59"/>
      <c r="IW59" s="1"/>
      <c r="JB59"/>
      <c r="JE59" s="1"/>
      <c r="JT59"/>
      <c r="KJ59" s="1"/>
      <c r="KV59"/>
      <c r="LB59" s="1"/>
      <c r="LC59"/>
      <c r="LF59" s="1"/>
      <c r="LH59"/>
      <c r="LK59" s="1"/>
      <c r="LO59"/>
      <c r="LW59" s="1"/>
      <c r="LY59"/>
      <c r="MG59" s="1"/>
      <c r="OM59"/>
    </row>
    <row r="60" spans="13:403" x14ac:dyDescent="0.3">
      <c r="M60" s="3"/>
      <c r="N60"/>
      <c r="AC60" s="3"/>
      <c r="AD60"/>
      <c r="BD60" s="1"/>
      <c r="BS60"/>
      <c r="BT60"/>
      <c r="BU60"/>
      <c r="CH60" s="1"/>
      <c r="CI60" s="1"/>
      <c r="CJ60"/>
      <c r="DA60" s="7"/>
      <c r="DB60"/>
      <c r="DC60"/>
      <c r="DD60"/>
      <c r="DE60"/>
      <c r="DQ60" s="1"/>
      <c r="DR60" s="1"/>
      <c r="DS60"/>
      <c r="EF60" s="1"/>
      <c r="EJ60" s="7"/>
      <c r="EK60"/>
      <c r="EW60" s="1"/>
      <c r="EX60" s="1"/>
      <c r="EZ60" s="1"/>
      <c r="FA60"/>
      <c r="FR60" s="1"/>
      <c r="GJ60" s="1"/>
      <c r="GK60" s="1"/>
      <c r="GL60" s="1"/>
      <c r="GM60" s="1"/>
      <c r="GN60" s="1"/>
      <c r="GT60"/>
      <c r="IH60" s="1"/>
      <c r="IJ60"/>
      <c r="IK60" s="1"/>
      <c r="IO60"/>
      <c r="IP60" s="1"/>
      <c r="IS60"/>
      <c r="IW60" s="1"/>
      <c r="JB60"/>
      <c r="JE60" s="1"/>
      <c r="JT60"/>
      <c r="KJ60" s="1"/>
      <c r="KV60"/>
      <c r="LB60" s="1"/>
      <c r="LC60"/>
      <c r="LF60" s="1"/>
      <c r="LH60"/>
      <c r="LK60" s="1"/>
      <c r="LO60"/>
      <c r="LW60" s="1"/>
      <c r="LY60"/>
      <c r="MG60" s="1"/>
      <c r="OM60"/>
    </row>
    <row r="61" spans="13:403" x14ac:dyDescent="0.3">
      <c r="M61" s="3"/>
      <c r="N61"/>
      <c r="AC61" s="3"/>
      <c r="AD61"/>
      <c r="BD61" s="1"/>
      <c r="BS61"/>
      <c r="BT61"/>
      <c r="BU61"/>
      <c r="CH61" s="1"/>
      <c r="CI61" s="1"/>
      <c r="CJ61"/>
      <c r="DA61" s="7"/>
      <c r="DB61"/>
      <c r="DC61"/>
      <c r="DD61"/>
      <c r="DE61"/>
      <c r="DQ61" s="1"/>
      <c r="DR61" s="1"/>
      <c r="DS61"/>
      <c r="EF61" s="1"/>
      <c r="EJ61" s="7"/>
      <c r="EK61"/>
      <c r="EW61" s="1"/>
      <c r="EX61" s="1"/>
      <c r="EZ61" s="1"/>
      <c r="FA61"/>
      <c r="FR61" s="1"/>
      <c r="GJ61" s="1"/>
      <c r="GK61" s="1"/>
      <c r="GL61" s="1"/>
      <c r="GM61" s="1"/>
      <c r="GN61" s="1"/>
      <c r="GT61"/>
      <c r="IH61" s="1"/>
      <c r="IJ61"/>
      <c r="IK61" s="1"/>
      <c r="IO61"/>
      <c r="IP61" s="1"/>
      <c r="IS61"/>
      <c r="IW61" s="1"/>
      <c r="JB61"/>
      <c r="JE61" s="1"/>
      <c r="JT61"/>
      <c r="KJ61" s="1"/>
      <c r="KV61"/>
      <c r="LB61" s="1"/>
      <c r="LC61"/>
      <c r="LF61" s="1"/>
      <c r="LH61"/>
      <c r="LK61" s="1"/>
      <c r="LO61"/>
      <c r="LW61" s="1"/>
      <c r="LY61"/>
      <c r="MG61" s="1"/>
      <c r="OM61"/>
    </row>
    <row r="62" spans="13:403" x14ac:dyDescent="0.3">
      <c r="M62" s="3"/>
      <c r="N62"/>
      <c r="AC62" s="3"/>
      <c r="AD62"/>
      <c r="BD62" s="1"/>
      <c r="BS62"/>
      <c r="BT62"/>
      <c r="BU62"/>
      <c r="CH62" s="1"/>
      <c r="CI62" s="1"/>
      <c r="CJ62"/>
      <c r="DA62" s="7"/>
      <c r="DB62"/>
      <c r="DC62"/>
      <c r="DD62"/>
      <c r="DE62"/>
      <c r="DQ62" s="1"/>
      <c r="DR62" s="1"/>
      <c r="DS62"/>
      <c r="EF62" s="1"/>
      <c r="EJ62" s="7"/>
      <c r="EK62"/>
      <c r="EW62" s="1"/>
      <c r="EX62" s="1"/>
      <c r="EZ62" s="1"/>
      <c r="FA62"/>
      <c r="FR62" s="1"/>
      <c r="GJ62" s="1"/>
      <c r="GK62" s="1"/>
      <c r="GL62" s="1"/>
      <c r="GM62" s="1"/>
      <c r="GN62" s="1"/>
      <c r="GT62"/>
      <c r="IH62" s="1"/>
      <c r="IJ62"/>
      <c r="IK62" s="1"/>
      <c r="IO62"/>
      <c r="IP62" s="1"/>
      <c r="IS62"/>
      <c r="IW62" s="1"/>
      <c r="JB62"/>
      <c r="JE62" s="1"/>
      <c r="JT62"/>
      <c r="KJ62" s="1"/>
      <c r="KV62"/>
      <c r="LB62" s="1"/>
      <c r="LC62"/>
      <c r="LF62" s="1"/>
      <c r="LH62"/>
      <c r="LK62" s="1"/>
      <c r="LO62"/>
      <c r="LW62" s="1"/>
      <c r="LY62"/>
      <c r="MG62" s="1"/>
      <c r="OM62"/>
    </row>
    <row r="63" spans="13:403" x14ac:dyDescent="0.3">
      <c r="M63" s="3"/>
      <c r="N63"/>
      <c r="AC63" s="3"/>
      <c r="AD63"/>
      <c r="BD63" s="1"/>
      <c r="BS63"/>
      <c r="BT63"/>
      <c r="BU63"/>
      <c r="CH63" s="1"/>
      <c r="CI63" s="1"/>
      <c r="CJ63"/>
      <c r="DA63" s="7"/>
      <c r="DB63"/>
      <c r="DC63"/>
      <c r="DD63"/>
      <c r="DE63"/>
      <c r="DQ63" s="1"/>
      <c r="DR63" s="1"/>
      <c r="DS63"/>
      <c r="EF63" s="1"/>
      <c r="EJ63" s="7"/>
      <c r="EK63"/>
      <c r="EW63" s="1"/>
      <c r="EX63" s="1"/>
      <c r="EZ63" s="1"/>
      <c r="FA63"/>
      <c r="FR63" s="1"/>
      <c r="GJ63" s="1"/>
      <c r="GK63" s="1"/>
      <c r="GL63" s="1"/>
      <c r="GM63" s="1"/>
      <c r="GN63" s="1"/>
      <c r="GT63"/>
      <c r="IH63" s="1"/>
      <c r="IJ63"/>
      <c r="IK63" s="1"/>
      <c r="IO63"/>
      <c r="IP63" s="1"/>
      <c r="IS63"/>
      <c r="IW63" s="1"/>
      <c r="JB63"/>
      <c r="JE63" s="1"/>
      <c r="JT63"/>
      <c r="KJ63" s="1"/>
      <c r="KV63"/>
      <c r="LB63" s="1"/>
      <c r="LC63"/>
      <c r="LF63" s="1"/>
      <c r="LH63"/>
      <c r="LK63" s="1"/>
      <c r="LO63"/>
      <c r="LW63" s="1"/>
      <c r="LY63"/>
      <c r="MG63" s="1"/>
      <c r="OM63"/>
    </row>
    <row r="64" spans="13:403" x14ac:dyDescent="0.3">
      <c r="M64" s="3"/>
      <c r="N64"/>
      <c r="AC64" s="3"/>
      <c r="AD64"/>
      <c r="BD64" s="1"/>
      <c r="BS64"/>
      <c r="BT64"/>
      <c r="BU64"/>
      <c r="CH64" s="1"/>
      <c r="CI64" s="1"/>
      <c r="CJ64"/>
      <c r="DA64" s="7"/>
      <c r="DB64"/>
      <c r="DC64"/>
      <c r="DD64"/>
      <c r="DE64"/>
      <c r="DQ64" s="1"/>
      <c r="DR64" s="1"/>
      <c r="DS64"/>
      <c r="EF64" s="1"/>
      <c r="EJ64" s="7"/>
      <c r="EK64"/>
      <c r="EW64" s="1"/>
      <c r="EX64" s="1"/>
      <c r="EZ64" s="1"/>
      <c r="FA64"/>
      <c r="FR64" s="1"/>
      <c r="GJ64" s="1"/>
      <c r="GK64" s="1"/>
      <c r="GL64" s="1"/>
      <c r="GM64" s="1"/>
      <c r="GN64" s="1"/>
      <c r="GT64"/>
      <c r="IH64" s="1"/>
      <c r="IJ64"/>
      <c r="IK64" s="1"/>
      <c r="IO64"/>
      <c r="IP64" s="1"/>
      <c r="IS64"/>
      <c r="IW64" s="1"/>
      <c r="JB64"/>
      <c r="JE64" s="1"/>
      <c r="JT64"/>
      <c r="KJ64" s="1"/>
      <c r="KV64"/>
      <c r="LB64" s="1"/>
      <c r="LC64"/>
      <c r="LF64" s="1"/>
      <c r="LH64"/>
      <c r="LK64" s="1"/>
      <c r="LO64"/>
      <c r="LW64" s="1"/>
      <c r="LY64"/>
      <c r="MG64" s="1"/>
      <c r="OM64"/>
    </row>
    <row r="65" spans="13:403" x14ac:dyDescent="0.3">
      <c r="M65" s="3"/>
      <c r="N65"/>
      <c r="AC65" s="3"/>
      <c r="AD65"/>
      <c r="BD65" s="1"/>
      <c r="BS65"/>
      <c r="BT65"/>
      <c r="BU65"/>
      <c r="CH65" s="1"/>
      <c r="CI65" s="1"/>
      <c r="CJ65"/>
      <c r="DA65" s="7"/>
      <c r="DB65"/>
      <c r="DC65"/>
      <c r="DD65"/>
      <c r="DE65"/>
      <c r="DQ65" s="1"/>
      <c r="DR65" s="1"/>
      <c r="DS65"/>
      <c r="EF65" s="1"/>
      <c r="EJ65" s="7"/>
      <c r="EK65"/>
      <c r="EW65" s="1"/>
      <c r="EX65" s="1"/>
      <c r="EZ65" s="1"/>
      <c r="FA65"/>
      <c r="FR65" s="1"/>
      <c r="GJ65" s="1"/>
      <c r="GK65" s="1"/>
      <c r="GL65" s="1"/>
      <c r="GM65" s="1"/>
      <c r="GN65" s="1"/>
      <c r="GT65"/>
      <c r="IH65" s="1"/>
      <c r="IJ65"/>
      <c r="IK65" s="1"/>
      <c r="IO65"/>
      <c r="IP65" s="1"/>
      <c r="IS65"/>
      <c r="IW65" s="1"/>
      <c r="JB65"/>
      <c r="JE65" s="1"/>
      <c r="JT65"/>
      <c r="KJ65" s="1"/>
      <c r="KV65"/>
      <c r="LB65" s="1"/>
      <c r="LC65"/>
      <c r="LF65" s="1"/>
      <c r="LH65"/>
      <c r="LK65" s="1"/>
      <c r="LO65"/>
      <c r="LW65" s="1"/>
      <c r="LY65"/>
      <c r="MG65" s="1"/>
      <c r="OM65"/>
    </row>
    <row r="66" spans="13:403" x14ac:dyDescent="0.3">
      <c r="M66" s="3"/>
      <c r="N66"/>
      <c r="AC66" s="3"/>
      <c r="AD66"/>
      <c r="BD66" s="1"/>
      <c r="BS66"/>
      <c r="BT66"/>
      <c r="BU66"/>
      <c r="CH66" s="1"/>
      <c r="CI66" s="1"/>
      <c r="CJ66"/>
      <c r="DA66" s="7"/>
      <c r="DB66"/>
      <c r="DC66"/>
      <c r="DD66"/>
      <c r="DE66"/>
      <c r="DQ66" s="1"/>
      <c r="DR66" s="1"/>
      <c r="DS66"/>
      <c r="EF66" s="1"/>
      <c r="EJ66" s="7"/>
      <c r="EK66"/>
      <c r="EW66" s="1"/>
      <c r="EX66" s="1"/>
      <c r="EZ66" s="1"/>
      <c r="FA66"/>
      <c r="FR66" s="1"/>
      <c r="GJ66" s="1"/>
      <c r="GK66" s="1"/>
      <c r="GL66" s="1"/>
      <c r="GM66" s="1"/>
      <c r="GN66" s="1"/>
      <c r="GT66"/>
      <c r="IH66" s="1"/>
      <c r="IJ66"/>
      <c r="IK66" s="1"/>
      <c r="IO66"/>
      <c r="IP66" s="1"/>
      <c r="IS66"/>
      <c r="IW66" s="1"/>
      <c r="JB66"/>
      <c r="JE66" s="1"/>
      <c r="JT66"/>
      <c r="KJ66" s="1"/>
      <c r="KV66"/>
      <c r="LB66" s="1"/>
      <c r="LC66"/>
      <c r="LF66" s="1"/>
      <c r="LH66"/>
      <c r="LK66" s="1"/>
      <c r="LO66"/>
      <c r="LW66" s="1"/>
      <c r="LY66"/>
      <c r="MG66" s="1"/>
      <c r="OM66"/>
    </row>
    <row r="67" spans="13:403" x14ac:dyDescent="0.3">
      <c r="M67" s="3"/>
      <c r="N67"/>
      <c r="AC67" s="3"/>
      <c r="AD67"/>
      <c r="BD67" s="1"/>
      <c r="BS67"/>
      <c r="BT67"/>
      <c r="BU67"/>
      <c r="CH67" s="1"/>
      <c r="CI67" s="1"/>
      <c r="CJ67"/>
      <c r="DA67" s="7"/>
      <c r="DB67"/>
      <c r="DC67"/>
      <c r="DD67"/>
      <c r="DE67"/>
      <c r="DQ67" s="1"/>
      <c r="DR67" s="1"/>
      <c r="DS67"/>
      <c r="EF67" s="1"/>
      <c r="EJ67" s="7"/>
      <c r="EK67"/>
      <c r="EW67" s="1"/>
      <c r="EX67" s="1"/>
      <c r="EZ67" s="1"/>
      <c r="FA67"/>
      <c r="FR67" s="1"/>
      <c r="GJ67" s="1"/>
      <c r="GK67" s="1"/>
      <c r="GL67" s="1"/>
      <c r="GM67" s="1"/>
      <c r="GN67" s="1"/>
      <c r="GT67"/>
      <c r="IH67" s="1"/>
      <c r="IJ67"/>
      <c r="IK67" s="1"/>
      <c r="IO67"/>
      <c r="IP67" s="1"/>
      <c r="IS67"/>
      <c r="IW67" s="1"/>
      <c r="JB67"/>
      <c r="JE67" s="1"/>
      <c r="JT67"/>
      <c r="KJ67" s="1"/>
      <c r="KV67"/>
      <c r="LB67" s="1"/>
      <c r="LC67"/>
      <c r="LF67" s="1"/>
      <c r="LH67"/>
      <c r="LK67" s="1"/>
      <c r="LO67"/>
      <c r="LW67" s="1"/>
      <c r="LY67"/>
      <c r="MG67" s="1"/>
      <c r="OM67"/>
    </row>
    <row r="68" spans="13:403" x14ac:dyDescent="0.3">
      <c r="M68" s="3"/>
      <c r="N68"/>
      <c r="AC68" s="3"/>
      <c r="AD68"/>
      <c r="BD68" s="1"/>
      <c r="BS68"/>
      <c r="BT68"/>
      <c r="BU68"/>
      <c r="CH68" s="1"/>
      <c r="CI68" s="1"/>
      <c r="CJ68"/>
      <c r="DA68" s="7"/>
      <c r="DB68"/>
      <c r="DC68"/>
      <c r="DD68"/>
      <c r="DE68"/>
      <c r="DQ68" s="1"/>
      <c r="DR68" s="1"/>
      <c r="DS68"/>
      <c r="EF68" s="1"/>
      <c r="EJ68" s="7"/>
      <c r="EK68"/>
      <c r="EW68" s="1"/>
      <c r="EX68" s="1"/>
      <c r="EZ68" s="1"/>
      <c r="FA68"/>
      <c r="FR68" s="1"/>
      <c r="GJ68" s="1"/>
      <c r="GK68" s="1"/>
      <c r="GL68" s="1"/>
      <c r="GM68" s="1"/>
      <c r="GN68" s="1"/>
      <c r="GT68"/>
      <c r="IH68" s="1"/>
      <c r="IJ68"/>
      <c r="IK68" s="1"/>
      <c r="IO68"/>
      <c r="IP68" s="1"/>
      <c r="IS68"/>
      <c r="IW68" s="1"/>
      <c r="JB68"/>
      <c r="JE68" s="1"/>
      <c r="JT68"/>
      <c r="KJ68" s="1"/>
      <c r="KV68"/>
      <c r="LB68" s="1"/>
      <c r="LC68"/>
      <c r="LF68" s="1"/>
      <c r="LH68"/>
      <c r="LK68" s="1"/>
      <c r="LO68"/>
      <c r="LW68" s="1"/>
      <c r="LY68"/>
      <c r="MG68" s="1"/>
      <c r="OM68"/>
    </row>
    <row r="69" spans="13:403" x14ac:dyDescent="0.3">
      <c r="M69" s="3"/>
      <c r="N69"/>
      <c r="AC69" s="3"/>
      <c r="AD69"/>
      <c r="BD69" s="1"/>
      <c r="BS69"/>
      <c r="BT69"/>
      <c r="BU69"/>
      <c r="CH69" s="1"/>
      <c r="CI69" s="1"/>
      <c r="CJ69"/>
      <c r="DA69" s="7"/>
      <c r="DB69"/>
      <c r="DC69"/>
      <c r="DD69"/>
      <c r="DE69"/>
      <c r="DQ69" s="1"/>
      <c r="DR69" s="1"/>
      <c r="DS69"/>
      <c r="EF69" s="1"/>
      <c r="EJ69" s="7"/>
      <c r="EK69"/>
      <c r="EW69" s="1"/>
      <c r="EX69" s="1"/>
      <c r="EZ69" s="1"/>
      <c r="FA69"/>
      <c r="FR69" s="1"/>
      <c r="GJ69" s="1"/>
      <c r="GK69" s="1"/>
      <c r="GL69" s="1"/>
      <c r="GM69" s="1"/>
      <c r="GN69" s="1"/>
      <c r="GT69"/>
      <c r="IH69" s="1"/>
      <c r="IJ69"/>
      <c r="IK69" s="1"/>
      <c r="IO69"/>
      <c r="IP69" s="1"/>
      <c r="IS69"/>
      <c r="IW69" s="1"/>
      <c r="JB69"/>
      <c r="JE69" s="1"/>
      <c r="JT69"/>
      <c r="KJ69" s="1"/>
      <c r="KV69"/>
      <c r="LB69" s="1"/>
      <c r="LC69"/>
      <c r="LF69" s="1"/>
      <c r="LH69"/>
      <c r="LK69" s="1"/>
      <c r="LO69"/>
      <c r="LW69" s="1"/>
      <c r="LY69"/>
      <c r="MG69" s="1"/>
      <c r="OM69"/>
    </row>
    <row r="70" spans="13:403" x14ac:dyDescent="0.3">
      <c r="M70" s="3"/>
      <c r="N70"/>
      <c r="AC70" s="3"/>
      <c r="AD70"/>
      <c r="BD70" s="1"/>
      <c r="BS70"/>
      <c r="BT70"/>
      <c r="BU70"/>
      <c r="CH70" s="1"/>
      <c r="CI70" s="1"/>
      <c r="CJ70"/>
      <c r="DA70" s="7"/>
      <c r="DB70"/>
      <c r="DC70"/>
      <c r="DD70"/>
      <c r="DE70"/>
      <c r="DQ70" s="1"/>
      <c r="DR70" s="1"/>
      <c r="DS70"/>
      <c r="EF70" s="1"/>
      <c r="EJ70" s="7"/>
      <c r="EK70"/>
      <c r="EW70" s="1"/>
      <c r="EX70" s="1"/>
      <c r="EZ70" s="1"/>
      <c r="FA70"/>
      <c r="FR70" s="1"/>
      <c r="GJ70" s="1"/>
      <c r="GK70" s="1"/>
      <c r="GL70" s="1"/>
      <c r="GM70" s="1"/>
      <c r="GN70" s="1"/>
      <c r="GT70"/>
      <c r="IH70" s="1"/>
      <c r="IJ70"/>
      <c r="IK70" s="1"/>
      <c r="IO70"/>
      <c r="IP70" s="1"/>
      <c r="IS70"/>
      <c r="IW70" s="1"/>
      <c r="JB70"/>
      <c r="JE70" s="1"/>
      <c r="JT70"/>
      <c r="KJ70" s="1"/>
      <c r="KV70"/>
      <c r="LB70" s="1"/>
      <c r="LC70"/>
      <c r="LF70" s="1"/>
      <c r="LH70"/>
      <c r="LK70" s="1"/>
      <c r="LO70"/>
      <c r="LW70" s="1"/>
      <c r="LY70"/>
      <c r="MG70" s="1"/>
      <c r="OM70"/>
    </row>
    <row r="71" spans="13:403" x14ac:dyDescent="0.3">
      <c r="M71" s="3"/>
      <c r="N71"/>
      <c r="AC71" s="3"/>
      <c r="AD71"/>
      <c r="BD71" s="1"/>
      <c r="BS71"/>
      <c r="BT71"/>
      <c r="BU71"/>
      <c r="CH71" s="1"/>
      <c r="CI71" s="1"/>
      <c r="CJ71"/>
      <c r="DA71" s="7"/>
      <c r="DB71"/>
      <c r="DC71"/>
      <c r="DD71"/>
      <c r="DE71"/>
      <c r="DQ71" s="1"/>
      <c r="DR71" s="1"/>
      <c r="DS71"/>
      <c r="EF71" s="1"/>
      <c r="EJ71" s="7"/>
      <c r="EK71"/>
      <c r="EW71" s="1"/>
      <c r="EX71" s="1"/>
      <c r="EZ71" s="1"/>
      <c r="FA71"/>
      <c r="FR71" s="1"/>
      <c r="GJ71" s="1"/>
      <c r="GK71" s="1"/>
      <c r="GL71" s="1"/>
      <c r="GM71" s="1"/>
      <c r="GN71" s="1"/>
      <c r="GT71"/>
      <c r="IH71" s="1"/>
      <c r="IJ71"/>
      <c r="IK71" s="1"/>
      <c r="IO71"/>
      <c r="IP71" s="1"/>
      <c r="IS71"/>
      <c r="IW71" s="1"/>
      <c r="JB71"/>
      <c r="JE71" s="1"/>
      <c r="JT71"/>
      <c r="KJ71" s="1"/>
      <c r="KV71"/>
      <c r="LB71" s="1"/>
      <c r="LC71"/>
      <c r="LF71" s="1"/>
      <c r="LH71"/>
      <c r="LK71" s="1"/>
      <c r="LO71"/>
      <c r="LW71" s="1"/>
      <c r="LY71"/>
      <c r="MG71" s="1"/>
      <c r="OM71"/>
    </row>
    <row r="72" spans="13:403" x14ac:dyDescent="0.3">
      <c r="M72" s="3"/>
      <c r="N72"/>
      <c r="AC72" s="3"/>
      <c r="AD72"/>
      <c r="BD72" s="1"/>
      <c r="BS72"/>
      <c r="BT72"/>
      <c r="BU72"/>
      <c r="CH72" s="1"/>
      <c r="CI72" s="1"/>
      <c r="CJ72"/>
      <c r="DA72" s="7"/>
      <c r="DB72"/>
      <c r="DC72"/>
      <c r="DD72"/>
      <c r="DE72"/>
      <c r="DQ72" s="1"/>
      <c r="DR72" s="1"/>
      <c r="DS72"/>
      <c r="EF72" s="1"/>
      <c r="EJ72" s="7"/>
      <c r="EK72"/>
      <c r="EW72" s="1"/>
      <c r="EX72" s="1"/>
      <c r="EZ72" s="1"/>
      <c r="FA72"/>
      <c r="FR72" s="1"/>
      <c r="GJ72" s="1"/>
      <c r="GK72" s="1"/>
      <c r="GL72" s="1"/>
      <c r="GM72" s="1"/>
      <c r="GN72" s="1"/>
      <c r="GT72"/>
      <c r="IH72" s="1"/>
      <c r="IJ72"/>
      <c r="IK72" s="1"/>
      <c r="IO72"/>
      <c r="IP72" s="1"/>
      <c r="IS72"/>
      <c r="IW72" s="1"/>
      <c r="JB72"/>
      <c r="JE72" s="1"/>
      <c r="JT72"/>
      <c r="KJ72" s="1"/>
      <c r="KV72"/>
      <c r="LB72" s="1"/>
      <c r="LC72"/>
      <c r="LF72" s="1"/>
      <c r="LH72"/>
      <c r="LK72" s="1"/>
      <c r="LO72"/>
      <c r="LW72" s="1"/>
      <c r="LY72"/>
      <c r="MG72" s="1"/>
      <c r="OM72"/>
    </row>
    <row r="73" spans="13:403" x14ac:dyDescent="0.3">
      <c r="M73" s="3"/>
      <c r="N73"/>
      <c r="AC73" s="3"/>
      <c r="AD73"/>
      <c r="BD73" s="1"/>
      <c r="BS73"/>
      <c r="BT73"/>
      <c r="BU73"/>
      <c r="CH73" s="1"/>
      <c r="CI73" s="1"/>
      <c r="CJ73"/>
      <c r="DA73" s="7"/>
      <c r="DB73"/>
      <c r="DC73"/>
      <c r="DD73"/>
      <c r="DE73"/>
      <c r="DQ73" s="1"/>
      <c r="DR73" s="1"/>
      <c r="DS73"/>
      <c r="EF73" s="1"/>
      <c r="EJ73" s="7"/>
      <c r="EK73"/>
      <c r="EW73" s="1"/>
      <c r="EX73" s="1"/>
      <c r="EZ73" s="1"/>
      <c r="FA73"/>
      <c r="FR73" s="1"/>
      <c r="GJ73" s="1"/>
      <c r="GK73" s="1"/>
      <c r="GL73" s="1"/>
      <c r="GM73" s="1"/>
      <c r="GN73" s="1"/>
      <c r="GT73"/>
      <c r="IH73" s="1"/>
      <c r="IJ73"/>
      <c r="IK73" s="1"/>
      <c r="IO73"/>
      <c r="IP73" s="1"/>
      <c r="IS73"/>
      <c r="IW73" s="1"/>
      <c r="JB73"/>
      <c r="JE73" s="1"/>
      <c r="JT73"/>
      <c r="KJ73" s="1"/>
      <c r="KV73"/>
      <c r="LB73" s="1"/>
      <c r="LC73"/>
      <c r="LF73" s="1"/>
      <c r="LH73"/>
      <c r="LK73" s="1"/>
      <c r="LO73"/>
      <c r="LW73" s="1"/>
      <c r="LY73"/>
      <c r="MG73" s="1"/>
      <c r="OM73"/>
    </row>
    <row r="74" spans="13:403" x14ac:dyDescent="0.3">
      <c r="M74" s="3"/>
      <c r="N74"/>
      <c r="AC74" s="3"/>
      <c r="AD74"/>
      <c r="BD74" s="1"/>
      <c r="BS74"/>
      <c r="BT74"/>
      <c r="BU74"/>
      <c r="CH74" s="1"/>
      <c r="CI74" s="1"/>
      <c r="CJ74"/>
      <c r="DA74" s="7"/>
      <c r="DB74"/>
      <c r="DC74"/>
      <c r="DD74"/>
      <c r="DE74"/>
      <c r="DQ74" s="1"/>
      <c r="DR74" s="1"/>
      <c r="DS74"/>
      <c r="EF74" s="1"/>
      <c r="EJ74" s="7"/>
      <c r="EK74"/>
      <c r="EW74" s="1"/>
      <c r="EX74" s="1"/>
      <c r="EZ74" s="1"/>
      <c r="FA74"/>
      <c r="FR74" s="1"/>
      <c r="GJ74" s="1"/>
      <c r="GK74" s="1"/>
      <c r="GL74" s="1"/>
      <c r="GM74" s="1"/>
      <c r="GN74" s="1"/>
      <c r="GT74"/>
      <c r="IH74" s="1"/>
      <c r="IJ74"/>
      <c r="IK74" s="1"/>
      <c r="IO74"/>
      <c r="IP74" s="1"/>
      <c r="IS74"/>
      <c r="IW74" s="1"/>
      <c r="JB74"/>
      <c r="JE74" s="1"/>
      <c r="JT74"/>
      <c r="KJ74" s="1"/>
      <c r="KV74"/>
      <c r="LB74" s="1"/>
      <c r="LC74"/>
      <c r="LF74" s="1"/>
      <c r="LH74"/>
      <c r="LK74" s="1"/>
      <c r="LO74"/>
      <c r="LW74" s="1"/>
      <c r="LY74"/>
      <c r="MG74" s="1"/>
      <c r="OM74"/>
    </row>
    <row r="75" spans="13:403" x14ac:dyDescent="0.3">
      <c r="M75" s="3"/>
      <c r="N75"/>
      <c r="AC75" s="3"/>
      <c r="AD75"/>
      <c r="BD75" s="1"/>
      <c r="BS75"/>
      <c r="BT75"/>
      <c r="BU75"/>
      <c r="CH75" s="1"/>
      <c r="CI75" s="1"/>
      <c r="CJ75"/>
      <c r="DA75" s="7"/>
      <c r="DB75"/>
      <c r="DC75"/>
      <c r="DD75"/>
      <c r="DE75"/>
      <c r="DQ75" s="1"/>
      <c r="DR75" s="1"/>
      <c r="DS75"/>
      <c r="EF75" s="1"/>
      <c r="EJ75" s="7"/>
      <c r="EK75"/>
      <c r="EW75" s="1"/>
      <c r="EX75" s="1"/>
      <c r="EZ75" s="1"/>
      <c r="FA75"/>
      <c r="FR75" s="1"/>
      <c r="GJ75" s="1"/>
      <c r="GK75" s="1"/>
      <c r="GL75" s="1"/>
      <c r="GM75" s="1"/>
      <c r="GN75" s="1"/>
      <c r="GT75"/>
      <c r="IH75" s="1"/>
      <c r="IJ75"/>
      <c r="IK75" s="1"/>
      <c r="IO75"/>
      <c r="IP75" s="1"/>
      <c r="IS75"/>
      <c r="IW75" s="1"/>
      <c r="JB75"/>
      <c r="JE75" s="1"/>
      <c r="JT75"/>
      <c r="KJ75" s="1"/>
      <c r="KV75"/>
      <c r="LB75" s="1"/>
      <c r="LC75"/>
      <c r="LF75" s="1"/>
      <c r="LH75"/>
      <c r="LK75" s="1"/>
      <c r="LO75"/>
      <c r="LW75" s="1"/>
      <c r="LY75"/>
      <c r="MG75" s="1"/>
      <c r="OM75"/>
    </row>
    <row r="76" spans="13:403" x14ac:dyDescent="0.3">
      <c r="M76" s="3"/>
      <c r="N76"/>
      <c r="AC76" s="3"/>
      <c r="AD76"/>
      <c r="BD76" s="1"/>
      <c r="BS76"/>
      <c r="BT76"/>
      <c r="BU76"/>
      <c r="CH76" s="1"/>
      <c r="CI76" s="1"/>
      <c r="CJ76"/>
      <c r="DA76" s="7"/>
      <c r="DB76"/>
      <c r="DC76"/>
      <c r="DD76"/>
      <c r="DE76"/>
      <c r="DQ76" s="1"/>
      <c r="DR76" s="1"/>
      <c r="DS76"/>
      <c r="EF76" s="1"/>
      <c r="EJ76" s="7"/>
      <c r="EK76"/>
      <c r="EW76" s="1"/>
      <c r="EX76" s="1"/>
      <c r="EZ76" s="1"/>
      <c r="FA76"/>
      <c r="FR76" s="1"/>
      <c r="GJ76" s="1"/>
      <c r="GK76" s="1"/>
      <c r="GL76" s="1"/>
      <c r="GM76" s="1"/>
      <c r="GN76" s="1"/>
      <c r="GT76"/>
      <c r="IH76" s="1"/>
      <c r="IJ76"/>
      <c r="IK76" s="1"/>
      <c r="IO76"/>
      <c r="IP76" s="1"/>
      <c r="IS76"/>
      <c r="IW76" s="1"/>
      <c r="JB76"/>
      <c r="JE76" s="1"/>
      <c r="JT76"/>
      <c r="KJ76" s="1"/>
      <c r="KV76"/>
      <c r="LB76" s="1"/>
      <c r="LC76"/>
      <c r="LF76" s="1"/>
      <c r="LH76"/>
      <c r="LK76" s="1"/>
      <c r="LO76"/>
      <c r="LW76" s="1"/>
      <c r="LY76"/>
      <c r="MG76" s="1"/>
      <c r="OM76"/>
    </row>
    <row r="77" spans="13:403" x14ac:dyDescent="0.3">
      <c r="M77" s="3"/>
      <c r="N77"/>
      <c r="AC77" s="3"/>
      <c r="AD77"/>
      <c r="BD77" s="1"/>
      <c r="BS77"/>
      <c r="BT77"/>
      <c r="BU77"/>
      <c r="CH77" s="1"/>
      <c r="CI77" s="1"/>
      <c r="CJ77"/>
      <c r="DA77" s="7"/>
      <c r="DB77"/>
      <c r="DC77"/>
      <c r="DD77"/>
      <c r="DE77"/>
      <c r="DQ77" s="1"/>
      <c r="DR77" s="1"/>
      <c r="DS77"/>
      <c r="EF77" s="1"/>
      <c r="EJ77" s="7"/>
      <c r="EK77"/>
      <c r="EW77" s="1"/>
      <c r="EX77" s="1"/>
      <c r="EZ77" s="1"/>
      <c r="FA77"/>
      <c r="FR77" s="1"/>
      <c r="GJ77" s="1"/>
      <c r="GK77" s="1"/>
      <c r="GL77" s="1"/>
      <c r="GM77" s="1"/>
      <c r="GN77" s="1"/>
      <c r="GT77"/>
      <c r="IH77" s="1"/>
      <c r="IJ77"/>
      <c r="IK77" s="1"/>
      <c r="IO77"/>
      <c r="IP77" s="1"/>
      <c r="IS77"/>
      <c r="IW77" s="1"/>
      <c r="JB77"/>
      <c r="JE77" s="1"/>
      <c r="JT77"/>
      <c r="KJ77" s="1"/>
      <c r="KV77"/>
      <c r="LB77" s="1"/>
      <c r="LC77"/>
      <c r="LF77" s="1"/>
      <c r="LH77"/>
      <c r="LK77" s="1"/>
      <c r="LO77"/>
      <c r="LW77" s="1"/>
      <c r="LY77"/>
      <c r="MG77" s="1"/>
      <c r="OM77"/>
    </row>
    <row r="78" spans="13:403" x14ac:dyDescent="0.3">
      <c r="M78" s="3"/>
      <c r="N78"/>
      <c r="AC78" s="3"/>
      <c r="AD78"/>
      <c r="BD78" s="1"/>
      <c r="BS78"/>
      <c r="BT78"/>
      <c r="BU78"/>
      <c r="CH78" s="1"/>
      <c r="CI78" s="1"/>
      <c r="CJ78"/>
      <c r="DA78" s="7"/>
      <c r="DB78"/>
      <c r="DC78"/>
      <c r="DD78"/>
      <c r="DE78"/>
      <c r="DQ78" s="1"/>
      <c r="DR78" s="1"/>
      <c r="DS78"/>
      <c r="EF78" s="1"/>
      <c r="EJ78" s="7"/>
      <c r="EK78"/>
      <c r="EW78" s="1"/>
      <c r="EX78" s="1"/>
      <c r="EZ78" s="1"/>
      <c r="FA78"/>
      <c r="FR78" s="1"/>
      <c r="GJ78" s="1"/>
      <c r="GK78" s="1"/>
      <c r="GL78" s="1"/>
      <c r="GM78" s="1"/>
      <c r="GN78" s="1"/>
      <c r="GT78"/>
      <c r="IH78" s="1"/>
      <c r="IJ78"/>
      <c r="IK78" s="1"/>
      <c r="IO78"/>
      <c r="IP78" s="1"/>
      <c r="IS78"/>
      <c r="IW78" s="1"/>
      <c r="JB78"/>
      <c r="JE78" s="1"/>
      <c r="JT78"/>
      <c r="KJ78" s="1"/>
      <c r="KV78"/>
      <c r="LB78" s="1"/>
      <c r="LC78"/>
      <c r="LF78" s="1"/>
      <c r="LH78"/>
      <c r="LK78" s="1"/>
      <c r="LO78"/>
      <c r="LW78" s="1"/>
      <c r="LY78"/>
      <c r="MG78" s="1"/>
      <c r="OM78"/>
    </row>
    <row r="79" spans="13:403" x14ac:dyDescent="0.3">
      <c r="M79" s="3"/>
      <c r="N79"/>
      <c r="AC79" s="3"/>
      <c r="AD79"/>
      <c r="BD79" s="1"/>
      <c r="BS79"/>
      <c r="BT79"/>
      <c r="BU79"/>
      <c r="CH79" s="1"/>
      <c r="CI79" s="1"/>
      <c r="CJ79"/>
      <c r="DA79" s="7"/>
      <c r="DB79"/>
      <c r="DC79"/>
      <c r="DD79"/>
      <c r="DE79"/>
      <c r="DQ79" s="1"/>
      <c r="DR79" s="1"/>
      <c r="DS79"/>
      <c r="EF79" s="1"/>
      <c r="EJ79" s="7"/>
      <c r="EK79"/>
      <c r="EW79" s="1"/>
      <c r="EX79" s="1"/>
      <c r="EZ79" s="1"/>
      <c r="FA79"/>
      <c r="FR79" s="1"/>
      <c r="GJ79" s="1"/>
      <c r="GK79" s="1"/>
      <c r="GL79" s="1"/>
      <c r="GM79" s="1"/>
      <c r="GN79" s="1"/>
      <c r="GT79"/>
      <c r="IH79" s="1"/>
      <c r="IJ79"/>
      <c r="IK79" s="1"/>
      <c r="IO79"/>
      <c r="IP79" s="1"/>
      <c r="IS79"/>
      <c r="IW79" s="1"/>
      <c r="JB79"/>
      <c r="JE79" s="1"/>
      <c r="JT79"/>
      <c r="KJ79" s="1"/>
      <c r="KV79"/>
      <c r="LB79" s="1"/>
      <c r="LC79"/>
      <c r="LF79" s="1"/>
      <c r="LH79"/>
      <c r="LK79" s="1"/>
      <c r="LO79"/>
      <c r="LW79" s="1"/>
      <c r="LY79"/>
      <c r="MG79" s="1"/>
      <c r="OM79"/>
    </row>
    <row r="80" spans="13:403" x14ac:dyDescent="0.3">
      <c r="M80" s="3"/>
      <c r="N80"/>
      <c r="AC80" s="3"/>
      <c r="AD80"/>
      <c r="BD80" s="1"/>
      <c r="BS80"/>
      <c r="BT80"/>
      <c r="BU80"/>
      <c r="CH80" s="1"/>
      <c r="CI80" s="1"/>
      <c r="CJ80"/>
      <c r="DA80" s="7"/>
      <c r="DB80"/>
      <c r="DC80"/>
      <c r="DD80"/>
      <c r="DE80"/>
      <c r="DQ80" s="1"/>
      <c r="DR80" s="1"/>
      <c r="DS80"/>
      <c r="EF80" s="1"/>
      <c r="EJ80" s="7"/>
      <c r="EK80"/>
      <c r="EW80" s="1"/>
      <c r="EX80" s="1"/>
      <c r="EZ80" s="1"/>
      <c r="FA80"/>
      <c r="FR80" s="1"/>
      <c r="GJ80" s="1"/>
      <c r="GK80" s="1"/>
      <c r="GL80" s="1"/>
      <c r="GM80" s="1"/>
      <c r="GN80" s="1"/>
      <c r="GT80"/>
      <c r="IH80" s="1"/>
      <c r="IJ80"/>
      <c r="IK80" s="1"/>
      <c r="IO80"/>
      <c r="IP80" s="1"/>
      <c r="IS80"/>
      <c r="IW80" s="1"/>
      <c r="JB80"/>
      <c r="JE80" s="1"/>
      <c r="JT80"/>
      <c r="KJ80" s="1"/>
      <c r="KV80"/>
      <c r="LB80" s="1"/>
      <c r="LC80"/>
      <c r="LF80" s="1"/>
      <c r="LH80"/>
      <c r="LK80" s="1"/>
      <c r="LO80"/>
      <c r="LW80" s="1"/>
      <c r="LY80"/>
      <c r="MG80" s="1"/>
      <c r="OM80"/>
    </row>
    <row r="81" spans="13:403" x14ac:dyDescent="0.3">
      <c r="M81" s="3"/>
      <c r="N81"/>
      <c r="AC81" s="3"/>
      <c r="AD81"/>
      <c r="BD81" s="1"/>
      <c r="BS81"/>
      <c r="BT81"/>
      <c r="BU81"/>
      <c r="CH81" s="1"/>
      <c r="CI81" s="1"/>
      <c r="CJ81"/>
      <c r="DA81" s="7"/>
      <c r="DB81"/>
      <c r="DC81"/>
      <c r="DD81"/>
      <c r="DE81"/>
      <c r="DQ81" s="1"/>
      <c r="DR81" s="1"/>
      <c r="DS81"/>
      <c r="EF81" s="1"/>
      <c r="EJ81" s="7"/>
      <c r="EK81"/>
      <c r="EW81" s="1"/>
      <c r="EX81" s="1"/>
      <c r="EZ81" s="1"/>
      <c r="FA81"/>
      <c r="FR81" s="1"/>
      <c r="GJ81" s="1"/>
      <c r="GK81" s="1"/>
      <c r="GL81" s="1"/>
      <c r="GM81" s="1"/>
      <c r="GN81" s="1"/>
      <c r="GT81"/>
      <c r="IH81" s="1"/>
      <c r="IJ81"/>
      <c r="IK81" s="1"/>
      <c r="IO81"/>
      <c r="IP81" s="1"/>
      <c r="IS81"/>
      <c r="IW81" s="1"/>
      <c r="JB81"/>
      <c r="JE81" s="1"/>
      <c r="JT81"/>
      <c r="KJ81" s="1"/>
      <c r="KV81"/>
      <c r="LB81" s="1"/>
      <c r="LC81"/>
      <c r="LF81" s="1"/>
      <c r="LH81"/>
      <c r="LK81" s="1"/>
      <c r="LO81"/>
      <c r="LW81" s="1"/>
      <c r="LY81"/>
      <c r="MG81" s="1"/>
      <c r="OM81"/>
    </row>
    <row r="82" spans="13:403" x14ac:dyDescent="0.3">
      <c r="M82" s="3"/>
      <c r="N82"/>
      <c r="AC82" s="3"/>
      <c r="AD82"/>
      <c r="BD82" s="1"/>
      <c r="BS82"/>
      <c r="BT82"/>
      <c r="BU82"/>
      <c r="DA82" s="7"/>
      <c r="DB82"/>
      <c r="DC82"/>
      <c r="DD82"/>
      <c r="DE82"/>
      <c r="EF82" s="1"/>
      <c r="EJ82" s="7"/>
      <c r="EK82"/>
      <c r="EW82" s="1"/>
      <c r="EX82" s="1"/>
      <c r="EZ82" s="1"/>
      <c r="FA82"/>
      <c r="FR82" s="1"/>
      <c r="GJ82" s="1"/>
      <c r="GK82" s="1"/>
      <c r="GL82" s="1"/>
      <c r="GM82" s="1"/>
      <c r="GN82" s="1"/>
      <c r="GT82"/>
      <c r="IH82" s="1"/>
      <c r="IJ82"/>
      <c r="IK82" s="1"/>
      <c r="IO82"/>
      <c r="IP82" s="1"/>
      <c r="IS82"/>
      <c r="IW82" s="1"/>
      <c r="JB82"/>
      <c r="JE82" s="1"/>
      <c r="JT82"/>
      <c r="KJ82" s="1"/>
      <c r="KV82"/>
      <c r="LB82" s="1"/>
      <c r="LC82"/>
      <c r="LF82" s="1"/>
      <c r="LH82"/>
      <c r="LK82" s="1"/>
      <c r="LO82"/>
      <c r="LW82" s="1"/>
      <c r="LY82"/>
      <c r="MG82" s="1"/>
      <c r="OM82"/>
    </row>
    <row r="1369" spans="42:85" x14ac:dyDescent="0.3">
      <c r="AP1369" t="s">
        <v>23</v>
      </c>
    </row>
    <row r="1376" spans="42:85" x14ac:dyDescent="0.3">
      <c r="CG1376" t="s">
        <v>25</v>
      </c>
    </row>
    <row r="1414" spans="80:121" x14ac:dyDescent="0.3">
      <c r="CB1414">
        <v>1.5</v>
      </c>
      <c r="CC1414" t="s">
        <v>24</v>
      </c>
      <c r="CD1414">
        <v>1.625</v>
      </c>
      <c r="CH1414">
        <v>2.25</v>
      </c>
      <c r="DK1414">
        <v>1.5</v>
      </c>
      <c r="DL1414" t="s">
        <v>24</v>
      </c>
      <c r="DM1414">
        <v>1.625</v>
      </c>
      <c r="DP1414" t="s">
        <v>25</v>
      </c>
      <c r="DQ1414">
        <v>2.25</v>
      </c>
    </row>
  </sheetData>
  <mergeCells count="47">
    <mergeCell ref="AG12:AI12"/>
    <mergeCell ref="A3:A4"/>
    <mergeCell ref="H3:L3"/>
    <mergeCell ref="DB3:DH3"/>
    <mergeCell ref="B3:G3"/>
    <mergeCell ref="BS3:BY3"/>
    <mergeCell ref="AZ3:BR3"/>
    <mergeCell ref="AW3:AY3"/>
    <mergeCell ref="AJ3:AL3"/>
    <mergeCell ref="T3:V3"/>
    <mergeCell ref="L12:O12"/>
    <mergeCell ref="Q12:S12"/>
    <mergeCell ref="H2:J2"/>
    <mergeCell ref="K2:L2"/>
    <mergeCell ref="X2:Z2"/>
    <mergeCell ref="AA2:AB2"/>
    <mergeCell ref="M2:P2"/>
    <mergeCell ref="AO2:AP2"/>
    <mergeCell ref="AL2:AN2"/>
    <mergeCell ref="AH1:AI2"/>
    <mergeCell ref="E10:F11"/>
    <mergeCell ref="AC3:AI3"/>
    <mergeCell ref="T11:V11"/>
    <mergeCell ref="M3:S3"/>
    <mergeCell ref="AH11:AI11"/>
    <mergeCell ref="R11:S11"/>
    <mergeCell ref="I10:L10"/>
    <mergeCell ref="L11:O11"/>
    <mergeCell ref="AO11:AQ11"/>
    <mergeCell ref="AJ11:AL11"/>
    <mergeCell ref="X3:AB3"/>
    <mergeCell ref="H1:Q1"/>
    <mergeCell ref="R1:S2"/>
    <mergeCell ref="FU3:GB3"/>
    <mergeCell ref="EO3:ET3"/>
    <mergeCell ref="AM3:AR3"/>
    <mergeCell ref="EK3:EN3"/>
    <mergeCell ref="CB3:CG3"/>
    <mergeCell ref="CJ3:CM3"/>
    <mergeCell ref="DS3:DV3"/>
    <mergeCell ref="AS3:AV3"/>
    <mergeCell ref="DW3:EB3"/>
    <mergeCell ref="EC3:EI3"/>
    <mergeCell ref="DK3:DO3"/>
    <mergeCell ref="CN3:CS3"/>
    <mergeCell ref="CT3:CZ3"/>
    <mergeCell ref="FC3:FK3"/>
  </mergeCells>
  <conditionalFormatting sqref="A11:B12">
    <cfRule type="containsText" dxfId="23" priority="39" operator="containsText" text="Delete">
      <formula>NOT(ISERROR(SEARCH("Delete",A11)))</formula>
    </cfRule>
  </conditionalFormatting>
  <conditionalFormatting sqref="E4:E6 J4:J6 AU4:AV6 E10:F11">
    <cfRule type="expression" dxfId="22" priority="11">
      <formula>$E$10&lt;&gt;""</formula>
    </cfRule>
  </conditionalFormatting>
  <conditionalFormatting sqref="E4:E6">
    <cfRule type="expression" dxfId="21" priority="13">
      <formula>LEFT($D$6,5)&lt;&gt;"Plate"</formula>
    </cfRule>
  </conditionalFormatting>
  <conditionalFormatting sqref="E7:E9">
    <cfRule type="expression" dxfId="20" priority="17">
      <formula>LEFT($D$6,5)&lt;&gt;"Plate"</formula>
    </cfRule>
  </conditionalFormatting>
  <conditionalFormatting sqref="F4:F9">
    <cfRule type="expression" dxfId="19" priority="21">
      <formula>LEFT($D$6,5)&lt;&gt;"Plate"</formula>
    </cfRule>
  </conditionalFormatting>
  <conditionalFormatting sqref="H4:H6">
    <cfRule type="expression" dxfId="18" priority="27">
      <formula>$G$6&lt;&gt;"Strength Weld"</formula>
    </cfRule>
  </conditionalFormatting>
  <conditionalFormatting sqref="H7:H11">
    <cfRule type="expression" dxfId="17" priority="25">
      <formula>$G$6&lt;&gt;"Strength Weld"</formula>
    </cfRule>
  </conditionalFormatting>
  <conditionalFormatting sqref="I5">
    <cfRule type="expression" dxfId="16" priority="9">
      <formula>LEFT($D$6,5)&lt;&gt;"Plate"</formula>
    </cfRule>
  </conditionalFormatting>
  <conditionalFormatting sqref="N4:S6">
    <cfRule type="expression" dxfId="15" priority="37">
      <formula>$M$6=0</formula>
    </cfRule>
  </conditionalFormatting>
  <conditionalFormatting sqref="N7:S9">
    <cfRule type="expression" dxfId="14" priority="36">
      <formula>$M$6=0</formula>
    </cfRule>
  </conditionalFormatting>
  <conditionalFormatting sqref="P4 AH6:AI6">
    <cfRule type="expression" dxfId="13" priority="5">
      <formula>$X$6=0</formula>
    </cfRule>
  </conditionalFormatting>
  <conditionalFormatting sqref="R6:S6">
    <cfRule type="expression" dxfId="12" priority="6">
      <formula>$X$6=0</formula>
    </cfRule>
  </conditionalFormatting>
  <conditionalFormatting sqref="X4:X6">
    <cfRule type="expression" dxfId="11" priority="22">
      <formula>$G$6&lt;&gt;"Strength Weld"</formula>
    </cfRule>
  </conditionalFormatting>
  <conditionalFormatting sqref="X7:X9">
    <cfRule type="expression" dxfId="10" priority="23">
      <formula>$G$6&lt;&gt;"Strength Weld"</formula>
    </cfRule>
  </conditionalFormatting>
  <conditionalFormatting sqref="Y5">
    <cfRule type="expression" dxfId="9" priority="10">
      <formula>LEFT($D$6,5)&lt;&gt;"Plate"</formula>
    </cfRule>
  </conditionalFormatting>
  <conditionalFormatting sqref="AD4:AI6">
    <cfRule type="expression" dxfId="8" priority="35">
      <formula>$AC$6=0</formula>
    </cfRule>
  </conditionalFormatting>
  <conditionalFormatting sqref="AD7:AI9">
    <cfRule type="expression" dxfId="7" priority="34">
      <formula>$AC$6=0</formula>
    </cfRule>
  </conditionalFormatting>
  <conditionalFormatting sqref="AF4">
    <cfRule type="expression" dxfId="6" priority="1">
      <formula>$X$6=0</formula>
    </cfRule>
  </conditionalFormatting>
  <conditionalFormatting sqref="AF5">
    <cfRule type="expression" dxfId="5" priority="2">
      <formula>$M$6=0</formula>
    </cfRule>
  </conditionalFormatting>
  <conditionalFormatting sqref="AL2 AM6:AN6">
    <cfRule type="expression" dxfId="4" priority="7">
      <formula>$AL$2&lt;&gt;""</formula>
    </cfRule>
  </conditionalFormatting>
  <conditionalFormatting sqref="AM10:AN11">
    <cfRule type="expression" dxfId="3" priority="12">
      <formula>$E$6&lt;&gt;"Jbevel"</formula>
    </cfRule>
  </conditionalFormatting>
  <conditionalFormatting sqref="AM6:AP6 AP1 AO2">
    <cfRule type="expression" dxfId="2" priority="8">
      <formula>$AO$2&lt;&gt;""</formula>
    </cfRule>
  </conditionalFormatting>
  <conditionalFormatting sqref="AN6 AN4 AN10">
    <cfRule type="expression" dxfId="1" priority="16">
      <formula>AND($AN$10&lt;0.25,$D$6="Plate",$E$6="Jbevel")</formula>
    </cfRule>
  </conditionalFormatting>
  <conditionalFormatting sqref="AN8 AN11">
    <cfRule type="expression" dxfId="0" priority="15">
      <formula>AND($AN$11&lt;0.25,$D$8="Plate",$E$8="Jbevel")</formula>
    </cfRule>
  </conditionalFormatting>
  <dataValidations count="24">
    <dataValidation allowBlank="1" showErrorMessage="1" sqref="FU6:FY9 EO7:EX9 M4 AC4 L7:L9 EW6:EX6 BV11:BW11 J6:K9 AB7:AB9 Z6:AA9 AJ12:AL12 M6:P9 FZ9 AC6:AF9 FL7:FN7 BQ9 A6:A9 DF6 X7:Y9 T12:W12 AH6:BA9 B7:I9 FR6:FT6 EY6:EY9 GC7 FN6 BQ7 FO7:FT9 EZ7:FA9 FZ7 GC9 FC7:FK9 BV6:DA9 DG6:EN9 FL9:FM9 FM6:FM8 FN8:FN9 DB7:DF9 BB7:BP9 BR7:BV9 R6:W9 GA7:GB9 Q7:Q9 AG7:AH9 GD6:XFD9" xr:uid="{00000000-0002-0000-0000-000000000000}"/>
    <dataValidation allowBlank="1" showInputMessage="1" promptTitle="$PRP@PartNo" prompt="1-2R-BOX" sqref="FZ8" xr:uid="{00000000-0002-0000-0000-000001000000}"/>
    <dataValidation showInputMessage="1" showErrorMessage="1" errorTitle="SolidWorks Error:" error="The value you have entered is invalid.  Please enter a valid value before continuing." promptTitle="Width@Retarder Size" prompt="Enter a valid value for this parameter." sqref="EO6" xr:uid="{00000000-0002-0000-0000-000003000000}"/>
    <dataValidation showInputMessage="1" showErrorMessage="1" errorTitle="SolidWorks Error:" error="The value you have entered is invalid.  Please enter a valid value before continuing." promptTitle="thk@Retarder Size" prompt="Enter a valid value for this parameter." sqref="EP6" xr:uid="{00000000-0002-0000-0000-000004000000}"/>
    <dataValidation showInputMessage="1" showErrorMessage="1" errorTitle="SolidWorks Error:" error="The value you have entered is invalid.  Please enter a valid value before continuing." promptTitle="Gauge@Retarder Size" prompt="Enter a valid value for this parameter." sqref="EQ6" xr:uid="{00000000-0002-0000-0000-000005000000}"/>
    <dataValidation showInputMessage="1" showErrorMessage="1" errorTitle="SolidWorks Error:" error="The value you have entered is invalid.  Please enter a valid value before continuing." promptTitle="COMB Width@COMB Retarder Size" prompt="Enter a valid value for this parameter." sqref="ER6" xr:uid="{00000000-0002-0000-0000-000006000000}"/>
    <dataValidation showInputMessage="1" showErrorMessage="1" errorTitle="SolidWorks Error:" error="The value you have entered is invalid.  Please enter a valid value before continuing." promptTitle="COMB thk@COMB Retarder Size" prompt="Enter a valid value for this parameter." sqref="ES6" xr:uid="{00000000-0002-0000-0000-000007000000}"/>
    <dataValidation showInputMessage="1" showErrorMessage="1" errorTitle="SolidWorks Error:" error="The value you have entered is invalid.  Please enter a valid value before continuing." promptTitle="COMB Gauge@COMB Retarder Size" prompt="Enter a valid value for this parameter." sqref="ET6:EV6" xr:uid="{00000000-0002-0000-0000-000008000000}"/>
    <dataValidation allowBlank="1" sqref="H6 BQ8 X6 DB6:DE6 FB7:FB9 FA6:FK6 BD6:BV6" xr:uid="{00000000-0002-0000-0000-000009000000}"/>
    <dataValidation type="list" allowBlank="1" showErrorMessage="1" sqref="I6 Y6" xr:uid="{00000000-0002-0000-0000-00000B000000}">
      <formula1>Tube_Size_List</formula1>
    </dataValidation>
    <dataValidation type="list" allowBlank="1" showInputMessage="1" showErrorMessage="1" sqref="C6" xr:uid="{00000000-0002-0000-0000-00000C000000}">
      <formula1>"Carbon, Stainless"</formula1>
    </dataValidation>
    <dataValidation type="list" allowBlank="1" sqref="D6" xr:uid="{00000000-0002-0000-0000-00000D000000}">
      <formula1>Header_Type_List</formula1>
    </dataValidation>
    <dataValidation type="list" allowBlank="1" showErrorMessage="1" sqref="L6 AB6 Q6 AG6:AH6" xr:uid="{00000000-0002-0000-0000-00000E000000}">
      <formula1>"Yes, No"</formula1>
    </dataValidation>
    <dataValidation type="list" allowBlank="1" errorTitle="SOLIDWORKS Error:" error="The value you have entered is invalid.  Please enter a valid value before continuing." promptTitle="$STATE@Distance29@BTS Layout" prompt="Select to suppress or unsuppress the feature_x000a_Possible Options:_x000a_Suppressed_x000a_Unsuppressed_x000a_S = Suppressed_x000a_U = Unsuppressed_x000a_1 = Suppressed_x000a_0 = Unsuppressed" sqref="EZ6" xr:uid="{00000000-0002-0000-0000-00000F000000}">
      <formula1>"SUPPRESSED,UNSUPPRESSED,S,U,1,0"</formula1>
    </dataValidation>
    <dataValidation type="list" allowBlank="1" promptTitle="$LIBRARY:MATERIAL@000000_S01c_He" prompt="Select a material to apply to this configuration. A valid material entry follows the form 'Library:Material'" sqref="B6" xr:uid="{00000000-0002-0000-0000-000010000000}">
      <formula1>Material_List</formula1>
    </dataValidation>
    <dataValidation type="list" allowBlank="1" sqref="G6" xr:uid="{00000000-0002-0000-0000-000011000000}">
      <formula1>"Standard, Seal Weld, Strength Weld"</formula1>
    </dataValidation>
    <dataValidation type="list" allowBlank="1" sqref="F6" xr:uid="{00000000-0002-0000-0000-000012000000}">
      <formula1>"Yes, No"</formula1>
    </dataValidation>
    <dataValidation type="list" allowBlank="1" sqref="E6" xr:uid="{00000000-0002-0000-0000-000013000000}">
      <formula1>"Jbevel, Regular, Beasley"</formula1>
    </dataValidation>
    <dataValidation allowBlank="1" promptTitle="$LIBRARY:MATERIAL@000000_S01c_He" prompt="Select a material to apply to this configuration. A valid material entry follows the form 'Library:Material'" sqref="FO6:FP6" xr:uid="{00000000-0002-0000-0000-000014000000}"/>
    <dataValidation showErrorMessage="1" errorTitle="SolidWorks Error:" error="The value you have entered is invalid.  Please enter a valid value before continuing." promptTitle="Option@Header Sketch" prompt="Enter a valid value for this parameter." sqref="GC6 GC8" xr:uid="{A3C002DF-4C35-4772-B233-65430520003F}"/>
    <dataValidation type="list" allowBlank="1" sqref="AO1" xr:uid="{D28FE197-6857-4CD0-88D9-16A7545E13A4}">
      <formula1>Structural_Tube_Size_List</formula1>
    </dataValidation>
    <dataValidation showErrorMessage="1" errorTitle="SOLIDWORKS Error:" error="The value you have entered is invalid.  Please enter a valid value before continuing." promptTitle="Option@Header Sketch" prompt="Enter a valid value for this parameter." sqref="BV6 DE6 BB6:BC6" xr:uid="{00000000-0002-0000-0000-00000A000000}"/>
    <dataValidation allowBlank="1" promptTitle="$PRP@PartNo" prompt="1-2F-BOX" sqref="FZ6:GB6 GR6" xr:uid="{00000000-0002-0000-0000-000002000000}"/>
    <dataValidation type="list" allowBlank="1" showInputMessage="1" sqref="R10:S10 AH10:AI10" xr:uid="{B9BEAE91-27D4-4A97-ABAF-3C98D58EC456}">
      <formula1>"0,-1,-2,1,2"</formula1>
    </dataValidation>
  </dataValidations>
  <pageMargins left="0.7" right="0.7" top="0.75" bottom="0.75" header="0.3" footer="0.3"/>
  <pageSetup orientation="portrait" r:id="rId1"/>
  <ignoredErrors>
    <ignoredError sqref="BT8 BJ6:BK6 FA8:FB8 FH7 CH7:CH8 DQ7:DQ9 BM7:BM9 FZ8 W9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O267"/>
  <sheetViews>
    <sheetView zoomScaleNormal="100" workbookViewId="0">
      <selection activeCell="D21" sqref="D21"/>
    </sheetView>
  </sheetViews>
  <sheetFormatPr defaultRowHeight="14.4" x14ac:dyDescent="0.3"/>
  <cols>
    <col min="2" max="2" width="18.5546875" bestFit="1" customWidth="1"/>
    <col min="4" max="4" width="28.6640625" bestFit="1" customWidth="1"/>
    <col min="5" max="5" width="10" bestFit="1" customWidth="1"/>
    <col min="6" max="6" width="10.88671875" bestFit="1" customWidth="1"/>
    <col min="7" max="8" width="10.88671875" customWidth="1"/>
    <col min="9" max="9" width="12.88671875" bestFit="1" customWidth="1"/>
    <col min="10" max="10" width="10" bestFit="1" customWidth="1"/>
    <col min="11" max="12" width="10.88671875" customWidth="1"/>
    <col min="14" max="14" width="18.88671875" bestFit="1" customWidth="1"/>
    <col min="15" max="15" width="8" bestFit="1" customWidth="1"/>
    <col min="16" max="16" width="15.44140625" bestFit="1" customWidth="1"/>
    <col min="17" max="17" width="18.44140625" bestFit="1" customWidth="1"/>
    <col min="18" max="18" width="11.109375" bestFit="1" customWidth="1"/>
    <col min="20" max="20" width="21.109375" bestFit="1" customWidth="1"/>
    <col min="21" max="21" width="19" bestFit="1" customWidth="1"/>
    <col min="22" max="22" width="22.44140625" bestFit="1" customWidth="1"/>
    <col min="23" max="23" width="18.6640625" bestFit="1" customWidth="1"/>
    <col min="24" max="24" width="22.109375" bestFit="1" customWidth="1"/>
    <col min="25" max="25" width="10.88671875" bestFit="1" customWidth="1"/>
    <col min="26" max="26" width="10" bestFit="1" customWidth="1"/>
    <col min="27" max="27" width="18.109375" bestFit="1" customWidth="1"/>
    <col min="28" max="28" width="14.109375" bestFit="1" customWidth="1"/>
    <col min="29" max="29" width="12" bestFit="1" customWidth="1"/>
    <col min="36" max="36" width="21.109375" bestFit="1" customWidth="1"/>
    <col min="37" max="37" width="14.109375" bestFit="1" customWidth="1"/>
    <col min="38" max="38" width="10.33203125" bestFit="1" customWidth="1"/>
    <col min="40" max="40" width="13.44140625" bestFit="1" customWidth="1"/>
    <col min="41" max="41" width="13.44140625" customWidth="1"/>
    <col min="42" max="42" width="7" bestFit="1" customWidth="1"/>
    <col min="44" max="44" width="12.6640625" bestFit="1" customWidth="1"/>
    <col min="45" max="46" width="25" bestFit="1" customWidth="1"/>
    <col min="47" max="47" width="15.88671875" bestFit="1" customWidth="1"/>
    <col min="48" max="48" width="15.109375" bestFit="1" customWidth="1"/>
    <col min="49" max="49" width="14.6640625" bestFit="1" customWidth="1"/>
    <col min="50" max="50" width="12.33203125" bestFit="1" customWidth="1"/>
    <col min="51" max="51" width="14.88671875" bestFit="1" customWidth="1"/>
    <col min="52" max="52" width="38.44140625" bestFit="1" customWidth="1"/>
    <col min="53" max="53" width="38.33203125" bestFit="1" customWidth="1"/>
    <col min="54" max="54" width="18.5546875" bestFit="1" customWidth="1"/>
    <col min="55" max="55" width="10.88671875" bestFit="1" customWidth="1"/>
    <col min="57" max="57" width="26" style="1" customWidth="1"/>
    <col min="58" max="59" width="14.88671875" customWidth="1"/>
    <col min="60" max="60" width="18.5546875" customWidth="1"/>
    <col min="61" max="61" width="12" customWidth="1"/>
    <col min="62" max="62" width="10.88671875" customWidth="1"/>
    <col min="64" max="65" width="18.44140625" bestFit="1" customWidth="1"/>
    <col min="66" max="66" width="16.109375" bestFit="1" customWidth="1"/>
    <col min="67" max="67" width="11.109375" customWidth="1"/>
  </cols>
  <sheetData>
    <row r="1" spans="2:67" x14ac:dyDescent="0.3">
      <c r="D1" s="37" t="s">
        <v>239</v>
      </c>
      <c r="I1" s="271" t="s">
        <v>401</v>
      </c>
      <c r="J1" s="271"/>
      <c r="K1" s="271"/>
      <c r="N1" t="s">
        <v>181</v>
      </c>
      <c r="T1" t="s">
        <v>169</v>
      </c>
      <c r="AA1" t="s">
        <v>221</v>
      </c>
      <c r="AJ1" t="s">
        <v>340</v>
      </c>
      <c r="AN1" t="s">
        <v>34</v>
      </c>
      <c r="BE1" s="1" t="s">
        <v>427</v>
      </c>
    </row>
    <row r="2" spans="2:67" s="3" customFormat="1" x14ac:dyDescent="0.3">
      <c r="D2" s="37" t="s">
        <v>343</v>
      </c>
      <c r="E2"/>
      <c r="F2"/>
      <c r="G2"/>
      <c r="H2"/>
      <c r="I2" s="3">
        <v>1</v>
      </c>
      <c r="J2" s="3">
        <v>2</v>
      </c>
      <c r="K2" s="3">
        <v>3</v>
      </c>
      <c r="L2"/>
      <c r="N2" s="3">
        <v>1</v>
      </c>
      <c r="O2" s="3">
        <v>2</v>
      </c>
      <c r="P2" s="3">
        <v>3</v>
      </c>
      <c r="Q2" s="3">
        <v>4</v>
      </c>
      <c r="R2"/>
      <c r="T2" s="3">
        <v>1</v>
      </c>
      <c r="U2" s="3">
        <v>2</v>
      </c>
      <c r="V2" s="3">
        <v>3</v>
      </c>
      <c r="W2" s="3">
        <v>4</v>
      </c>
      <c r="X2" s="3">
        <v>5</v>
      </c>
      <c r="Y2"/>
      <c r="Z2"/>
      <c r="AA2" s="272" t="s">
        <v>39</v>
      </c>
      <c r="AB2" s="272" t="s">
        <v>218</v>
      </c>
      <c r="AC2" s="272" t="s">
        <v>219</v>
      </c>
      <c r="AD2"/>
      <c r="AE2"/>
      <c r="AF2"/>
      <c r="AG2"/>
      <c r="AH2"/>
      <c r="AI2"/>
      <c r="AJ2" s="272" t="s">
        <v>39</v>
      </c>
      <c r="AK2" s="272" t="s">
        <v>218</v>
      </c>
      <c r="AL2" s="272" t="s">
        <v>219</v>
      </c>
      <c r="AN2" s="3">
        <v>1</v>
      </c>
      <c r="AO2" s="3">
        <v>2</v>
      </c>
      <c r="AP2" s="3">
        <v>3</v>
      </c>
      <c r="AQ2" s="3">
        <v>4</v>
      </c>
      <c r="AR2" s="3">
        <v>5</v>
      </c>
      <c r="AS2" s="3">
        <v>6</v>
      </c>
      <c r="AT2" s="3">
        <v>7</v>
      </c>
      <c r="AU2" s="3">
        <v>8</v>
      </c>
      <c r="AV2" s="3">
        <v>9</v>
      </c>
      <c r="AW2" s="3">
        <v>10</v>
      </c>
      <c r="AX2" s="3">
        <v>11</v>
      </c>
      <c r="AY2" s="3">
        <v>12</v>
      </c>
      <c r="AZ2" s="3">
        <v>13</v>
      </c>
      <c r="BA2" s="3">
        <v>14</v>
      </c>
      <c r="BB2" s="3">
        <v>15</v>
      </c>
      <c r="BE2" s="3">
        <v>1</v>
      </c>
      <c r="BF2" s="3">
        <v>2</v>
      </c>
      <c r="BG2" s="3">
        <v>3</v>
      </c>
      <c r="BH2" s="3">
        <v>4</v>
      </c>
      <c r="BI2" s="3">
        <v>5</v>
      </c>
    </row>
    <row r="3" spans="2:67" ht="28.8" x14ac:dyDescent="0.3">
      <c r="B3" t="s">
        <v>20</v>
      </c>
      <c r="D3" s="134">
        <v>1</v>
      </c>
      <c r="E3" s="3">
        <v>2</v>
      </c>
      <c r="I3" t="s">
        <v>402</v>
      </c>
      <c r="J3" t="s">
        <v>403</v>
      </c>
      <c r="N3" s="3" t="s">
        <v>182</v>
      </c>
      <c r="O3" s="3" t="s">
        <v>183</v>
      </c>
      <c r="P3" t="s">
        <v>222</v>
      </c>
      <c r="Q3" s="36" t="s">
        <v>231</v>
      </c>
      <c r="T3" t="s">
        <v>157</v>
      </c>
      <c r="U3" t="s">
        <v>165</v>
      </c>
      <c r="V3" t="s">
        <v>166</v>
      </c>
      <c r="W3" t="s">
        <v>167</v>
      </c>
      <c r="X3" t="s">
        <v>168</v>
      </c>
      <c r="AA3" s="273"/>
      <c r="AB3" s="273"/>
      <c r="AC3" s="273"/>
      <c r="AJ3" s="273"/>
      <c r="AK3" s="273"/>
      <c r="AL3" s="273"/>
      <c r="AN3" t="s">
        <v>423</v>
      </c>
      <c r="AO3" t="s">
        <v>43</v>
      </c>
      <c r="AP3" t="s">
        <v>26</v>
      </c>
      <c r="AQ3" t="s">
        <v>27</v>
      </c>
      <c r="AR3" t="s">
        <v>28</v>
      </c>
      <c r="AS3" t="s">
        <v>30</v>
      </c>
      <c r="AT3" t="s">
        <v>31</v>
      </c>
      <c r="AU3" t="s">
        <v>105</v>
      </c>
      <c r="AV3" t="s">
        <v>106</v>
      </c>
      <c r="AW3" t="s">
        <v>147</v>
      </c>
      <c r="AX3" t="s">
        <v>148</v>
      </c>
      <c r="AY3" t="s">
        <v>149</v>
      </c>
      <c r="AZ3" t="s">
        <v>29</v>
      </c>
      <c r="BA3" t="s">
        <v>32</v>
      </c>
      <c r="BB3" t="s">
        <v>426</v>
      </c>
      <c r="BE3" s="117" t="s">
        <v>428</v>
      </c>
      <c r="BF3" s="3" t="s">
        <v>429</v>
      </c>
      <c r="BG3" s="3" t="s">
        <v>430</v>
      </c>
      <c r="BH3" s="3" t="s">
        <v>115</v>
      </c>
      <c r="BI3" s="181" t="s">
        <v>431</v>
      </c>
      <c r="BL3" t="s">
        <v>432</v>
      </c>
      <c r="BM3" t="s">
        <v>433</v>
      </c>
      <c r="BN3" t="s">
        <v>434</v>
      </c>
    </row>
    <row r="4" spans="2:67" x14ac:dyDescent="0.3">
      <c r="B4" s="35" t="s">
        <v>15</v>
      </c>
      <c r="D4" s="135" t="s">
        <v>240</v>
      </c>
      <c r="E4" s="35" t="s">
        <v>342</v>
      </c>
      <c r="F4" s="35" t="s">
        <v>170</v>
      </c>
      <c r="I4" s="163">
        <v>0</v>
      </c>
      <c r="J4" s="163">
        <v>30</v>
      </c>
      <c r="K4" s="35" t="s">
        <v>170</v>
      </c>
      <c r="N4" s="35" t="s">
        <v>178</v>
      </c>
      <c r="O4" s="136">
        <v>1</v>
      </c>
      <c r="P4" s="35" t="s">
        <v>223</v>
      </c>
      <c r="Q4" s="35" t="s">
        <v>193</v>
      </c>
      <c r="R4" s="35" t="s">
        <v>224</v>
      </c>
      <c r="T4" s="35" t="s">
        <v>158</v>
      </c>
      <c r="U4" s="136">
        <v>1.375</v>
      </c>
      <c r="V4" s="136">
        <v>2.625</v>
      </c>
      <c r="W4" s="136">
        <v>1.0625</v>
      </c>
      <c r="X4" s="136">
        <v>1</v>
      </c>
      <c r="Y4" s="35" t="s">
        <v>170</v>
      </c>
      <c r="AA4" s="35">
        <v>0.375</v>
      </c>
      <c r="AB4" s="35">
        <v>0.25</v>
      </c>
      <c r="AC4">
        <f t="shared" ref="AC4:AC24" si="0">DEGREES(ATAN(AB4/(AA4-0.00001)))</f>
        <v>33.690772717823457</v>
      </c>
      <c r="AJ4" s="35">
        <v>0.375</v>
      </c>
      <c r="AK4" s="133">
        <f>AJ4*TAN(RADIANS(AL4))</f>
        <v>0.17486537180812448</v>
      </c>
      <c r="AL4">
        <v>25</v>
      </c>
      <c r="AN4" s="35">
        <v>0.625</v>
      </c>
      <c r="AO4" s="35">
        <v>0.625</v>
      </c>
      <c r="AP4" s="35">
        <v>1.5</v>
      </c>
      <c r="AQ4" s="35">
        <v>1.5</v>
      </c>
      <c r="AR4" s="35">
        <v>1.125</v>
      </c>
      <c r="AS4" s="35">
        <v>1.4375</v>
      </c>
      <c r="AT4" s="35">
        <v>1.625</v>
      </c>
      <c r="AU4" s="35">
        <v>0.59375</v>
      </c>
      <c r="AV4" s="35">
        <v>0.63200000000000001</v>
      </c>
      <c r="AW4" s="35">
        <v>0.375</v>
      </c>
      <c r="AX4" s="35">
        <v>3.7499999999999999E-2</v>
      </c>
      <c r="AY4" s="35">
        <v>20</v>
      </c>
      <c r="AZ4" s="179" t="str">
        <f>CONCATENATE("End Plate Thk@Header Sketch - 1 + ",AS4)</f>
        <v>End Plate Thk@Header Sketch - 1 + 1.4375</v>
      </c>
      <c r="BA4" s="179" t="str">
        <f>CONCATENATE("Wrapper Thk@Header Sketch - 1 + ",AT4)</f>
        <v>Wrapper Thk@Header Sketch - 1 + 1.625</v>
      </c>
      <c r="BB4" s="35">
        <v>0.5</v>
      </c>
      <c r="BC4" s="35" t="s">
        <v>170</v>
      </c>
      <c r="BE4" s="185" t="s">
        <v>164</v>
      </c>
      <c r="BF4" s="185" t="s">
        <v>164</v>
      </c>
      <c r="BG4" s="185" t="s">
        <v>164</v>
      </c>
      <c r="BH4" s="185" t="s">
        <v>164</v>
      </c>
      <c r="BI4" s="185" t="s">
        <v>164</v>
      </c>
      <c r="BJ4" s="185"/>
      <c r="BL4">
        <v>2</v>
      </c>
      <c r="BM4">
        <v>2</v>
      </c>
      <c r="BN4">
        <v>0.18750000000000003</v>
      </c>
      <c r="BO4" t="str" cm="1">
        <f t="array" ref="BO4">IFERROR(INDEX($BZ$4:$BZ$267, MATCH(0,INDEX(COUNTIF(#REF!, $A$2:$A$10)+(COUNTIF($A$2:$A$10, $A$2:$A$10)&lt;&gt;1),0,0), 0)), "")</f>
        <v/>
      </c>
    </row>
    <row r="5" spans="2:67" x14ac:dyDescent="0.3">
      <c r="B5" s="35" t="s">
        <v>16</v>
      </c>
      <c r="D5" s="135" t="s">
        <v>241</v>
      </c>
      <c r="E5" s="35" t="s">
        <v>344</v>
      </c>
      <c r="F5" s="35" t="s">
        <v>170</v>
      </c>
      <c r="I5" s="164">
        <v>1.5</v>
      </c>
      <c r="J5" s="164">
        <v>30</v>
      </c>
      <c r="K5" s="35" t="s">
        <v>170</v>
      </c>
      <c r="N5" s="35" t="s">
        <v>368</v>
      </c>
      <c r="O5" s="136">
        <v>1.5</v>
      </c>
      <c r="P5" s="35" t="s">
        <v>223</v>
      </c>
      <c r="Q5" s="35" t="s">
        <v>193</v>
      </c>
      <c r="R5" s="35" t="s">
        <v>224</v>
      </c>
      <c r="T5" s="35" t="s">
        <v>159</v>
      </c>
      <c r="U5" s="136">
        <v>1.125</v>
      </c>
      <c r="V5" s="136">
        <v>1.375</v>
      </c>
      <c r="W5" s="136">
        <v>0.875</v>
      </c>
      <c r="X5" s="136">
        <v>0.75</v>
      </c>
      <c r="Y5" s="35" t="s">
        <v>170</v>
      </c>
      <c r="AA5" s="35">
        <v>0.5</v>
      </c>
      <c r="AB5" s="35">
        <v>0.25</v>
      </c>
      <c r="AC5">
        <f t="shared" si="0"/>
        <v>26.565509550648063</v>
      </c>
      <c r="AJ5" s="35">
        <v>0.5</v>
      </c>
      <c r="AK5" s="133">
        <f t="shared" ref="AK5:AK24" si="1">AJ5*TAN(RADIANS(AL5))</f>
        <v>0.18198511713310117</v>
      </c>
      <c r="AL5">
        <v>20</v>
      </c>
      <c r="AN5" s="35">
        <v>0.75000000000000011</v>
      </c>
      <c r="AO5" s="35">
        <v>0.75000000000000011</v>
      </c>
      <c r="AP5" s="35">
        <v>1.625</v>
      </c>
      <c r="AQ5" s="35">
        <v>1.625</v>
      </c>
      <c r="AR5" s="35">
        <v>1.25</v>
      </c>
      <c r="AS5" s="35">
        <v>1.5</v>
      </c>
      <c r="AT5" s="35">
        <v>1.6875</v>
      </c>
      <c r="AU5" s="35">
        <v>0.71875</v>
      </c>
      <c r="AV5" s="35">
        <v>0.75800000000000001</v>
      </c>
      <c r="AW5" s="35">
        <v>0.5</v>
      </c>
      <c r="AX5" s="35">
        <v>3.7499999999999999E-2</v>
      </c>
      <c r="AY5" s="35">
        <v>20</v>
      </c>
      <c r="AZ5" s="179" t="str">
        <f t="shared" ref="AZ5:AZ9" si="2">CONCATENATE("End Plate Thk@Header Sketch - 1 + ",AS5)</f>
        <v>End Plate Thk@Header Sketch - 1 + 1.5</v>
      </c>
      <c r="BA5" s="179" t="str">
        <f t="shared" ref="BA5:BA9" si="3">CONCATENATE("Wrapper Thk@Header Sketch - 1 + ",AT5)</f>
        <v>Wrapper Thk@Header Sketch - 1 + 1.6875</v>
      </c>
      <c r="BB5" s="35">
        <v>0.5</v>
      </c>
      <c r="BC5" s="35" t="s">
        <v>170</v>
      </c>
      <c r="BE5" s="35" t="str">
        <f t="shared" ref="BE5:BE17" si="4">CONCATENATE("TR",BF5,"x",BG5,"x",BH5)</f>
        <v>TR20x12x0.625</v>
      </c>
      <c r="BF5" s="184">
        <v>20</v>
      </c>
      <c r="BG5" s="184">
        <v>12.000000000000002</v>
      </c>
      <c r="BH5" s="184">
        <v>0.625</v>
      </c>
      <c r="BI5" s="35">
        <f t="shared" ref="BI5:BI68" si="5">BH5*2</f>
        <v>1.25</v>
      </c>
      <c r="BJ5" s="35" t="s">
        <v>170</v>
      </c>
      <c r="BL5">
        <v>2.5</v>
      </c>
      <c r="BM5">
        <v>2.5</v>
      </c>
      <c r="BN5">
        <v>0.25</v>
      </c>
    </row>
    <row r="6" spans="2:67" x14ac:dyDescent="0.3">
      <c r="B6" s="35" t="s">
        <v>17</v>
      </c>
      <c r="D6" s="135" t="s">
        <v>242</v>
      </c>
      <c r="E6" s="35" t="s">
        <v>344</v>
      </c>
      <c r="F6" s="35" t="s">
        <v>170</v>
      </c>
      <c r="I6" s="163">
        <v>1.625</v>
      </c>
      <c r="J6" s="163">
        <v>25</v>
      </c>
      <c r="K6" s="35" t="s">
        <v>170</v>
      </c>
      <c r="N6" s="35" t="s">
        <v>180</v>
      </c>
      <c r="O6" s="136">
        <v>2</v>
      </c>
      <c r="P6" s="35" t="s">
        <v>193</v>
      </c>
      <c r="Q6" s="35" t="s">
        <v>223</v>
      </c>
      <c r="R6" s="35" t="s">
        <v>224</v>
      </c>
      <c r="T6" s="35" t="s">
        <v>160</v>
      </c>
      <c r="U6" s="136">
        <v>1.125</v>
      </c>
      <c r="V6" s="136">
        <v>1.875</v>
      </c>
      <c r="W6" s="136">
        <v>0.875</v>
      </c>
      <c r="X6" s="136">
        <v>0.75</v>
      </c>
      <c r="Y6" s="35" t="s">
        <v>170</v>
      </c>
      <c r="AA6" s="35">
        <v>0.625</v>
      </c>
      <c r="AB6" s="35">
        <v>0.25</v>
      </c>
      <c r="AC6">
        <f t="shared" si="0"/>
        <v>21.80172560535766</v>
      </c>
      <c r="AJ6" s="35">
        <v>0.625</v>
      </c>
      <c r="AK6" s="133">
        <f t="shared" si="1"/>
        <v>0.22748139641637646</v>
      </c>
      <c r="AL6">
        <v>20</v>
      </c>
      <c r="AN6" s="35" t="s">
        <v>421</v>
      </c>
      <c r="AO6" s="178">
        <f>AO5</f>
        <v>0.75000000000000011</v>
      </c>
      <c r="AP6" s="179">
        <f>AP5+(2*0.1875)</f>
        <v>2</v>
      </c>
      <c r="AQ6" s="180">
        <f>AP6</f>
        <v>2</v>
      </c>
      <c r="AR6" s="178">
        <f>AR5</f>
        <v>1.25</v>
      </c>
      <c r="AS6" s="179">
        <f>AS5+0.1875</f>
        <v>1.6875</v>
      </c>
      <c r="AT6" s="179">
        <f>AT5+0.1875</f>
        <v>1.875</v>
      </c>
      <c r="AU6" s="178">
        <f>AU5</f>
        <v>0.71875</v>
      </c>
      <c r="AV6" s="178">
        <f>AV5</f>
        <v>0.75800000000000001</v>
      </c>
      <c r="AW6" s="178">
        <f>AW5</f>
        <v>0.5</v>
      </c>
      <c r="AX6" s="178">
        <f>AX5</f>
        <v>3.7499999999999999E-2</v>
      </c>
      <c r="AY6" s="178">
        <f>AY5</f>
        <v>20</v>
      </c>
      <c r="AZ6" s="179" t="str">
        <f t="shared" si="2"/>
        <v>End Plate Thk@Header Sketch - 1 + 1.6875</v>
      </c>
      <c r="BA6" s="179" t="str">
        <f t="shared" si="3"/>
        <v>Wrapper Thk@Header Sketch - 1 + 1.875</v>
      </c>
      <c r="BB6" s="35">
        <v>0.69899999999999995</v>
      </c>
      <c r="BC6" s="35" t="s">
        <v>170</v>
      </c>
      <c r="BE6" s="35" t="str">
        <f t="shared" si="4"/>
        <v>TR20x12x0.5</v>
      </c>
      <c r="BF6" s="184">
        <v>20</v>
      </c>
      <c r="BG6" s="184">
        <v>12.000000000000002</v>
      </c>
      <c r="BH6" s="184">
        <v>0.5</v>
      </c>
      <c r="BI6" s="35">
        <f t="shared" si="5"/>
        <v>1</v>
      </c>
      <c r="BJ6" s="35" t="s">
        <v>170</v>
      </c>
      <c r="BL6">
        <v>3.0000000000000004</v>
      </c>
      <c r="BM6">
        <v>3.0000000000000004</v>
      </c>
      <c r="BN6">
        <v>0.3125</v>
      </c>
    </row>
    <row r="7" spans="2:67" x14ac:dyDescent="0.3">
      <c r="B7" s="35" t="s">
        <v>18</v>
      </c>
      <c r="D7" s="135" t="s">
        <v>243</v>
      </c>
      <c r="E7" s="35" t="s">
        <v>344</v>
      </c>
      <c r="F7" s="35" t="s">
        <v>170</v>
      </c>
      <c r="I7" s="164">
        <v>2</v>
      </c>
      <c r="J7" s="164">
        <v>25</v>
      </c>
      <c r="K7" s="35" t="s">
        <v>170</v>
      </c>
      <c r="N7" s="35" t="s">
        <v>179</v>
      </c>
      <c r="O7" s="136">
        <v>3</v>
      </c>
      <c r="P7" s="35" t="s">
        <v>223</v>
      </c>
      <c r="Q7" s="35" t="s">
        <v>193</v>
      </c>
      <c r="R7" s="35" t="s">
        <v>224</v>
      </c>
      <c r="T7" s="35" t="s">
        <v>161</v>
      </c>
      <c r="U7" s="136">
        <v>0.625</v>
      </c>
      <c r="V7" s="136">
        <v>1.875</v>
      </c>
      <c r="W7" s="136">
        <v>0.5</v>
      </c>
      <c r="X7" s="136">
        <v>0.4375</v>
      </c>
      <c r="Y7" s="35" t="s">
        <v>170</v>
      </c>
      <c r="AA7" s="35">
        <v>0.75</v>
      </c>
      <c r="AB7" s="35">
        <v>0.3125</v>
      </c>
      <c r="AC7">
        <f t="shared" si="0"/>
        <v>22.620136173746715</v>
      </c>
      <c r="AJ7" s="35">
        <v>0.75</v>
      </c>
      <c r="AK7" s="133">
        <f t="shared" si="1"/>
        <v>0.27297767569965176</v>
      </c>
      <c r="AL7">
        <v>20</v>
      </c>
      <c r="AN7" s="35">
        <v>1</v>
      </c>
      <c r="AO7" s="35">
        <v>1</v>
      </c>
      <c r="AP7" s="35">
        <v>2.25</v>
      </c>
      <c r="AQ7" s="35">
        <v>2.25</v>
      </c>
      <c r="AR7" s="35">
        <v>1.5</v>
      </c>
      <c r="AS7" s="35">
        <v>1.625</v>
      </c>
      <c r="AT7" s="35">
        <v>2</v>
      </c>
      <c r="AU7" s="35">
        <v>0.96875</v>
      </c>
      <c r="AV7" s="35">
        <v>1.01</v>
      </c>
      <c r="AW7" s="35">
        <v>0.6875</v>
      </c>
      <c r="AX7" s="35">
        <v>0.05</v>
      </c>
      <c r="AY7" s="35">
        <v>18</v>
      </c>
      <c r="AZ7" s="179" t="str">
        <f t="shared" si="2"/>
        <v>End Plate Thk@Header Sketch - 1 + 1.625</v>
      </c>
      <c r="BA7" s="179" t="str">
        <f t="shared" si="3"/>
        <v>Wrapper Thk@Header Sketch - 1 + 2</v>
      </c>
      <c r="BB7" s="35">
        <v>0.69899999999999995</v>
      </c>
      <c r="BC7" s="35" t="s">
        <v>170</v>
      </c>
      <c r="BE7" s="35" t="str">
        <f t="shared" si="4"/>
        <v>TR20x12x0.375</v>
      </c>
      <c r="BF7" s="184">
        <v>20</v>
      </c>
      <c r="BG7" s="184">
        <v>12.000000000000002</v>
      </c>
      <c r="BH7" s="184">
        <v>0.37500000000000006</v>
      </c>
      <c r="BI7" s="35">
        <f t="shared" si="5"/>
        <v>0.75000000000000011</v>
      </c>
      <c r="BJ7" s="35" t="s">
        <v>170</v>
      </c>
      <c r="BL7">
        <v>3.5</v>
      </c>
      <c r="BM7">
        <v>3.5</v>
      </c>
      <c r="BN7">
        <v>0.37500000000000006</v>
      </c>
    </row>
    <row r="8" spans="2:67" x14ac:dyDescent="0.3">
      <c r="B8" s="35" t="s">
        <v>19</v>
      </c>
      <c r="D8" s="135" t="s">
        <v>244</v>
      </c>
      <c r="E8" s="35" t="s">
        <v>344</v>
      </c>
      <c r="F8" s="35" t="s">
        <v>170</v>
      </c>
      <c r="I8" s="163">
        <v>2.1280000000000001</v>
      </c>
      <c r="J8" s="163">
        <v>20</v>
      </c>
      <c r="K8" s="35" t="s">
        <v>170</v>
      </c>
      <c r="N8" s="35" t="s">
        <v>164</v>
      </c>
      <c r="O8" s="35"/>
      <c r="P8" s="35"/>
      <c r="Q8" s="35"/>
      <c r="R8" s="35" t="s">
        <v>224</v>
      </c>
      <c r="T8" s="35" t="s">
        <v>162</v>
      </c>
      <c r="U8" s="136">
        <v>0.625</v>
      </c>
      <c r="V8" s="136">
        <v>0.875</v>
      </c>
      <c r="W8" s="136">
        <v>0.5</v>
      </c>
      <c r="X8" s="136">
        <v>0.4375</v>
      </c>
      <c r="Y8" s="35" t="s">
        <v>170</v>
      </c>
      <c r="AA8" s="35">
        <v>0.875</v>
      </c>
      <c r="AB8" s="35">
        <v>0.3125</v>
      </c>
      <c r="AC8">
        <f t="shared" si="0"/>
        <v>19.654031465692235</v>
      </c>
      <c r="AJ8" s="35">
        <v>0.875</v>
      </c>
      <c r="AK8" s="133">
        <f t="shared" si="1"/>
        <v>0.31847395498292708</v>
      </c>
      <c r="AL8">
        <v>20</v>
      </c>
      <c r="AN8" s="35">
        <v>1.25</v>
      </c>
      <c r="AO8" s="35">
        <v>1.25</v>
      </c>
      <c r="AP8" s="35">
        <v>2.5</v>
      </c>
      <c r="AQ8" s="35">
        <v>2.5</v>
      </c>
      <c r="AR8" s="35">
        <v>1.75</v>
      </c>
      <c r="AS8" s="35">
        <v>1.75</v>
      </c>
      <c r="AT8" s="35">
        <v>2.125</v>
      </c>
      <c r="AU8" s="35">
        <v>1.21875</v>
      </c>
      <c r="AV8" s="35">
        <v>1.2609999999999999</v>
      </c>
      <c r="AW8" s="35">
        <v>1</v>
      </c>
      <c r="AX8" s="35">
        <v>0.05</v>
      </c>
      <c r="AY8" s="35">
        <v>18</v>
      </c>
      <c r="AZ8" s="179" t="str">
        <f t="shared" si="2"/>
        <v>End Plate Thk@Header Sketch - 1 + 1.75</v>
      </c>
      <c r="BA8" s="179" t="str">
        <f t="shared" si="3"/>
        <v>Wrapper Thk@Header Sketch - 1 + 2.125</v>
      </c>
      <c r="BB8" s="35">
        <v>0.69899999999999995</v>
      </c>
      <c r="BC8" s="35" t="s">
        <v>170</v>
      </c>
      <c r="BE8" s="35" t="str">
        <f t="shared" si="4"/>
        <v>TR20x12x0.3125</v>
      </c>
      <c r="BF8" s="184">
        <v>20</v>
      </c>
      <c r="BG8" s="184">
        <v>12.000000000000002</v>
      </c>
      <c r="BH8" s="184">
        <v>0.3125</v>
      </c>
      <c r="BI8" s="35">
        <f t="shared" si="5"/>
        <v>0.625</v>
      </c>
      <c r="BJ8" s="35" t="s">
        <v>170</v>
      </c>
      <c r="BL8">
        <v>4</v>
      </c>
      <c r="BM8">
        <v>4</v>
      </c>
      <c r="BN8">
        <v>0.5</v>
      </c>
    </row>
    <row r="9" spans="2:67" x14ac:dyDescent="0.3">
      <c r="B9" s="35" t="s">
        <v>21</v>
      </c>
      <c r="D9" s="135" t="s">
        <v>245</v>
      </c>
      <c r="E9" s="35" t="s">
        <v>344</v>
      </c>
      <c r="F9" s="35" t="s">
        <v>170</v>
      </c>
      <c r="I9" s="164">
        <v>2.5</v>
      </c>
      <c r="J9" s="164">
        <v>20</v>
      </c>
      <c r="K9" s="35" t="s">
        <v>170</v>
      </c>
      <c r="T9" s="35" t="s">
        <v>163</v>
      </c>
      <c r="U9" s="136">
        <v>0.75</v>
      </c>
      <c r="V9" s="136">
        <v>0.75</v>
      </c>
      <c r="W9" s="136">
        <v>0.5625</v>
      </c>
      <c r="X9" s="136">
        <v>0.4375</v>
      </c>
      <c r="Y9" s="35" t="s">
        <v>170</v>
      </c>
      <c r="AA9" s="35">
        <v>1</v>
      </c>
      <c r="AB9" s="35">
        <v>0.375</v>
      </c>
      <c r="AC9">
        <f t="shared" si="0"/>
        <v>20.556233590921007</v>
      </c>
      <c r="AJ9" s="35">
        <v>1</v>
      </c>
      <c r="AK9" s="133">
        <f t="shared" si="1"/>
        <v>0.36397023426620234</v>
      </c>
      <c r="AL9">
        <v>20</v>
      </c>
      <c r="AN9" s="35">
        <v>1.5000000000000002</v>
      </c>
      <c r="AO9" s="35">
        <v>1.5000000000000002</v>
      </c>
      <c r="AP9" s="35">
        <v>2.75</v>
      </c>
      <c r="AQ9" s="35">
        <v>2.75</v>
      </c>
      <c r="AR9" s="35">
        <v>2</v>
      </c>
      <c r="AS9" s="35">
        <v>1.875</v>
      </c>
      <c r="AT9" s="35">
        <v>2.25</v>
      </c>
      <c r="AU9" s="35">
        <v>1.46875</v>
      </c>
      <c r="AV9" s="35">
        <v>1.514</v>
      </c>
      <c r="AW9" s="35">
        <v>1.25</v>
      </c>
      <c r="AX9" s="35">
        <v>0.05</v>
      </c>
      <c r="AY9" s="35">
        <v>18</v>
      </c>
      <c r="AZ9" s="179" t="str">
        <f t="shared" si="2"/>
        <v>End Plate Thk@Header Sketch - 1 + 1.875</v>
      </c>
      <c r="BA9" s="179" t="str">
        <f t="shared" si="3"/>
        <v>Wrapper Thk@Header Sketch - 1 + 2.25</v>
      </c>
      <c r="BB9" s="35">
        <v>0.69899999999999995</v>
      </c>
      <c r="BC9" s="35" t="s">
        <v>170</v>
      </c>
      <c r="BE9" s="35" t="str">
        <f t="shared" si="4"/>
        <v>TR20x8x0.5</v>
      </c>
      <c r="BF9" s="184">
        <v>20</v>
      </c>
      <c r="BG9" s="184">
        <v>8</v>
      </c>
      <c r="BH9" s="184">
        <v>0.5</v>
      </c>
      <c r="BI9" s="35">
        <f t="shared" si="5"/>
        <v>1</v>
      </c>
      <c r="BJ9" s="35" t="s">
        <v>170</v>
      </c>
      <c r="BL9">
        <v>4.5</v>
      </c>
      <c r="BM9">
        <v>4.5</v>
      </c>
      <c r="BN9">
        <v>0.5625</v>
      </c>
    </row>
    <row r="10" spans="2:67" x14ac:dyDescent="0.3">
      <c r="D10" s="135" t="s">
        <v>246</v>
      </c>
      <c r="E10" s="35" t="s">
        <v>342</v>
      </c>
      <c r="F10" s="35" t="s">
        <v>170</v>
      </c>
      <c r="I10" s="35" t="s">
        <v>164</v>
      </c>
      <c r="J10" s="35" t="s">
        <v>164</v>
      </c>
      <c r="K10" s="35" t="s">
        <v>164</v>
      </c>
      <c r="T10" s="35" t="s">
        <v>164</v>
      </c>
      <c r="U10" s="35"/>
      <c r="V10" s="35"/>
      <c r="W10" s="35"/>
      <c r="X10" s="35"/>
      <c r="Y10" s="35"/>
      <c r="AA10" s="35">
        <v>1.125</v>
      </c>
      <c r="AB10" s="35">
        <v>0.4375</v>
      </c>
      <c r="AC10">
        <f t="shared" si="0"/>
        <v>21.250677549408138</v>
      </c>
      <c r="AJ10" s="35">
        <v>1.125</v>
      </c>
      <c r="AK10" s="133">
        <f t="shared" si="1"/>
        <v>0.40946651354947761</v>
      </c>
      <c r="AL10">
        <v>20</v>
      </c>
      <c r="AN10" s="35" t="s">
        <v>33</v>
      </c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 t="s">
        <v>170</v>
      </c>
      <c r="BE10" s="35" t="str">
        <f t="shared" si="4"/>
        <v>TR20x8x0.375</v>
      </c>
      <c r="BF10" s="184">
        <v>20</v>
      </c>
      <c r="BG10" s="184">
        <v>8</v>
      </c>
      <c r="BH10" s="184">
        <v>0.37500000000000006</v>
      </c>
      <c r="BI10" s="35">
        <f t="shared" si="5"/>
        <v>0.75000000000000011</v>
      </c>
      <c r="BJ10" s="35" t="s">
        <v>170</v>
      </c>
      <c r="BL10">
        <v>5</v>
      </c>
      <c r="BM10">
        <v>5</v>
      </c>
      <c r="BN10">
        <v>0.625</v>
      </c>
    </row>
    <row r="11" spans="2:67" x14ac:dyDescent="0.3">
      <c r="D11" s="135" t="s">
        <v>331</v>
      </c>
      <c r="E11" s="35" t="s">
        <v>342</v>
      </c>
      <c r="F11" s="35" t="s">
        <v>170</v>
      </c>
      <c r="AA11" s="35">
        <v>1.25</v>
      </c>
      <c r="AB11" s="35">
        <v>0.5</v>
      </c>
      <c r="AC11">
        <f t="shared" si="0"/>
        <v>21.801567544764666</v>
      </c>
      <c r="AJ11" s="35">
        <v>1.25</v>
      </c>
      <c r="AK11" s="133">
        <f t="shared" si="1"/>
        <v>0.45496279283275293</v>
      </c>
      <c r="AL11">
        <v>20</v>
      </c>
      <c r="BE11" s="35" t="str">
        <f t="shared" si="4"/>
        <v>TR20x8x0.3125</v>
      </c>
      <c r="BF11" s="184">
        <v>20</v>
      </c>
      <c r="BG11" s="184">
        <v>8</v>
      </c>
      <c r="BH11" s="184">
        <v>0.3125</v>
      </c>
      <c r="BI11" s="35">
        <f t="shared" si="5"/>
        <v>0.625</v>
      </c>
      <c r="BJ11" s="35" t="s">
        <v>170</v>
      </c>
      <c r="BL11">
        <v>6.0000000000000009</v>
      </c>
      <c r="BM11">
        <v>6.0000000000000009</v>
      </c>
      <c r="BN11" t="s">
        <v>164</v>
      </c>
    </row>
    <row r="12" spans="2:67" ht="14.25" customHeight="1" x14ac:dyDescent="0.3">
      <c r="D12" s="135" t="s">
        <v>247</v>
      </c>
      <c r="E12" s="35" t="s">
        <v>344</v>
      </c>
      <c r="F12" s="35" t="s">
        <v>170</v>
      </c>
      <c r="I12" t="s">
        <v>404</v>
      </c>
      <c r="AA12" s="35">
        <v>1.375</v>
      </c>
      <c r="AB12" s="35">
        <v>0.5</v>
      </c>
      <c r="AC12">
        <f t="shared" si="0"/>
        <v>19.983240352317605</v>
      </c>
      <c r="AJ12" s="35">
        <v>1.375</v>
      </c>
      <c r="AK12" s="133">
        <f t="shared" si="1"/>
        <v>0.50045907211602825</v>
      </c>
      <c r="AL12">
        <v>20</v>
      </c>
      <c r="AP12" t="s">
        <v>422</v>
      </c>
      <c r="BE12" s="35" t="str">
        <f t="shared" si="4"/>
        <v>TR20x4x0.5</v>
      </c>
      <c r="BF12" s="184">
        <v>20</v>
      </c>
      <c r="BG12" s="184">
        <v>4</v>
      </c>
      <c r="BH12" s="184">
        <v>0.5</v>
      </c>
      <c r="BI12" s="35">
        <f t="shared" si="5"/>
        <v>1</v>
      </c>
      <c r="BJ12" s="35" t="s">
        <v>170</v>
      </c>
      <c r="BL12">
        <v>7</v>
      </c>
      <c r="BM12">
        <v>7</v>
      </c>
    </row>
    <row r="13" spans="2:67" x14ac:dyDescent="0.3">
      <c r="D13" s="135" t="s">
        <v>269</v>
      </c>
      <c r="E13" s="35" t="s">
        <v>342</v>
      </c>
      <c r="F13" s="35" t="s">
        <v>170</v>
      </c>
      <c r="AA13" s="35">
        <v>1.5</v>
      </c>
      <c r="AB13" s="35">
        <v>0.5625</v>
      </c>
      <c r="AC13">
        <f t="shared" si="0"/>
        <v>20.556170800108166</v>
      </c>
      <c r="AJ13" s="35">
        <v>1.5</v>
      </c>
      <c r="AK13" s="133">
        <f t="shared" si="1"/>
        <v>0.54595535139930351</v>
      </c>
      <c r="AL13">
        <v>20</v>
      </c>
      <c r="BE13" s="35" t="str">
        <f t="shared" si="4"/>
        <v>TR20x4x0.375</v>
      </c>
      <c r="BF13" s="184">
        <v>20</v>
      </c>
      <c r="BG13" s="184">
        <v>4</v>
      </c>
      <c r="BH13" s="184">
        <v>0.37500000000000006</v>
      </c>
      <c r="BI13" s="35">
        <f t="shared" si="5"/>
        <v>0.75000000000000011</v>
      </c>
      <c r="BJ13" s="35" t="s">
        <v>170</v>
      </c>
      <c r="BL13">
        <v>8</v>
      </c>
      <c r="BM13">
        <v>8</v>
      </c>
    </row>
    <row r="14" spans="2:67" x14ac:dyDescent="0.3">
      <c r="D14" s="135" t="s">
        <v>164</v>
      </c>
      <c r="E14" s="35" t="s">
        <v>164</v>
      </c>
      <c r="F14" s="35" t="s">
        <v>164</v>
      </c>
      <c r="AA14" s="35">
        <v>1.625</v>
      </c>
      <c r="AB14" s="35">
        <v>0.625</v>
      </c>
      <c r="AC14">
        <f t="shared" si="0"/>
        <v>21.03762916168299</v>
      </c>
      <c r="AJ14" s="35">
        <v>1.625</v>
      </c>
      <c r="AK14" s="133">
        <f t="shared" si="1"/>
        <v>0.59145163068257878</v>
      </c>
      <c r="AL14">
        <v>20</v>
      </c>
      <c r="BE14" s="35" t="str">
        <f t="shared" si="4"/>
        <v>TR20x4x0.3125</v>
      </c>
      <c r="BF14" s="184">
        <v>20</v>
      </c>
      <c r="BG14" s="184">
        <v>4</v>
      </c>
      <c r="BH14" s="184">
        <v>0.3125</v>
      </c>
      <c r="BI14" s="35">
        <f t="shared" si="5"/>
        <v>0.625</v>
      </c>
      <c r="BJ14" s="35" t="s">
        <v>170</v>
      </c>
      <c r="BL14">
        <v>9</v>
      </c>
      <c r="BM14">
        <v>9</v>
      </c>
    </row>
    <row r="15" spans="2:67" x14ac:dyDescent="0.3">
      <c r="AA15" s="35">
        <v>1.75</v>
      </c>
      <c r="AB15" s="35">
        <v>0.6875</v>
      </c>
      <c r="AC15">
        <f t="shared" si="0"/>
        <v>21.447847753703289</v>
      </c>
      <c r="AJ15" s="35">
        <v>1.75</v>
      </c>
      <c r="AK15" s="133">
        <f t="shared" si="1"/>
        <v>0.63694790996585415</v>
      </c>
      <c r="AL15">
        <v>20</v>
      </c>
      <c r="BE15" s="35" t="str">
        <f t="shared" si="4"/>
        <v>TR18x6x0.5</v>
      </c>
      <c r="BF15" s="184">
        <v>18</v>
      </c>
      <c r="BG15" s="184">
        <v>6.0000000000000009</v>
      </c>
      <c r="BH15" s="184">
        <v>0.5</v>
      </c>
      <c r="BI15" s="35">
        <f t="shared" si="5"/>
        <v>1</v>
      </c>
      <c r="BJ15" s="35" t="s">
        <v>170</v>
      </c>
      <c r="BL15">
        <v>10</v>
      </c>
      <c r="BM15">
        <v>10</v>
      </c>
    </row>
    <row r="16" spans="2:67" x14ac:dyDescent="0.3">
      <c r="D16" s="274" t="s">
        <v>461</v>
      </c>
      <c r="AA16" s="35">
        <v>2</v>
      </c>
      <c r="AB16" s="35">
        <v>0.75</v>
      </c>
      <c r="AC16">
        <f t="shared" si="0"/>
        <v>20.556139404839367</v>
      </c>
      <c r="AJ16" s="35">
        <v>2</v>
      </c>
      <c r="AK16" s="133">
        <f t="shared" si="1"/>
        <v>0.72794046853240468</v>
      </c>
      <c r="AL16">
        <v>20</v>
      </c>
      <c r="BE16" s="35" t="str">
        <f t="shared" si="4"/>
        <v>TR18x6x0.375</v>
      </c>
      <c r="BF16" s="184">
        <v>18</v>
      </c>
      <c r="BG16" s="184">
        <v>6.0000000000000009</v>
      </c>
      <c r="BH16" s="184">
        <v>0.37500000000000006</v>
      </c>
      <c r="BI16" s="35">
        <f t="shared" si="5"/>
        <v>0.75000000000000011</v>
      </c>
      <c r="BJ16" s="35" t="s">
        <v>170</v>
      </c>
      <c r="BL16">
        <v>12.000000000000002</v>
      </c>
      <c r="BM16">
        <v>12.000000000000002</v>
      </c>
    </row>
    <row r="17" spans="4:65" x14ac:dyDescent="0.3">
      <c r="D17" s="135" t="s">
        <v>198</v>
      </c>
      <c r="E17" s="35" t="s">
        <v>342</v>
      </c>
      <c r="F17" s="35" t="s">
        <v>170</v>
      </c>
      <c r="AA17" s="35">
        <v>2.25</v>
      </c>
      <c r="AB17" s="35">
        <v>0.875</v>
      </c>
      <c r="AC17">
        <f t="shared" si="0"/>
        <v>21.250591527938596</v>
      </c>
      <c r="AJ17" s="35">
        <v>2.25</v>
      </c>
      <c r="AK17" s="133">
        <f t="shared" si="1"/>
        <v>0.81893302709895521</v>
      </c>
      <c r="AL17">
        <v>20</v>
      </c>
      <c r="BE17" s="35" t="str">
        <f t="shared" si="4"/>
        <v>TR18x6x0.3125</v>
      </c>
      <c r="BF17" s="184">
        <v>18</v>
      </c>
      <c r="BG17" s="184">
        <v>6.0000000000000009</v>
      </c>
      <c r="BH17" s="184">
        <v>0.3125</v>
      </c>
      <c r="BI17" s="35">
        <f t="shared" si="5"/>
        <v>0.625</v>
      </c>
      <c r="BJ17" s="35" t="s">
        <v>170</v>
      </c>
      <c r="BL17">
        <v>14</v>
      </c>
      <c r="BM17">
        <v>14</v>
      </c>
    </row>
    <row r="18" spans="4:65" x14ac:dyDescent="0.3">
      <c r="AA18" s="35">
        <v>2.5</v>
      </c>
      <c r="AB18" s="35">
        <v>0.9375</v>
      </c>
      <c r="AC18">
        <f t="shared" si="0"/>
        <v>20.556120567722129</v>
      </c>
      <c r="AJ18" s="35">
        <v>2.5</v>
      </c>
      <c r="AK18" s="133">
        <f t="shared" si="1"/>
        <v>0.90992558566550585</v>
      </c>
      <c r="AL18">
        <v>20</v>
      </c>
      <c r="BE18" s="182" t="str">
        <f>CONCATENATE("TS",BF18,"x",BG18,"x",BH18)</f>
        <v>TS16x16x0.625</v>
      </c>
      <c r="BF18" s="183">
        <v>16</v>
      </c>
      <c r="BG18" s="183">
        <v>16</v>
      </c>
      <c r="BH18" s="183">
        <v>0.625</v>
      </c>
      <c r="BI18" s="182">
        <f t="shared" si="5"/>
        <v>1.25</v>
      </c>
      <c r="BJ18" s="35" t="s">
        <v>170</v>
      </c>
      <c r="BL18">
        <v>16</v>
      </c>
      <c r="BM18">
        <v>16</v>
      </c>
    </row>
    <row r="19" spans="4:65" x14ac:dyDescent="0.3">
      <c r="AA19" s="35">
        <v>2.75</v>
      </c>
      <c r="AB19" s="35">
        <v>1</v>
      </c>
      <c r="AC19">
        <f t="shared" si="0"/>
        <v>19.983173436893882</v>
      </c>
      <c r="AJ19" s="35">
        <v>2.75</v>
      </c>
      <c r="AK19" s="133">
        <f t="shared" si="1"/>
        <v>1.0009181442320565</v>
      </c>
      <c r="AL19">
        <v>20</v>
      </c>
      <c r="BE19" s="182" t="str">
        <f>CONCATENATE("TS",BF19,"x",BG19,"x",BH19)</f>
        <v>TS16x16x0.5</v>
      </c>
      <c r="BF19" s="183">
        <v>16</v>
      </c>
      <c r="BG19" s="183">
        <v>16</v>
      </c>
      <c r="BH19" s="183">
        <v>0.5</v>
      </c>
      <c r="BI19" s="182">
        <f t="shared" si="5"/>
        <v>1</v>
      </c>
      <c r="BJ19" s="35" t="s">
        <v>170</v>
      </c>
      <c r="BL19">
        <v>18</v>
      </c>
      <c r="BM19" t="s">
        <v>164</v>
      </c>
    </row>
    <row r="20" spans="4:65" x14ac:dyDescent="0.3">
      <c r="AA20" s="35">
        <v>3</v>
      </c>
      <c r="AB20" s="35">
        <v>1.125</v>
      </c>
      <c r="AC20">
        <f t="shared" si="0"/>
        <v>20.556108009662317</v>
      </c>
      <c r="AJ20" s="35">
        <v>3</v>
      </c>
      <c r="AK20" s="133">
        <f t="shared" si="1"/>
        <v>1.091910702798607</v>
      </c>
      <c r="AL20">
        <v>20</v>
      </c>
      <c r="BE20" s="182" t="str">
        <f>CONCATENATE("TS",BF20,"x",BG20,"x",BH20)</f>
        <v>TS16x16x0.375</v>
      </c>
      <c r="BF20" s="183">
        <v>16</v>
      </c>
      <c r="BG20" s="183">
        <v>16</v>
      </c>
      <c r="BH20" s="183">
        <v>0.37500000000000006</v>
      </c>
      <c r="BI20" s="182">
        <f t="shared" si="5"/>
        <v>0.75000000000000011</v>
      </c>
      <c r="BJ20" s="35" t="s">
        <v>170</v>
      </c>
      <c r="BL20">
        <v>20</v>
      </c>
    </row>
    <row r="21" spans="4:65" x14ac:dyDescent="0.3">
      <c r="AA21" s="35">
        <v>3.25</v>
      </c>
      <c r="AB21" s="35">
        <v>1.25</v>
      </c>
      <c r="AC21">
        <f t="shared" si="0"/>
        <v>21.037570093394073</v>
      </c>
      <c r="AJ21" s="35">
        <v>3.25</v>
      </c>
      <c r="AK21" s="133">
        <f t="shared" si="1"/>
        <v>0</v>
      </c>
      <c r="AL21">
        <v>0</v>
      </c>
      <c r="BE21" s="182" t="str">
        <f>CONCATENATE("TS",BF21,"x",BG21,"x",BH21)</f>
        <v>TS16x16x0.3125</v>
      </c>
      <c r="BF21" s="183">
        <v>16</v>
      </c>
      <c r="BG21" s="183">
        <v>16</v>
      </c>
      <c r="BH21" s="183">
        <v>0.3125</v>
      </c>
      <c r="BI21" s="182">
        <f t="shared" si="5"/>
        <v>0.625</v>
      </c>
      <c r="BJ21" s="35" t="s">
        <v>170</v>
      </c>
      <c r="BL21" t="s">
        <v>164</v>
      </c>
    </row>
    <row r="22" spans="4:65" x14ac:dyDescent="0.3">
      <c r="AA22" s="35">
        <v>3.5</v>
      </c>
      <c r="AB22" s="35">
        <v>1.375</v>
      </c>
      <c r="AC22">
        <f t="shared" si="0"/>
        <v>21.447792040266421</v>
      </c>
      <c r="AJ22" s="35">
        <v>3.5</v>
      </c>
      <c r="AK22" s="133">
        <f t="shared" si="1"/>
        <v>0</v>
      </c>
      <c r="AL22">
        <v>0</v>
      </c>
      <c r="BE22" s="35" t="str">
        <f t="shared" ref="BE22:BE31" si="6">CONCATENATE("TR",BF22,"x",BG22,"x",BH22)</f>
        <v>TR16x12x0.625</v>
      </c>
      <c r="BF22" s="184">
        <v>16</v>
      </c>
      <c r="BG22" s="184">
        <v>12.000000000000002</v>
      </c>
      <c r="BH22" s="184">
        <v>0.625</v>
      </c>
      <c r="BI22" s="35">
        <f t="shared" si="5"/>
        <v>1.25</v>
      </c>
      <c r="BJ22" s="35" t="s">
        <v>170</v>
      </c>
    </row>
    <row r="23" spans="4:65" x14ac:dyDescent="0.3">
      <c r="AA23" s="35">
        <v>3.75</v>
      </c>
      <c r="AB23" s="35">
        <v>1.5</v>
      </c>
      <c r="AC23">
        <f t="shared" si="0"/>
        <v>21.801462172247195</v>
      </c>
      <c r="AJ23" s="35">
        <v>3.75</v>
      </c>
      <c r="AK23" s="133">
        <f t="shared" si="1"/>
        <v>0</v>
      </c>
      <c r="AL23">
        <v>0</v>
      </c>
      <c r="BE23" s="35" t="str">
        <f t="shared" si="6"/>
        <v>TR16x12x0.5</v>
      </c>
      <c r="BF23" s="184">
        <v>16</v>
      </c>
      <c r="BG23" s="184">
        <v>12.000000000000002</v>
      </c>
      <c r="BH23" s="184">
        <v>0.5</v>
      </c>
      <c r="BI23" s="35">
        <f t="shared" si="5"/>
        <v>1</v>
      </c>
      <c r="BJ23" s="35" t="s">
        <v>170</v>
      </c>
    </row>
    <row r="24" spans="4:65" x14ac:dyDescent="0.3">
      <c r="AA24" s="35">
        <v>4</v>
      </c>
      <c r="AB24" s="35">
        <v>1.5</v>
      </c>
      <c r="AC24">
        <f t="shared" si="0"/>
        <v>20.556092312108198</v>
      </c>
      <c r="AJ24" s="35">
        <v>4</v>
      </c>
      <c r="AK24" s="133">
        <f t="shared" si="1"/>
        <v>0</v>
      </c>
      <c r="AL24">
        <v>0</v>
      </c>
      <c r="BE24" s="35" t="str">
        <f t="shared" si="6"/>
        <v>TR16x12x0.375</v>
      </c>
      <c r="BF24" s="184">
        <v>16</v>
      </c>
      <c r="BG24" s="184">
        <v>12.000000000000002</v>
      </c>
      <c r="BH24" s="184">
        <v>0.37500000000000006</v>
      </c>
      <c r="BI24" s="35">
        <f t="shared" si="5"/>
        <v>0.75000000000000011</v>
      </c>
      <c r="BJ24" s="35" t="s">
        <v>170</v>
      </c>
    </row>
    <row r="25" spans="4:65" x14ac:dyDescent="0.3">
      <c r="AA25" t="s">
        <v>33</v>
      </c>
      <c r="AB25" t="s">
        <v>33</v>
      </c>
      <c r="AC25" t="s">
        <v>33</v>
      </c>
      <c r="AJ25" t="s">
        <v>33</v>
      </c>
      <c r="AK25" t="s">
        <v>33</v>
      </c>
      <c r="AL25" t="s">
        <v>33</v>
      </c>
      <c r="BE25" s="35" t="str">
        <f t="shared" si="6"/>
        <v>TR16x12x0.3125</v>
      </c>
      <c r="BF25" s="184">
        <v>16</v>
      </c>
      <c r="BG25" s="184">
        <v>12.000000000000002</v>
      </c>
      <c r="BH25" s="184">
        <v>0.3125</v>
      </c>
      <c r="BI25" s="35">
        <f t="shared" si="5"/>
        <v>0.625</v>
      </c>
      <c r="BJ25" s="35" t="s">
        <v>170</v>
      </c>
    </row>
    <row r="26" spans="4:65" x14ac:dyDescent="0.3">
      <c r="BE26" s="35" t="str">
        <f t="shared" si="6"/>
        <v>TR16x8x0.5</v>
      </c>
      <c r="BF26" s="184">
        <v>16</v>
      </c>
      <c r="BG26" s="184">
        <v>8</v>
      </c>
      <c r="BH26" s="184">
        <v>0.5</v>
      </c>
      <c r="BI26" s="35">
        <f t="shared" si="5"/>
        <v>1</v>
      </c>
      <c r="BJ26" s="35" t="s">
        <v>170</v>
      </c>
    </row>
    <row r="27" spans="4:65" x14ac:dyDescent="0.3">
      <c r="BE27" s="35" t="str">
        <f t="shared" si="6"/>
        <v>TR16x8x0.375</v>
      </c>
      <c r="BF27" s="184">
        <v>16</v>
      </c>
      <c r="BG27" s="184">
        <v>8</v>
      </c>
      <c r="BH27" s="184">
        <v>0.37500000000000006</v>
      </c>
      <c r="BI27" s="35">
        <f t="shared" si="5"/>
        <v>0.75000000000000011</v>
      </c>
      <c r="BJ27" s="35" t="s">
        <v>170</v>
      </c>
    </row>
    <row r="28" spans="4:65" x14ac:dyDescent="0.3">
      <c r="BE28" s="35" t="str">
        <f t="shared" si="6"/>
        <v>TR16x8x0.3125</v>
      </c>
      <c r="BF28" s="184">
        <v>16</v>
      </c>
      <c r="BG28" s="184">
        <v>8</v>
      </c>
      <c r="BH28" s="184">
        <v>0.3125</v>
      </c>
      <c r="BI28" s="35">
        <f t="shared" si="5"/>
        <v>0.625</v>
      </c>
      <c r="BJ28" s="35" t="s">
        <v>170</v>
      </c>
    </row>
    <row r="29" spans="4:65" x14ac:dyDescent="0.3">
      <c r="BE29" s="35" t="str">
        <f t="shared" si="6"/>
        <v>TR16x4x0.5</v>
      </c>
      <c r="BF29" s="184">
        <v>16</v>
      </c>
      <c r="BG29" s="184">
        <v>4</v>
      </c>
      <c r="BH29" s="184">
        <v>0.5</v>
      </c>
      <c r="BI29" s="35">
        <f t="shared" si="5"/>
        <v>1</v>
      </c>
      <c r="BJ29" s="35" t="s">
        <v>170</v>
      </c>
    </row>
    <row r="30" spans="4:65" x14ac:dyDescent="0.3">
      <c r="BE30" s="35" t="str">
        <f t="shared" si="6"/>
        <v>TR16x4x0.375</v>
      </c>
      <c r="BF30" s="184">
        <v>16</v>
      </c>
      <c r="BG30" s="184">
        <v>4</v>
      </c>
      <c r="BH30" s="184">
        <v>0.37500000000000006</v>
      </c>
      <c r="BI30" s="35">
        <f t="shared" si="5"/>
        <v>0.75000000000000011</v>
      </c>
      <c r="BJ30" s="35" t="s">
        <v>170</v>
      </c>
    </row>
    <row r="31" spans="4:65" x14ac:dyDescent="0.3">
      <c r="BE31" s="35" t="str">
        <f t="shared" si="6"/>
        <v>TR16x4x0.3125</v>
      </c>
      <c r="BF31" s="184">
        <v>16</v>
      </c>
      <c r="BG31" s="184">
        <v>4</v>
      </c>
      <c r="BH31" s="184">
        <v>0.3125</v>
      </c>
      <c r="BI31" s="35">
        <f t="shared" si="5"/>
        <v>0.625</v>
      </c>
      <c r="BJ31" s="35" t="s">
        <v>170</v>
      </c>
    </row>
    <row r="32" spans="4:65" x14ac:dyDescent="0.3">
      <c r="BE32" s="182" t="str">
        <f>CONCATENATE("TS",BF32,"x",BG32,"x",BH32)</f>
        <v>TS14x14x0.625</v>
      </c>
      <c r="BF32" s="183">
        <v>14</v>
      </c>
      <c r="BG32" s="183">
        <v>14</v>
      </c>
      <c r="BH32" s="183">
        <v>0.625</v>
      </c>
      <c r="BI32" s="182">
        <f t="shared" si="5"/>
        <v>1.25</v>
      </c>
      <c r="BJ32" s="35" t="s">
        <v>170</v>
      </c>
    </row>
    <row r="33" spans="57:62" x14ac:dyDescent="0.3">
      <c r="BE33" s="182" t="str">
        <f>CONCATENATE("TS",BF33,"x",BG33,"x",BH33)</f>
        <v>TS14x14x0.5</v>
      </c>
      <c r="BF33" s="183">
        <v>14</v>
      </c>
      <c r="BG33" s="183">
        <v>14</v>
      </c>
      <c r="BH33" s="183">
        <v>0.5</v>
      </c>
      <c r="BI33" s="182">
        <f t="shared" si="5"/>
        <v>1</v>
      </c>
      <c r="BJ33" s="35" t="s">
        <v>170</v>
      </c>
    </row>
    <row r="34" spans="57:62" x14ac:dyDescent="0.3">
      <c r="BE34" s="182" t="str">
        <f>CONCATENATE("TS",BF34,"x",BG34,"x",BH34)</f>
        <v>TS14x14x0.375</v>
      </c>
      <c r="BF34" s="183">
        <v>14</v>
      </c>
      <c r="BG34" s="183">
        <v>14</v>
      </c>
      <c r="BH34" s="183">
        <v>0.37500000000000006</v>
      </c>
      <c r="BI34" s="182">
        <f t="shared" si="5"/>
        <v>0.75000000000000011</v>
      </c>
      <c r="BJ34" s="35" t="s">
        <v>170</v>
      </c>
    </row>
    <row r="35" spans="57:62" x14ac:dyDescent="0.3">
      <c r="BE35" s="182" t="str">
        <f>CONCATENATE("TS",BF35,"x",BG35,"x",BH35)</f>
        <v>TS14x14x0.3125</v>
      </c>
      <c r="BF35" s="183">
        <v>14</v>
      </c>
      <c r="BG35" s="183">
        <v>14</v>
      </c>
      <c r="BH35" s="183">
        <v>0.3125</v>
      </c>
      <c r="BI35" s="182">
        <f t="shared" si="5"/>
        <v>0.625</v>
      </c>
      <c r="BJ35" s="35" t="s">
        <v>170</v>
      </c>
    </row>
    <row r="36" spans="57:62" x14ac:dyDescent="0.3">
      <c r="BE36" s="35" t="str">
        <f t="shared" ref="BE36:BE47" si="7">CONCATENATE("TR",BF36,"x",BG36,"x",BH36)</f>
        <v>TR14x10x0.625</v>
      </c>
      <c r="BF36" s="184">
        <v>14</v>
      </c>
      <c r="BG36" s="184">
        <v>10</v>
      </c>
      <c r="BH36" s="184">
        <v>0.625</v>
      </c>
      <c r="BI36" s="35">
        <f t="shared" si="5"/>
        <v>1.25</v>
      </c>
      <c r="BJ36" s="35" t="s">
        <v>170</v>
      </c>
    </row>
    <row r="37" spans="57:62" x14ac:dyDescent="0.3">
      <c r="BE37" s="35" t="str">
        <f t="shared" si="7"/>
        <v>TR14x10x0.5</v>
      </c>
      <c r="BF37" s="184">
        <v>14</v>
      </c>
      <c r="BG37" s="184">
        <v>10</v>
      </c>
      <c r="BH37" s="184">
        <v>0.5</v>
      </c>
      <c r="BI37" s="35">
        <f t="shared" si="5"/>
        <v>1</v>
      </c>
      <c r="BJ37" s="35" t="s">
        <v>170</v>
      </c>
    </row>
    <row r="38" spans="57:62" x14ac:dyDescent="0.3">
      <c r="BE38" s="35" t="str">
        <f t="shared" si="7"/>
        <v>TR14x10x0.375</v>
      </c>
      <c r="BF38" s="184">
        <v>14</v>
      </c>
      <c r="BG38" s="184">
        <v>10</v>
      </c>
      <c r="BH38" s="184">
        <v>0.37500000000000006</v>
      </c>
      <c r="BI38" s="35">
        <f t="shared" si="5"/>
        <v>0.75000000000000011</v>
      </c>
      <c r="BJ38" s="35" t="s">
        <v>170</v>
      </c>
    </row>
    <row r="39" spans="57:62" x14ac:dyDescent="0.3">
      <c r="BE39" s="35" t="str">
        <f t="shared" si="7"/>
        <v>TR14x10x0.3125</v>
      </c>
      <c r="BF39" s="184">
        <v>14</v>
      </c>
      <c r="BG39" s="184">
        <v>10</v>
      </c>
      <c r="BH39" s="184">
        <v>0.3125</v>
      </c>
      <c r="BI39" s="35">
        <f t="shared" si="5"/>
        <v>0.625</v>
      </c>
      <c r="BJ39" s="35" t="s">
        <v>170</v>
      </c>
    </row>
    <row r="40" spans="57:62" x14ac:dyDescent="0.3">
      <c r="BE40" s="35" t="str">
        <f t="shared" si="7"/>
        <v>TR14x6x0.5</v>
      </c>
      <c r="BF40" s="184">
        <v>14</v>
      </c>
      <c r="BG40" s="184">
        <v>6.0000000000000009</v>
      </c>
      <c r="BH40" s="184">
        <v>0.5</v>
      </c>
      <c r="BI40" s="35">
        <f t="shared" si="5"/>
        <v>1</v>
      </c>
      <c r="BJ40" s="35" t="s">
        <v>170</v>
      </c>
    </row>
    <row r="41" spans="57:62" x14ac:dyDescent="0.3">
      <c r="BE41" s="35" t="str">
        <f t="shared" si="7"/>
        <v>TR14x6x0.375</v>
      </c>
      <c r="BF41" s="184">
        <v>14</v>
      </c>
      <c r="BG41" s="184">
        <v>6.0000000000000009</v>
      </c>
      <c r="BH41" s="184">
        <v>0.37500000000000006</v>
      </c>
      <c r="BI41" s="35">
        <f t="shared" si="5"/>
        <v>0.75000000000000011</v>
      </c>
      <c r="BJ41" s="35" t="s">
        <v>170</v>
      </c>
    </row>
    <row r="42" spans="57:62" x14ac:dyDescent="0.3">
      <c r="BE42" s="35" t="str">
        <f t="shared" si="7"/>
        <v>TR14x6x0.3125</v>
      </c>
      <c r="BF42" s="184">
        <v>14</v>
      </c>
      <c r="BG42" s="184">
        <v>6.0000000000000009</v>
      </c>
      <c r="BH42" s="184">
        <v>0.3125</v>
      </c>
      <c r="BI42" s="35">
        <f t="shared" si="5"/>
        <v>0.625</v>
      </c>
      <c r="BJ42" s="35" t="s">
        <v>170</v>
      </c>
    </row>
    <row r="43" spans="57:62" x14ac:dyDescent="0.3">
      <c r="BE43" s="35" t="str">
        <f t="shared" si="7"/>
        <v>TR14x6x0.25</v>
      </c>
      <c r="BF43" s="184">
        <v>14</v>
      </c>
      <c r="BG43" s="184">
        <v>6.0000000000000009</v>
      </c>
      <c r="BH43" s="184">
        <v>0.25</v>
      </c>
      <c r="BI43" s="35">
        <f t="shared" si="5"/>
        <v>0.5</v>
      </c>
      <c r="BJ43" s="35" t="s">
        <v>170</v>
      </c>
    </row>
    <row r="44" spans="57:62" x14ac:dyDescent="0.3">
      <c r="BE44" s="35" t="str">
        <f t="shared" si="7"/>
        <v>TR14x4x0.5</v>
      </c>
      <c r="BF44" s="184">
        <v>14</v>
      </c>
      <c r="BG44" s="184">
        <v>4</v>
      </c>
      <c r="BH44" s="184">
        <v>0.5</v>
      </c>
      <c r="BI44" s="35">
        <f t="shared" si="5"/>
        <v>1</v>
      </c>
      <c r="BJ44" s="35" t="s">
        <v>170</v>
      </c>
    </row>
    <row r="45" spans="57:62" x14ac:dyDescent="0.3">
      <c r="BE45" s="35" t="str">
        <f t="shared" si="7"/>
        <v>TR14x4x0.375</v>
      </c>
      <c r="BF45" s="184">
        <v>14</v>
      </c>
      <c r="BG45" s="184">
        <v>4</v>
      </c>
      <c r="BH45" s="184">
        <v>0.37500000000000006</v>
      </c>
      <c r="BI45" s="35">
        <f t="shared" si="5"/>
        <v>0.75000000000000011</v>
      </c>
      <c r="BJ45" s="35" t="s">
        <v>170</v>
      </c>
    </row>
    <row r="46" spans="57:62" x14ac:dyDescent="0.3">
      <c r="BE46" s="35" t="str">
        <f t="shared" si="7"/>
        <v>TR14x4x0.3125</v>
      </c>
      <c r="BF46" s="184">
        <v>14</v>
      </c>
      <c r="BG46" s="184">
        <v>4</v>
      </c>
      <c r="BH46" s="184">
        <v>0.3125</v>
      </c>
      <c r="BI46" s="35">
        <f t="shared" si="5"/>
        <v>0.625</v>
      </c>
      <c r="BJ46" s="35" t="s">
        <v>170</v>
      </c>
    </row>
    <row r="47" spans="57:62" x14ac:dyDescent="0.3">
      <c r="BE47" s="35" t="str">
        <f t="shared" si="7"/>
        <v>TR14x4x0.25</v>
      </c>
      <c r="BF47" s="184">
        <v>14</v>
      </c>
      <c r="BG47" s="184">
        <v>4</v>
      </c>
      <c r="BH47" s="184">
        <v>0.25</v>
      </c>
      <c r="BI47" s="35">
        <f t="shared" si="5"/>
        <v>0.5</v>
      </c>
      <c r="BJ47" s="35" t="s">
        <v>170</v>
      </c>
    </row>
    <row r="48" spans="57:62" x14ac:dyDescent="0.3">
      <c r="BE48" s="182" t="str">
        <f t="shared" ref="BE48:BE53" si="8">CONCATENATE("TS",BF48,"x",BG48,"x",BH48)</f>
        <v>TS12x12x0.625</v>
      </c>
      <c r="BF48" s="183">
        <v>12.000000000000002</v>
      </c>
      <c r="BG48" s="183">
        <v>12.000000000000002</v>
      </c>
      <c r="BH48" s="183">
        <v>0.625</v>
      </c>
      <c r="BI48" s="182">
        <f t="shared" si="5"/>
        <v>1.25</v>
      </c>
      <c r="BJ48" s="35" t="s">
        <v>170</v>
      </c>
    </row>
    <row r="49" spans="57:62" x14ac:dyDescent="0.3">
      <c r="BE49" s="182" t="str">
        <f t="shared" si="8"/>
        <v>TS12x12x0.5</v>
      </c>
      <c r="BF49" s="183">
        <v>12.000000000000002</v>
      </c>
      <c r="BG49" s="183">
        <v>12.000000000000002</v>
      </c>
      <c r="BH49" s="183">
        <v>0.5</v>
      </c>
      <c r="BI49" s="182">
        <f t="shared" si="5"/>
        <v>1</v>
      </c>
      <c r="BJ49" s="35" t="s">
        <v>170</v>
      </c>
    </row>
    <row r="50" spans="57:62" x14ac:dyDescent="0.3">
      <c r="BE50" s="182" t="str">
        <f t="shared" si="8"/>
        <v>TS12x12x0.375</v>
      </c>
      <c r="BF50" s="183">
        <v>12.000000000000002</v>
      </c>
      <c r="BG50" s="183">
        <v>12.000000000000002</v>
      </c>
      <c r="BH50" s="183">
        <v>0.37500000000000006</v>
      </c>
      <c r="BI50" s="182">
        <f t="shared" si="5"/>
        <v>0.75000000000000011</v>
      </c>
      <c r="BJ50" s="35" t="s">
        <v>170</v>
      </c>
    </row>
    <row r="51" spans="57:62" x14ac:dyDescent="0.3">
      <c r="BE51" s="182" t="str">
        <f t="shared" si="8"/>
        <v>TS12x12x0.3125</v>
      </c>
      <c r="BF51" s="183">
        <v>12.000000000000002</v>
      </c>
      <c r="BG51" s="183">
        <v>12.000000000000002</v>
      </c>
      <c r="BH51" s="183">
        <v>0.3125</v>
      </c>
      <c r="BI51" s="182">
        <f t="shared" si="5"/>
        <v>0.625</v>
      </c>
      <c r="BJ51" s="35" t="s">
        <v>170</v>
      </c>
    </row>
    <row r="52" spans="57:62" x14ac:dyDescent="0.3">
      <c r="BE52" s="182" t="str">
        <f t="shared" si="8"/>
        <v>TS12x12x0.25</v>
      </c>
      <c r="BF52" s="183">
        <v>12.000000000000002</v>
      </c>
      <c r="BG52" s="183">
        <v>12.000000000000002</v>
      </c>
      <c r="BH52" s="183">
        <v>0.25</v>
      </c>
      <c r="BI52" s="182">
        <f t="shared" si="5"/>
        <v>0.5</v>
      </c>
      <c r="BJ52" s="35" t="s">
        <v>170</v>
      </c>
    </row>
    <row r="53" spans="57:62" x14ac:dyDescent="0.3">
      <c r="BE53" s="182" t="str">
        <f t="shared" si="8"/>
        <v>TS12x12x0.1875</v>
      </c>
      <c r="BF53" s="183">
        <v>12.000000000000002</v>
      </c>
      <c r="BG53" s="183">
        <v>12.000000000000002</v>
      </c>
      <c r="BH53" s="183">
        <v>0.18750000000000003</v>
      </c>
      <c r="BI53" s="182">
        <f t="shared" si="5"/>
        <v>0.37500000000000006</v>
      </c>
      <c r="BJ53" s="35" t="s">
        <v>170</v>
      </c>
    </row>
    <row r="54" spans="57:62" x14ac:dyDescent="0.3">
      <c r="BE54" s="35" t="str">
        <f t="shared" ref="BE54:BE76" si="9">CONCATENATE("TR",BF54,"x",BG54,"x",BH54)</f>
        <v>TR12x8x0.625</v>
      </c>
      <c r="BF54" s="184">
        <v>12.000000000000002</v>
      </c>
      <c r="BG54" s="184">
        <v>8</v>
      </c>
      <c r="BH54" s="184">
        <v>0.625</v>
      </c>
      <c r="BI54" s="35">
        <f t="shared" si="5"/>
        <v>1.25</v>
      </c>
      <c r="BJ54" s="35" t="s">
        <v>170</v>
      </c>
    </row>
    <row r="55" spans="57:62" x14ac:dyDescent="0.3">
      <c r="BE55" s="35" t="str">
        <f t="shared" si="9"/>
        <v>TR12x8x0.5625</v>
      </c>
      <c r="BF55" s="184">
        <v>12.000000000000002</v>
      </c>
      <c r="BG55" s="184">
        <v>8</v>
      </c>
      <c r="BH55" s="184">
        <v>0.5625</v>
      </c>
      <c r="BI55" s="35">
        <f t="shared" si="5"/>
        <v>1.125</v>
      </c>
      <c r="BJ55" s="35" t="s">
        <v>170</v>
      </c>
    </row>
    <row r="56" spans="57:62" x14ac:dyDescent="0.3">
      <c r="BE56" s="35" t="str">
        <f t="shared" si="9"/>
        <v>TR12x8x0.5</v>
      </c>
      <c r="BF56" s="184">
        <v>12.000000000000002</v>
      </c>
      <c r="BG56" s="184">
        <v>8</v>
      </c>
      <c r="BH56" s="184">
        <v>0.5</v>
      </c>
      <c r="BI56" s="35">
        <f t="shared" si="5"/>
        <v>1</v>
      </c>
      <c r="BJ56" s="35" t="s">
        <v>170</v>
      </c>
    </row>
    <row r="57" spans="57:62" x14ac:dyDescent="0.3">
      <c r="BE57" s="35" t="str">
        <f t="shared" si="9"/>
        <v>TR12x8x0.375</v>
      </c>
      <c r="BF57" s="184">
        <v>12.000000000000002</v>
      </c>
      <c r="BG57" s="184">
        <v>8</v>
      </c>
      <c r="BH57" s="184">
        <v>0.37500000000000006</v>
      </c>
      <c r="BI57" s="35">
        <f t="shared" si="5"/>
        <v>0.75000000000000011</v>
      </c>
      <c r="BJ57" s="35" t="s">
        <v>170</v>
      </c>
    </row>
    <row r="58" spans="57:62" x14ac:dyDescent="0.3">
      <c r="BE58" s="35" t="str">
        <f t="shared" si="9"/>
        <v>TR12x8x0.3125</v>
      </c>
      <c r="BF58" s="184">
        <v>12.000000000000002</v>
      </c>
      <c r="BG58" s="184">
        <v>8</v>
      </c>
      <c r="BH58" s="184">
        <v>0.3125</v>
      </c>
      <c r="BI58" s="35">
        <f t="shared" si="5"/>
        <v>0.625</v>
      </c>
      <c r="BJ58" s="35" t="s">
        <v>170</v>
      </c>
    </row>
    <row r="59" spans="57:62" x14ac:dyDescent="0.3">
      <c r="BE59" s="35" t="str">
        <f t="shared" si="9"/>
        <v>TR12x8x0.25</v>
      </c>
      <c r="BF59" s="184">
        <v>12.000000000000002</v>
      </c>
      <c r="BG59" s="184">
        <v>8</v>
      </c>
      <c r="BH59" s="184">
        <v>0.25</v>
      </c>
      <c r="BI59" s="35">
        <f t="shared" si="5"/>
        <v>0.5</v>
      </c>
      <c r="BJ59" s="35" t="s">
        <v>170</v>
      </c>
    </row>
    <row r="60" spans="57:62" x14ac:dyDescent="0.3">
      <c r="BE60" s="35" t="str">
        <f t="shared" si="9"/>
        <v>TR12x8x0.1875</v>
      </c>
      <c r="BF60" s="184">
        <v>12.000000000000002</v>
      </c>
      <c r="BG60" s="184">
        <v>8</v>
      </c>
      <c r="BH60" s="184">
        <v>0.18750000000000003</v>
      </c>
      <c r="BI60" s="35">
        <f t="shared" si="5"/>
        <v>0.37500000000000006</v>
      </c>
      <c r="BJ60" s="35" t="s">
        <v>170</v>
      </c>
    </row>
    <row r="61" spans="57:62" x14ac:dyDescent="0.3">
      <c r="BE61" s="35" t="str">
        <f t="shared" si="9"/>
        <v>TR12x6x0.625</v>
      </c>
      <c r="BF61" s="184">
        <v>12.000000000000002</v>
      </c>
      <c r="BG61" s="184">
        <v>6.0000000000000009</v>
      </c>
      <c r="BH61" s="184">
        <v>0.625</v>
      </c>
      <c r="BI61" s="35">
        <f t="shared" si="5"/>
        <v>1.25</v>
      </c>
      <c r="BJ61" s="35" t="s">
        <v>170</v>
      </c>
    </row>
    <row r="62" spans="57:62" x14ac:dyDescent="0.3">
      <c r="BE62" s="35" t="str">
        <f t="shared" si="9"/>
        <v>TR12x6x0.5625</v>
      </c>
      <c r="BF62" s="184">
        <v>12.000000000000002</v>
      </c>
      <c r="BG62" s="184">
        <v>6.0000000000000009</v>
      </c>
      <c r="BH62" s="184">
        <v>0.5625</v>
      </c>
      <c r="BI62" s="35">
        <f t="shared" si="5"/>
        <v>1.125</v>
      </c>
      <c r="BJ62" s="35" t="s">
        <v>170</v>
      </c>
    </row>
    <row r="63" spans="57:62" x14ac:dyDescent="0.3">
      <c r="BE63" s="35" t="str">
        <f t="shared" si="9"/>
        <v>TR12x6x0.5</v>
      </c>
      <c r="BF63" s="184">
        <v>12.000000000000002</v>
      </c>
      <c r="BG63" s="184">
        <v>6.0000000000000009</v>
      </c>
      <c r="BH63" s="184">
        <v>0.5</v>
      </c>
      <c r="BI63" s="35">
        <f t="shared" si="5"/>
        <v>1</v>
      </c>
      <c r="BJ63" s="35" t="s">
        <v>170</v>
      </c>
    </row>
    <row r="64" spans="57:62" x14ac:dyDescent="0.3">
      <c r="BE64" s="35" t="str">
        <f t="shared" si="9"/>
        <v>TR12x6x0.375</v>
      </c>
      <c r="BF64" s="184">
        <v>12.000000000000002</v>
      </c>
      <c r="BG64" s="184">
        <v>6.0000000000000009</v>
      </c>
      <c r="BH64" s="184">
        <v>0.37500000000000006</v>
      </c>
      <c r="BI64" s="35">
        <f t="shared" si="5"/>
        <v>0.75000000000000011</v>
      </c>
      <c r="BJ64" s="35" t="s">
        <v>170</v>
      </c>
    </row>
    <row r="65" spans="57:62" x14ac:dyDescent="0.3">
      <c r="BE65" s="35" t="str">
        <f t="shared" si="9"/>
        <v>TR12x6x0.3125</v>
      </c>
      <c r="BF65" s="184">
        <v>12.000000000000002</v>
      </c>
      <c r="BG65" s="184">
        <v>6.0000000000000009</v>
      </c>
      <c r="BH65" s="184">
        <v>0.3125</v>
      </c>
      <c r="BI65" s="35">
        <f t="shared" si="5"/>
        <v>0.625</v>
      </c>
      <c r="BJ65" s="35" t="s">
        <v>170</v>
      </c>
    </row>
    <row r="66" spans="57:62" x14ac:dyDescent="0.3">
      <c r="BE66" s="35" t="str">
        <f t="shared" si="9"/>
        <v>TR12x6x0.25</v>
      </c>
      <c r="BF66" s="184">
        <v>12.000000000000002</v>
      </c>
      <c r="BG66" s="184">
        <v>6.0000000000000009</v>
      </c>
      <c r="BH66" s="184">
        <v>0.25</v>
      </c>
      <c r="BI66" s="35">
        <f t="shared" si="5"/>
        <v>0.5</v>
      </c>
      <c r="BJ66" s="35" t="s">
        <v>170</v>
      </c>
    </row>
    <row r="67" spans="57:62" x14ac:dyDescent="0.3">
      <c r="BE67" s="35" t="str">
        <f t="shared" si="9"/>
        <v>TR12x6x0.1875</v>
      </c>
      <c r="BF67" s="184">
        <v>12.000000000000002</v>
      </c>
      <c r="BG67" s="184">
        <v>6.0000000000000009</v>
      </c>
      <c r="BH67" s="184">
        <v>0.18750000000000003</v>
      </c>
      <c r="BI67" s="35">
        <f t="shared" si="5"/>
        <v>0.37500000000000006</v>
      </c>
      <c r="BJ67" s="35" t="s">
        <v>170</v>
      </c>
    </row>
    <row r="68" spans="57:62" x14ac:dyDescent="0.3">
      <c r="BE68" s="35" t="str">
        <f t="shared" si="9"/>
        <v>TR12x4x0.625</v>
      </c>
      <c r="BF68" s="184">
        <v>12.000000000000002</v>
      </c>
      <c r="BG68" s="184">
        <v>4</v>
      </c>
      <c r="BH68" s="184">
        <v>0.625</v>
      </c>
      <c r="BI68" s="35">
        <f t="shared" si="5"/>
        <v>1.25</v>
      </c>
      <c r="BJ68" s="35" t="s">
        <v>170</v>
      </c>
    </row>
    <row r="69" spans="57:62" x14ac:dyDescent="0.3">
      <c r="BE69" s="35" t="str">
        <f t="shared" si="9"/>
        <v>TR12x4x0.5625</v>
      </c>
      <c r="BF69" s="184">
        <v>12.000000000000002</v>
      </c>
      <c r="BG69" s="184">
        <v>4</v>
      </c>
      <c r="BH69" s="184">
        <v>0.5625</v>
      </c>
      <c r="BI69" s="35">
        <f t="shared" ref="BI69:BI132" si="10">BH69*2</f>
        <v>1.125</v>
      </c>
      <c r="BJ69" s="35" t="s">
        <v>170</v>
      </c>
    </row>
    <row r="70" spans="57:62" x14ac:dyDescent="0.3">
      <c r="BE70" s="35" t="str">
        <f t="shared" si="9"/>
        <v>TR12x4x0.5</v>
      </c>
      <c r="BF70" s="184">
        <v>12.000000000000002</v>
      </c>
      <c r="BG70" s="184">
        <v>4</v>
      </c>
      <c r="BH70" s="184">
        <v>0.5</v>
      </c>
      <c r="BI70" s="35">
        <f t="shared" si="10"/>
        <v>1</v>
      </c>
      <c r="BJ70" s="35" t="s">
        <v>170</v>
      </c>
    </row>
    <row r="71" spans="57:62" x14ac:dyDescent="0.3">
      <c r="BE71" s="35" t="str">
        <f t="shared" si="9"/>
        <v>TR12x4x0.375</v>
      </c>
      <c r="BF71" s="184">
        <v>12.000000000000002</v>
      </c>
      <c r="BG71" s="184">
        <v>4</v>
      </c>
      <c r="BH71" s="184">
        <v>0.37500000000000006</v>
      </c>
      <c r="BI71" s="35">
        <f t="shared" si="10"/>
        <v>0.75000000000000011</v>
      </c>
      <c r="BJ71" s="35" t="s">
        <v>170</v>
      </c>
    </row>
    <row r="72" spans="57:62" x14ac:dyDescent="0.3">
      <c r="BE72" s="35" t="str">
        <f t="shared" si="9"/>
        <v>TR12x4x0.3125</v>
      </c>
      <c r="BF72" s="184">
        <v>12.000000000000002</v>
      </c>
      <c r="BG72" s="184">
        <v>4</v>
      </c>
      <c r="BH72" s="184">
        <v>0.3125</v>
      </c>
      <c r="BI72" s="35">
        <f t="shared" si="10"/>
        <v>0.625</v>
      </c>
      <c r="BJ72" s="35" t="s">
        <v>170</v>
      </c>
    </row>
    <row r="73" spans="57:62" x14ac:dyDescent="0.3">
      <c r="BE73" s="35" t="str">
        <f t="shared" si="9"/>
        <v>TR12x4x0.25</v>
      </c>
      <c r="BF73" s="184">
        <v>12.000000000000002</v>
      </c>
      <c r="BG73" s="184">
        <v>4</v>
      </c>
      <c r="BH73" s="184">
        <v>0.25</v>
      </c>
      <c r="BI73" s="35">
        <f t="shared" si="10"/>
        <v>0.5</v>
      </c>
      <c r="BJ73" s="35" t="s">
        <v>170</v>
      </c>
    </row>
    <row r="74" spans="57:62" x14ac:dyDescent="0.3">
      <c r="BE74" s="35" t="str">
        <f t="shared" si="9"/>
        <v>TR12x4x0.1875</v>
      </c>
      <c r="BF74" s="184">
        <v>12.000000000000002</v>
      </c>
      <c r="BG74" s="184">
        <v>4</v>
      </c>
      <c r="BH74" s="184">
        <v>0.18750000000000003</v>
      </c>
      <c r="BI74" s="35">
        <f t="shared" si="10"/>
        <v>0.37500000000000006</v>
      </c>
      <c r="BJ74" s="35" t="s">
        <v>170</v>
      </c>
    </row>
    <row r="75" spans="57:62" x14ac:dyDescent="0.3">
      <c r="BE75" s="35" t="str">
        <f t="shared" si="9"/>
        <v>TR12x2x0.25</v>
      </c>
      <c r="BF75" s="184">
        <v>12.000000000000002</v>
      </c>
      <c r="BG75" s="184">
        <v>2</v>
      </c>
      <c r="BH75" s="184">
        <v>0.25</v>
      </c>
      <c r="BI75" s="35">
        <f t="shared" si="10"/>
        <v>0.5</v>
      </c>
      <c r="BJ75" s="35" t="s">
        <v>170</v>
      </c>
    </row>
    <row r="76" spans="57:62" x14ac:dyDescent="0.3">
      <c r="BE76" s="35" t="str">
        <f t="shared" si="9"/>
        <v>TR12x2x0.1875</v>
      </c>
      <c r="BF76" s="184">
        <v>12.000000000000002</v>
      </c>
      <c r="BG76" s="184">
        <v>2</v>
      </c>
      <c r="BH76" s="184">
        <v>0.18750000000000003</v>
      </c>
      <c r="BI76" s="35">
        <f t="shared" si="10"/>
        <v>0.37500000000000006</v>
      </c>
      <c r="BJ76" s="35" t="s">
        <v>170</v>
      </c>
    </row>
    <row r="77" spans="57:62" x14ac:dyDescent="0.3">
      <c r="BE77" s="182" t="str">
        <f t="shared" ref="BE77:BE83" si="11">CONCATENATE("TS",BF77,"x",BG77,"x",BH77)</f>
        <v>TS10x10x0.625</v>
      </c>
      <c r="BF77" s="183">
        <v>10</v>
      </c>
      <c r="BG77" s="183">
        <v>10</v>
      </c>
      <c r="BH77" s="183">
        <v>0.625</v>
      </c>
      <c r="BI77" s="182">
        <f t="shared" si="10"/>
        <v>1.25</v>
      </c>
      <c r="BJ77" s="35" t="s">
        <v>170</v>
      </c>
    </row>
    <row r="78" spans="57:62" x14ac:dyDescent="0.3">
      <c r="BE78" s="182" t="str">
        <f t="shared" si="11"/>
        <v>TS10x10x0.5625</v>
      </c>
      <c r="BF78" s="183">
        <v>10</v>
      </c>
      <c r="BG78" s="183">
        <v>10</v>
      </c>
      <c r="BH78" s="183">
        <v>0.5625</v>
      </c>
      <c r="BI78" s="182">
        <f t="shared" si="10"/>
        <v>1.125</v>
      </c>
      <c r="BJ78" s="35" t="s">
        <v>170</v>
      </c>
    </row>
    <row r="79" spans="57:62" x14ac:dyDescent="0.3">
      <c r="BE79" s="182" t="str">
        <f t="shared" si="11"/>
        <v>TS10x10x0.5</v>
      </c>
      <c r="BF79" s="183">
        <v>10</v>
      </c>
      <c r="BG79" s="183">
        <v>10</v>
      </c>
      <c r="BH79" s="183">
        <v>0.5</v>
      </c>
      <c r="BI79" s="182">
        <f t="shared" si="10"/>
        <v>1</v>
      </c>
      <c r="BJ79" s="35" t="s">
        <v>170</v>
      </c>
    </row>
    <row r="80" spans="57:62" x14ac:dyDescent="0.3">
      <c r="BE80" s="182" t="str">
        <f t="shared" si="11"/>
        <v>TS10x10x0.375</v>
      </c>
      <c r="BF80" s="183">
        <v>10</v>
      </c>
      <c r="BG80" s="183">
        <v>10</v>
      </c>
      <c r="BH80" s="183">
        <v>0.37500000000000006</v>
      </c>
      <c r="BI80" s="182">
        <f t="shared" si="10"/>
        <v>0.75000000000000011</v>
      </c>
      <c r="BJ80" s="35" t="s">
        <v>170</v>
      </c>
    </row>
    <row r="81" spans="57:62" x14ac:dyDescent="0.3">
      <c r="BE81" s="182" t="str">
        <f t="shared" si="11"/>
        <v>TS10x10x0.3125</v>
      </c>
      <c r="BF81" s="183">
        <v>10</v>
      </c>
      <c r="BG81" s="183">
        <v>10</v>
      </c>
      <c r="BH81" s="183">
        <v>0.3125</v>
      </c>
      <c r="BI81" s="182">
        <f t="shared" si="10"/>
        <v>0.625</v>
      </c>
      <c r="BJ81" s="35" t="s">
        <v>170</v>
      </c>
    </row>
    <row r="82" spans="57:62" x14ac:dyDescent="0.3">
      <c r="BE82" s="182" t="str">
        <f t="shared" si="11"/>
        <v>TS10x10x0.25</v>
      </c>
      <c r="BF82" s="183">
        <v>10</v>
      </c>
      <c r="BG82" s="183">
        <v>10</v>
      </c>
      <c r="BH82" s="183">
        <v>0.25</v>
      </c>
      <c r="BI82" s="182">
        <f t="shared" si="10"/>
        <v>0.5</v>
      </c>
      <c r="BJ82" s="35" t="s">
        <v>170</v>
      </c>
    </row>
    <row r="83" spans="57:62" x14ac:dyDescent="0.3">
      <c r="BE83" s="182" t="str">
        <f t="shared" si="11"/>
        <v>TS10x10x0.1875</v>
      </c>
      <c r="BF83" s="183">
        <v>10</v>
      </c>
      <c r="BG83" s="183">
        <v>10</v>
      </c>
      <c r="BH83" s="183">
        <v>0.18750000000000003</v>
      </c>
      <c r="BI83" s="182">
        <f t="shared" si="10"/>
        <v>0.37500000000000006</v>
      </c>
      <c r="BJ83" s="35" t="s">
        <v>170</v>
      </c>
    </row>
    <row r="84" spans="57:62" x14ac:dyDescent="0.3">
      <c r="BE84" s="35" t="str">
        <f t="shared" ref="BE84:BE114" si="12">CONCATENATE("TR",BF84,"x",BG84,"x",BH84)</f>
        <v>TR10x8x0.625</v>
      </c>
      <c r="BF84" s="184">
        <v>10</v>
      </c>
      <c r="BG84" s="184">
        <v>8</v>
      </c>
      <c r="BH84" s="184">
        <v>0.625</v>
      </c>
      <c r="BI84" s="35">
        <f t="shared" si="10"/>
        <v>1.25</v>
      </c>
      <c r="BJ84" s="35" t="s">
        <v>170</v>
      </c>
    </row>
    <row r="85" spans="57:62" x14ac:dyDescent="0.3">
      <c r="BE85" s="35" t="str">
        <f t="shared" si="12"/>
        <v>TR10x8x0.5625</v>
      </c>
      <c r="BF85" s="184">
        <v>10</v>
      </c>
      <c r="BG85" s="184">
        <v>8</v>
      </c>
      <c r="BH85" s="184">
        <v>0.5625</v>
      </c>
      <c r="BI85" s="35">
        <f t="shared" si="10"/>
        <v>1.125</v>
      </c>
      <c r="BJ85" s="35" t="s">
        <v>170</v>
      </c>
    </row>
    <row r="86" spans="57:62" x14ac:dyDescent="0.3">
      <c r="BE86" s="35" t="str">
        <f t="shared" si="12"/>
        <v>TR10x8x0.5</v>
      </c>
      <c r="BF86" s="184">
        <v>10</v>
      </c>
      <c r="BG86" s="184">
        <v>8</v>
      </c>
      <c r="BH86" s="184">
        <v>0.5</v>
      </c>
      <c r="BI86" s="35">
        <f t="shared" si="10"/>
        <v>1</v>
      </c>
      <c r="BJ86" s="35" t="s">
        <v>170</v>
      </c>
    </row>
    <row r="87" spans="57:62" x14ac:dyDescent="0.3">
      <c r="BE87" s="35" t="str">
        <f t="shared" si="12"/>
        <v>TR10x8x0.375</v>
      </c>
      <c r="BF87" s="184">
        <v>10</v>
      </c>
      <c r="BG87" s="184">
        <v>8</v>
      </c>
      <c r="BH87" s="184">
        <v>0.37500000000000006</v>
      </c>
      <c r="BI87" s="35">
        <f t="shared" si="10"/>
        <v>0.75000000000000011</v>
      </c>
      <c r="BJ87" s="35" t="s">
        <v>170</v>
      </c>
    </row>
    <row r="88" spans="57:62" x14ac:dyDescent="0.3">
      <c r="BE88" s="35" t="str">
        <f t="shared" si="12"/>
        <v>TR10x8x0.3125</v>
      </c>
      <c r="BF88" s="184">
        <v>10</v>
      </c>
      <c r="BG88" s="184">
        <v>8</v>
      </c>
      <c r="BH88" s="184">
        <v>0.3125</v>
      </c>
      <c r="BI88" s="35">
        <f t="shared" si="10"/>
        <v>0.625</v>
      </c>
      <c r="BJ88" s="35" t="s">
        <v>170</v>
      </c>
    </row>
    <row r="89" spans="57:62" x14ac:dyDescent="0.3">
      <c r="BE89" s="35" t="str">
        <f t="shared" si="12"/>
        <v>TR10x8x0.25</v>
      </c>
      <c r="BF89" s="184">
        <v>10</v>
      </c>
      <c r="BG89" s="184">
        <v>8</v>
      </c>
      <c r="BH89" s="184">
        <v>0.25</v>
      </c>
      <c r="BI89" s="35">
        <f t="shared" si="10"/>
        <v>0.5</v>
      </c>
      <c r="BJ89" s="35" t="s">
        <v>170</v>
      </c>
    </row>
    <row r="90" spans="57:62" x14ac:dyDescent="0.3">
      <c r="BE90" s="35" t="str">
        <f t="shared" si="12"/>
        <v>TR10x8x0.1875</v>
      </c>
      <c r="BF90" s="184">
        <v>10</v>
      </c>
      <c r="BG90" s="184">
        <v>8</v>
      </c>
      <c r="BH90" s="184">
        <v>0.18750000000000003</v>
      </c>
      <c r="BI90" s="35">
        <f t="shared" si="10"/>
        <v>0.37500000000000006</v>
      </c>
      <c r="BJ90" s="35" t="s">
        <v>170</v>
      </c>
    </row>
    <row r="91" spans="57:62" x14ac:dyDescent="0.3">
      <c r="BE91" s="35" t="str">
        <f t="shared" si="12"/>
        <v>TR10x6x0.625</v>
      </c>
      <c r="BF91" s="184">
        <v>10</v>
      </c>
      <c r="BG91" s="184">
        <v>6.0000000000000009</v>
      </c>
      <c r="BH91" s="184">
        <v>0.625</v>
      </c>
      <c r="BI91" s="35">
        <f t="shared" si="10"/>
        <v>1.25</v>
      </c>
      <c r="BJ91" s="35" t="s">
        <v>170</v>
      </c>
    </row>
    <row r="92" spans="57:62" x14ac:dyDescent="0.3">
      <c r="BE92" s="35" t="str">
        <f t="shared" si="12"/>
        <v>TR10x6x0.5625</v>
      </c>
      <c r="BF92" s="184">
        <v>10</v>
      </c>
      <c r="BG92" s="184">
        <v>6.0000000000000009</v>
      </c>
      <c r="BH92" s="184">
        <v>0.5625</v>
      </c>
      <c r="BI92" s="35">
        <f t="shared" si="10"/>
        <v>1.125</v>
      </c>
      <c r="BJ92" s="35" t="s">
        <v>170</v>
      </c>
    </row>
    <row r="93" spans="57:62" x14ac:dyDescent="0.3">
      <c r="BE93" s="35" t="str">
        <f t="shared" si="12"/>
        <v>TR10x6x0.5</v>
      </c>
      <c r="BF93" s="184">
        <v>10</v>
      </c>
      <c r="BG93" s="184">
        <v>6.0000000000000009</v>
      </c>
      <c r="BH93" s="184">
        <v>0.5</v>
      </c>
      <c r="BI93" s="35">
        <f t="shared" si="10"/>
        <v>1</v>
      </c>
      <c r="BJ93" s="35" t="s">
        <v>170</v>
      </c>
    </row>
    <row r="94" spans="57:62" x14ac:dyDescent="0.3">
      <c r="BE94" s="35" t="str">
        <f t="shared" si="12"/>
        <v>TR10x6x0.375</v>
      </c>
      <c r="BF94" s="184">
        <v>10</v>
      </c>
      <c r="BG94" s="184">
        <v>6.0000000000000009</v>
      </c>
      <c r="BH94" s="184">
        <v>0.37500000000000006</v>
      </c>
      <c r="BI94" s="35">
        <f t="shared" si="10"/>
        <v>0.75000000000000011</v>
      </c>
      <c r="BJ94" s="35" t="s">
        <v>170</v>
      </c>
    </row>
    <row r="95" spans="57:62" x14ac:dyDescent="0.3">
      <c r="BE95" s="35" t="str">
        <f t="shared" si="12"/>
        <v>TR10x6x0.3125</v>
      </c>
      <c r="BF95" s="184">
        <v>10</v>
      </c>
      <c r="BG95" s="184">
        <v>6.0000000000000009</v>
      </c>
      <c r="BH95" s="184">
        <v>0.3125</v>
      </c>
      <c r="BI95" s="35">
        <f t="shared" si="10"/>
        <v>0.625</v>
      </c>
      <c r="BJ95" s="35" t="s">
        <v>170</v>
      </c>
    </row>
    <row r="96" spans="57:62" x14ac:dyDescent="0.3">
      <c r="BE96" s="35" t="str">
        <f t="shared" si="12"/>
        <v>TR10x6x0.25</v>
      </c>
      <c r="BF96" s="184">
        <v>10</v>
      </c>
      <c r="BG96" s="184">
        <v>6.0000000000000009</v>
      </c>
      <c r="BH96" s="184">
        <v>0.25</v>
      </c>
      <c r="BI96" s="35">
        <f t="shared" si="10"/>
        <v>0.5</v>
      </c>
      <c r="BJ96" s="35" t="s">
        <v>170</v>
      </c>
    </row>
    <row r="97" spans="57:62" x14ac:dyDescent="0.3">
      <c r="BE97" s="35" t="str">
        <f t="shared" si="12"/>
        <v>TR10x6x0.1875</v>
      </c>
      <c r="BF97" s="184">
        <v>10</v>
      </c>
      <c r="BG97" s="184">
        <v>6.0000000000000009</v>
      </c>
      <c r="BH97" s="184">
        <v>0.18750000000000003</v>
      </c>
      <c r="BI97" s="35">
        <f t="shared" si="10"/>
        <v>0.37500000000000006</v>
      </c>
      <c r="BJ97" s="35" t="s">
        <v>170</v>
      </c>
    </row>
    <row r="98" spans="57:62" x14ac:dyDescent="0.3">
      <c r="BE98" s="35" t="str">
        <f t="shared" si="12"/>
        <v>TR10x5x0.625</v>
      </c>
      <c r="BF98" s="184">
        <v>10</v>
      </c>
      <c r="BG98" s="184">
        <v>5</v>
      </c>
      <c r="BH98" s="184">
        <v>0.625</v>
      </c>
      <c r="BI98" s="35">
        <f t="shared" si="10"/>
        <v>1.25</v>
      </c>
      <c r="BJ98" s="35" t="s">
        <v>170</v>
      </c>
    </row>
    <row r="99" spans="57:62" x14ac:dyDescent="0.3">
      <c r="BE99" s="35" t="str">
        <f t="shared" si="12"/>
        <v>TR10x5x0.5625</v>
      </c>
      <c r="BF99" s="184">
        <v>10</v>
      </c>
      <c r="BG99" s="184">
        <v>5</v>
      </c>
      <c r="BH99" s="184">
        <v>0.5625</v>
      </c>
      <c r="BI99" s="35">
        <f t="shared" si="10"/>
        <v>1.125</v>
      </c>
      <c r="BJ99" s="35" t="s">
        <v>170</v>
      </c>
    </row>
    <row r="100" spans="57:62" x14ac:dyDescent="0.3">
      <c r="BE100" s="35" t="str">
        <f t="shared" si="12"/>
        <v>TR10x5x0.5</v>
      </c>
      <c r="BF100" s="184">
        <v>10</v>
      </c>
      <c r="BG100" s="184">
        <v>5</v>
      </c>
      <c r="BH100" s="184">
        <v>0.5</v>
      </c>
      <c r="BI100" s="35">
        <f t="shared" si="10"/>
        <v>1</v>
      </c>
      <c r="BJ100" s="35" t="s">
        <v>170</v>
      </c>
    </row>
    <row r="101" spans="57:62" x14ac:dyDescent="0.3">
      <c r="BE101" s="35" t="str">
        <f t="shared" si="12"/>
        <v>TR10x5x0.375</v>
      </c>
      <c r="BF101" s="184">
        <v>10</v>
      </c>
      <c r="BG101" s="184">
        <v>5</v>
      </c>
      <c r="BH101" s="184">
        <v>0.37500000000000006</v>
      </c>
      <c r="BI101" s="35">
        <f t="shared" si="10"/>
        <v>0.75000000000000011</v>
      </c>
      <c r="BJ101" s="35" t="s">
        <v>170</v>
      </c>
    </row>
    <row r="102" spans="57:62" x14ac:dyDescent="0.3">
      <c r="BE102" s="35" t="str">
        <f t="shared" si="12"/>
        <v>TR10x5x0.3125</v>
      </c>
      <c r="BF102" s="184">
        <v>10</v>
      </c>
      <c r="BG102" s="184">
        <v>5</v>
      </c>
      <c r="BH102" s="184">
        <v>0.3125</v>
      </c>
      <c r="BI102" s="35">
        <f t="shared" si="10"/>
        <v>0.625</v>
      </c>
      <c r="BJ102" s="35" t="s">
        <v>170</v>
      </c>
    </row>
    <row r="103" spans="57:62" x14ac:dyDescent="0.3">
      <c r="BE103" s="35" t="str">
        <f t="shared" si="12"/>
        <v>TR10x5x0.25</v>
      </c>
      <c r="BF103" s="184">
        <v>10</v>
      </c>
      <c r="BG103" s="184">
        <v>5</v>
      </c>
      <c r="BH103" s="184">
        <v>0.25</v>
      </c>
      <c r="BI103" s="35">
        <f t="shared" si="10"/>
        <v>0.5</v>
      </c>
      <c r="BJ103" s="35" t="s">
        <v>170</v>
      </c>
    </row>
    <row r="104" spans="57:62" x14ac:dyDescent="0.3">
      <c r="BE104" s="35" t="str">
        <f t="shared" si="12"/>
        <v>TR10x5x0.1875</v>
      </c>
      <c r="BF104" s="184">
        <v>10</v>
      </c>
      <c r="BG104" s="184">
        <v>5</v>
      </c>
      <c r="BH104" s="184">
        <v>0.18750000000000003</v>
      </c>
      <c r="BI104" s="35">
        <f t="shared" si="10"/>
        <v>0.37500000000000006</v>
      </c>
      <c r="BJ104" s="35" t="s">
        <v>170</v>
      </c>
    </row>
    <row r="105" spans="57:62" x14ac:dyDescent="0.3">
      <c r="BE105" s="35" t="str">
        <f t="shared" si="12"/>
        <v>TR10x4x0.5625</v>
      </c>
      <c r="BF105" s="184">
        <v>10</v>
      </c>
      <c r="BG105" s="184">
        <v>4</v>
      </c>
      <c r="BH105" s="184">
        <v>0.5625</v>
      </c>
      <c r="BI105" s="35">
        <f t="shared" si="10"/>
        <v>1.125</v>
      </c>
      <c r="BJ105" s="35" t="s">
        <v>170</v>
      </c>
    </row>
    <row r="106" spans="57:62" x14ac:dyDescent="0.3">
      <c r="BE106" s="35" t="str">
        <f t="shared" si="12"/>
        <v>TR10x4x0.5</v>
      </c>
      <c r="BF106" s="184">
        <v>10</v>
      </c>
      <c r="BG106" s="184">
        <v>4</v>
      </c>
      <c r="BH106" s="184">
        <v>0.5</v>
      </c>
      <c r="BI106" s="35">
        <f t="shared" si="10"/>
        <v>1</v>
      </c>
      <c r="BJ106" s="35" t="s">
        <v>170</v>
      </c>
    </row>
    <row r="107" spans="57:62" x14ac:dyDescent="0.3">
      <c r="BE107" s="35" t="str">
        <f t="shared" si="12"/>
        <v>TR10x4x0.375</v>
      </c>
      <c r="BF107" s="184">
        <v>10</v>
      </c>
      <c r="BG107" s="184">
        <v>4</v>
      </c>
      <c r="BH107" s="184">
        <v>0.37500000000000006</v>
      </c>
      <c r="BI107" s="35">
        <f t="shared" si="10"/>
        <v>0.75000000000000011</v>
      </c>
      <c r="BJ107" s="35" t="s">
        <v>170</v>
      </c>
    </row>
    <row r="108" spans="57:62" x14ac:dyDescent="0.3">
      <c r="BE108" s="35" t="str">
        <f t="shared" si="12"/>
        <v>TR10x4x0.3125</v>
      </c>
      <c r="BF108" s="184">
        <v>10</v>
      </c>
      <c r="BG108" s="184">
        <v>4</v>
      </c>
      <c r="BH108" s="184">
        <v>0.3125</v>
      </c>
      <c r="BI108" s="35">
        <f t="shared" si="10"/>
        <v>0.625</v>
      </c>
      <c r="BJ108" s="35" t="s">
        <v>170</v>
      </c>
    </row>
    <row r="109" spans="57:62" x14ac:dyDescent="0.3">
      <c r="BE109" s="35" t="str">
        <f t="shared" si="12"/>
        <v>TR10x4x0.25</v>
      </c>
      <c r="BF109" s="184">
        <v>10</v>
      </c>
      <c r="BG109" s="184">
        <v>4</v>
      </c>
      <c r="BH109" s="184">
        <v>0.25</v>
      </c>
      <c r="BI109" s="35">
        <f t="shared" si="10"/>
        <v>0.5</v>
      </c>
      <c r="BJ109" s="35" t="s">
        <v>170</v>
      </c>
    </row>
    <row r="110" spans="57:62" x14ac:dyDescent="0.3">
      <c r="BE110" s="35" t="str">
        <f t="shared" si="12"/>
        <v>TR10x4x0.1875</v>
      </c>
      <c r="BF110" s="184">
        <v>10</v>
      </c>
      <c r="BG110" s="184">
        <v>4</v>
      </c>
      <c r="BH110" s="184">
        <v>0.18750000000000003</v>
      </c>
      <c r="BI110" s="35">
        <f t="shared" si="10"/>
        <v>0.37500000000000006</v>
      </c>
      <c r="BJ110" s="35" t="s">
        <v>170</v>
      </c>
    </row>
    <row r="111" spans="57:62" x14ac:dyDescent="0.3">
      <c r="BE111" s="35" t="str">
        <f t="shared" si="12"/>
        <v>TR10x2x0.375</v>
      </c>
      <c r="BF111" s="184">
        <v>10</v>
      </c>
      <c r="BG111" s="184">
        <v>2</v>
      </c>
      <c r="BH111" s="184">
        <v>0.37500000000000006</v>
      </c>
      <c r="BI111" s="35">
        <f t="shared" si="10"/>
        <v>0.75000000000000011</v>
      </c>
      <c r="BJ111" s="35" t="s">
        <v>170</v>
      </c>
    </row>
    <row r="112" spans="57:62" x14ac:dyDescent="0.3">
      <c r="BE112" s="35" t="str">
        <f t="shared" si="12"/>
        <v>TR10x2x0.3125</v>
      </c>
      <c r="BF112" s="184">
        <v>10</v>
      </c>
      <c r="BG112" s="184">
        <v>2</v>
      </c>
      <c r="BH112" s="184">
        <v>0.3125</v>
      </c>
      <c r="BI112" s="35">
        <f t="shared" si="10"/>
        <v>0.625</v>
      </c>
      <c r="BJ112" s="35" t="s">
        <v>170</v>
      </c>
    </row>
    <row r="113" spans="57:62" x14ac:dyDescent="0.3">
      <c r="BE113" s="35" t="str">
        <f t="shared" si="12"/>
        <v>TR10x2x0.25</v>
      </c>
      <c r="BF113" s="184">
        <v>10</v>
      </c>
      <c r="BG113" s="184">
        <v>2</v>
      </c>
      <c r="BH113" s="184">
        <v>0.25</v>
      </c>
      <c r="BI113" s="35">
        <f t="shared" si="10"/>
        <v>0.5</v>
      </c>
      <c r="BJ113" s="35" t="s">
        <v>170</v>
      </c>
    </row>
    <row r="114" spans="57:62" x14ac:dyDescent="0.3">
      <c r="BE114" s="35" t="str">
        <f t="shared" si="12"/>
        <v>TR10x2x0.1875</v>
      </c>
      <c r="BF114" s="184">
        <v>10</v>
      </c>
      <c r="BG114" s="184">
        <v>2</v>
      </c>
      <c r="BH114" s="184">
        <v>0.18750000000000003</v>
      </c>
      <c r="BI114" s="35">
        <f t="shared" si="10"/>
        <v>0.37500000000000006</v>
      </c>
      <c r="BJ114" s="35" t="s">
        <v>170</v>
      </c>
    </row>
    <row r="115" spans="57:62" x14ac:dyDescent="0.3">
      <c r="BE115" s="182" t="str">
        <f t="shared" ref="BE115:BE121" si="13">CONCATENATE("TS",BF115,"x",BG115,"x",BH115)</f>
        <v>TS9x9x0.625</v>
      </c>
      <c r="BF115" s="183">
        <v>9</v>
      </c>
      <c r="BG115" s="183">
        <v>9</v>
      </c>
      <c r="BH115" s="183">
        <v>0.625</v>
      </c>
      <c r="BI115" s="182">
        <f t="shared" si="10"/>
        <v>1.25</v>
      </c>
      <c r="BJ115" s="35" t="s">
        <v>170</v>
      </c>
    </row>
    <row r="116" spans="57:62" x14ac:dyDescent="0.3">
      <c r="BE116" s="182" t="str">
        <f t="shared" si="13"/>
        <v>TS9x9x0.5625</v>
      </c>
      <c r="BF116" s="183">
        <v>9</v>
      </c>
      <c r="BG116" s="183">
        <v>9</v>
      </c>
      <c r="BH116" s="183">
        <v>0.5625</v>
      </c>
      <c r="BI116" s="182">
        <f t="shared" si="10"/>
        <v>1.125</v>
      </c>
      <c r="BJ116" s="35" t="s">
        <v>170</v>
      </c>
    </row>
    <row r="117" spans="57:62" x14ac:dyDescent="0.3">
      <c r="BE117" s="182" t="str">
        <f t="shared" si="13"/>
        <v>TS9x9x0.5</v>
      </c>
      <c r="BF117" s="183">
        <v>9</v>
      </c>
      <c r="BG117" s="183">
        <v>9</v>
      </c>
      <c r="BH117" s="183">
        <v>0.5</v>
      </c>
      <c r="BI117" s="182">
        <f t="shared" si="10"/>
        <v>1</v>
      </c>
      <c r="BJ117" s="35" t="s">
        <v>170</v>
      </c>
    </row>
    <row r="118" spans="57:62" x14ac:dyDescent="0.3">
      <c r="BE118" s="182" t="str">
        <f t="shared" si="13"/>
        <v>TS9x9x0.375</v>
      </c>
      <c r="BF118" s="183">
        <v>9</v>
      </c>
      <c r="BG118" s="183">
        <v>9</v>
      </c>
      <c r="BH118" s="183">
        <v>0.37500000000000006</v>
      </c>
      <c r="BI118" s="182">
        <f t="shared" si="10"/>
        <v>0.75000000000000011</v>
      </c>
      <c r="BJ118" s="35" t="s">
        <v>170</v>
      </c>
    </row>
    <row r="119" spans="57:62" x14ac:dyDescent="0.3">
      <c r="BE119" s="182" t="str">
        <f t="shared" si="13"/>
        <v>TS9x9x0.3125</v>
      </c>
      <c r="BF119" s="183">
        <v>9</v>
      </c>
      <c r="BG119" s="183">
        <v>9</v>
      </c>
      <c r="BH119" s="183">
        <v>0.3125</v>
      </c>
      <c r="BI119" s="182">
        <f t="shared" si="10"/>
        <v>0.625</v>
      </c>
      <c r="BJ119" s="35" t="s">
        <v>170</v>
      </c>
    </row>
    <row r="120" spans="57:62" x14ac:dyDescent="0.3">
      <c r="BE120" s="182" t="str">
        <f t="shared" si="13"/>
        <v>TS9x9x0.25</v>
      </c>
      <c r="BF120" s="183">
        <v>9</v>
      </c>
      <c r="BG120" s="183">
        <v>9</v>
      </c>
      <c r="BH120" s="183">
        <v>0.25</v>
      </c>
      <c r="BI120" s="182">
        <f t="shared" si="10"/>
        <v>0.5</v>
      </c>
      <c r="BJ120" s="35" t="s">
        <v>170</v>
      </c>
    </row>
    <row r="121" spans="57:62" x14ac:dyDescent="0.3">
      <c r="BE121" s="182" t="str">
        <f t="shared" si="13"/>
        <v>TS9x9x0.1875</v>
      </c>
      <c r="BF121" s="183">
        <v>9</v>
      </c>
      <c r="BG121" s="183">
        <v>9</v>
      </c>
      <c r="BH121" s="183">
        <v>0.18750000000000003</v>
      </c>
      <c r="BI121" s="182">
        <f t="shared" si="10"/>
        <v>0.37500000000000006</v>
      </c>
      <c r="BJ121" s="35" t="s">
        <v>170</v>
      </c>
    </row>
    <row r="122" spans="57:62" x14ac:dyDescent="0.3">
      <c r="BE122" s="35" t="str">
        <f t="shared" ref="BE122:BE146" si="14">CONCATENATE("TR",BF122,"x",BG122,"x",BH122)</f>
        <v>TR9x7x0.625</v>
      </c>
      <c r="BF122" s="184">
        <v>9</v>
      </c>
      <c r="BG122" s="184">
        <v>7</v>
      </c>
      <c r="BH122" s="184">
        <v>0.625</v>
      </c>
      <c r="BI122" s="35">
        <f t="shared" si="10"/>
        <v>1.25</v>
      </c>
      <c r="BJ122" s="35" t="s">
        <v>170</v>
      </c>
    </row>
    <row r="123" spans="57:62" x14ac:dyDescent="0.3">
      <c r="BE123" s="35" t="str">
        <f t="shared" si="14"/>
        <v>TR9x7x0.5625</v>
      </c>
      <c r="BF123" s="184">
        <v>9</v>
      </c>
      <c r="BG123" s="184">
        <v>7</v>
      </c>
      <c r="BH123" s="184">
        <v>0.5625</v>
      </c>
      <c r="BI123" s="35">
        <f t="shared" si="10"/>
        <v>1.125</v>
      </c>
      <c r="BJ123" s="35" t="s">
        <v>170</v>
      </c>
    </row>
    <row r="124" spans="57:62" x14ac:dyDescent="0.3">
      <c r="BE124" s="35" t="str">
        <f t="shared" si="14"/>
        <v>TR9x7x0.5</v>
      </c>
      <c r="BF124" s="184">
        <v>9</v>
      </c>
      <c r="BG124" s="184">
        <v>7</v>
      </c>
      <c r="BH124" s="184">
        <v>0.5</v>
      </c>
      <c r="BI124" s="35">
        <f t="shared" si="10"/>
        <v>1</v>
      </c>
      <c r="BJ124" s="35" t="s">
        <v>170</v>
      </c>
    </row>
    <row r="125" spans="57:62" x14ac:dyDescent="0.3">
      <c r="BE125" s="35" t="str">
        <f t="shared" si="14"/>
        <v>TR9x7x0.375</v>
      </c>
      <c r="BF125" s="184">
        <v>9</v>
      </c>
      <c r="BG125" s="184">
        <v>7</v>
      </c>
      <c r="BH125" s="184">
        <v>0.37500000000000006</v>
      </c>
      <c r="BI125" s="35">
        <f t="shared" si="10"/>
        <v>0.75000000000000011</v>
      </c>
      <c r="BJ125" s="35" t="s">
        <v>170</v>
      </c>
    </row>
    <row r="126" spans="57:62" x14ac:dyDescent="0.3">
      <c r="BE126" s="35" t="str">
        <f t="shared" si="14"/>
        <v>TR9x7x0.3125</v>
      </c>
      <c r="BF126" s="184">
        <v>9</v>
      </c>
      <c r="BG126" s="184">
        <v>7</v>
      </c>
      <c r="BH126" s="184">
        <v>0.3125</v>
      </c>
      <c r="BI126" s="35">
        <f t="shared" si="10"/>
        <v>0.625</v>
      </c>
      <c r="BJ126" s="35" t="s">
        <v>170</v>
      </c>
    </row>
    <row r="127" spans="57:62" x14ac:dyDescent="0.3">
      <c r="BE127" s="35" t="str">
        <f t="shared" si="14"/>
        <v>TR9x7x0.25</v>
      </c>
      <c r="BF127" s="184">
        <v>9</v>
      </c>
      <c r="BG127" s="184">
        <v>7</v>
      </c>
      <c r="BH127" s="184">
        <v>0.25</v>
      </c>
      <c r="BI127" s="35">
        <f t="shared" si="10"/>
        <v>0.5</v>
      </c>
      <c r="BJ127" s="35" t="s">
        <v>170</v>
      </c>
    </row>
    <row r="128" spans="57:62" x14ac:dyDescent="0.3">
      <c r="BE128" s="35" t="str">
        <f t="shared" si="14"/>
        <v>TR9x7x0.1875</v>
      </c>
      <c r="BF128" s="184">
        <v>9</v>
      </c>
      <c r="BG128" s="184">
        <v>7</v>
      </c>
      <c r="BH128" s="184">
        <v>0.18750000000000003</v>
      </c>
      <c r="BI128" s="35">
        <f t="shared" si="10"/>
        <v>0.37500000000000006</v>
      </c>
      <c r="BJ128" s="35" t="s">
        <v>170</v>
      </c>
    </row>
    <row r="129" spans="57:62" x14ac:dyDescent="0.3">
      <c r="BE129" s="35" t="str">
        <f t="shared" si="14"/>
        <v>TR9x6x0.625</v>
      </c>
      <c r="BF129" s="184">
        <v>9</v>
      </c>
      <c r="BG129" s="184">
        <v>6.0000000000000009</v>
      </c>
      <c r="BH129" s="184">
        <v>0.625</v>
      </c>
      <c r="BI129" s="35">
        <f t="shared" si="10"/>
        <v>1.25</v>
      </c>
      <c r="BJ129" s="35" t="s">
        <v>170</v>
      </c>
    </row>
    <row r="130" spans="57:62" x14ac:dyDescent="0.3">
      <c r="BE130" s="35" t="str">
        <f t="shared" si="14"/>
        <v>TR9x6x0.5625</v>
      </c>
      <c r="BF130" s="184">
        <v>9</v>
      </c>
      <c r="BG130" s="184">
        <v>6.0000000000000009</v>
      </c>
      <c r="BH130" s="184">
        <v>0.5625</v>
      </c>
      <c r="BI130" s="35">
        <f t="shared" si="10"/>
        <v>1.125</v>
      </c>
      <c r="BJ130" s="35" t="s">
        <v>170</v>
      </c>
    </row>
    <row r="131" spans="57:62" x14ac:dyDescent="0.3">
      <c r="BE131" s="35" t="str">
        <f t="shared" si="14"/>
        <v>TR9x6x0.5</v>
      </c>
      <c r="BF131" s="184">
        <v>9</v>
      </c>
      <c r="BG131" s="184">
        <v>6.0000000000000009</v>
      </c>
      <c r="BH131" s="184">
        <v>0.5</v>
      </c>
      <c r="BI131" s="35">
        <f t="shared" si="10"/>
        <v>1</v>
      </c>
      <c r="BJ131" s="35" t="s">
        <v>170</v>
      </c>
    </row>
    <row r="132" spans="57:62" x14ac:dyDescent="0.3">
      <c r="BE132" s="35" t="str">
        <f t="shared" si="14"/>
        <v>TR9x6x0.375</v>
      </c>
      <c r="BF132" s="184">
        <v>9</v>
      </c>
      <c r="BG132" s="184">
        <v>6.0000000000000009</v>
      </c>
      <c r="BH132" s="184">
        <v>0.37500000000000006</v>
      </c>
      <c r="BI132" s="35">
        <f t="shared" si="10"/>
        <v>0.75000000000000011</v>
      </c>
      <c r="BJ132" s="35" t="s">
        <v>170</v>
      </c>
    </row>
    <row r="133" spans="57:62" x14ac:dyDescent="0.3">
      <c r="BE133" s="35" t="str">
        <f t="shared" si="14"/>
        <v>TR9x6x0.3125</v>
      </c>
      <c r="BF133" s="184">
        <v>9</v>
      </c>
      <c r="BG133" s="184">
        <v>6.0000000000000009</v>
      </c>
      <c r="BH133" s="184">
        <v>0.3125</v>
      </c>
      <c r="BI133" s="35">
        <f t="shared" ref="BI133:BI196" si="15">BH133*2</f>
        <v>0.625</v>
      </c>
      <c r="BJ133" s="35" t="s">
        <v>170</v>
      </c>
    </row>
    <row r="134" spans="57:62" x14ac:dyDescent="0.3">
      <c r="BE134" s="35" t="str">
        <f t="shared" si="14"/>
        <v>TR9x6x0.25</v>
      </c>
      <c r="BF134" s="184">
        <v>9</v>
      </c>
      <c r="BG134" s="184">
        <v>6.0000000000000009</v>
      </c>
      <c r="BH134" s="184">
        <v>0.25</v>
      </c>
      <c r="BI134" s="35">
        <f t="shared" si="15"/>
        <v>0.5</v>
      </c>
      <c r="BJ134" s="35" t="s">
        <v>170</v>
      </c>
    </row>
    <row r="135" spans="57:62" x14ac:dyDescent="0.3">
      <c r="BE135" s="35" t="str">
        <f t="shared" si="14"/>
        <v>TR9x6x0.1875</v>
      </c>
      <c r="BF135" s="184">
        <v>9</v>
      </c>
      <c r="BG135" s="184">
        <v>6.0000000000000009</v>
      </c>
      <c r="BH135" s="184">
        <v>0.18750000000000003</v>
      </c>
      <c r="BI135" s="35">
        <f t="shared" si="15"/>
        <v>0.37500000000000006</v>
      </c>
      <c r="BJ135" s="35" t="s">
        <v>170</v>
      </c>
    </row>
    <row r="136" spans="57:62" x14ac:dyDescent="0.3">
      <c r="BE136" s="35" t="str">
        <f t="shared" si="14"/>
        <v>TR9x5x0.5625</v>
      </c>
      <c r="BF136" s="184">
        <v>9</v>
      </c>
      <c r="BG136" s="184">
        <v>5</v>
      </c>
      <c r="BH136" s="184">
        <v>0.5625</v>
      </c>
      <c r="BI136" s="35">
        <f t="shared" si="15"/>
        <v>1.125</v>
      </c>
      <c r="BJ136" s="35" t="s">
        <v>170</v>
      </c>
    </row>
    <row r="137" spans="57:62" x14ac:dyDescent="0.3">
      <c r="BE137" s="35" t="str">
        <f t="shared" si="14"/>
        <v>TR9x5x0.5</v>
      </c>
      <c r="BF137" s="184">
        <v>9</v>
      </c>
      <c r="BG137" s="184">
        <v>5</v>
      </c>
      <c r="BH137" s="184">
        <v>0.5</v>
      </c>
      <c r="BI137" s="35">
        <f t="shared" si="15"/>
        <v>1</v>
      </c>
      <c r="BJ137" s="35" t="s">
        <v>170</v>
      </c>
    </row>
    <row r="138" spans="57:62" x14ac:dyDescent="0.3">
      <c r="BE138" s="35" t="str">
        <f t="shared" si="14"/>
        <v>TR9x5x0.375</v>
      </c>
      <c r="BF138" s="184">
        <v>9</v>
      </c>
      <c r="BG138" s="184">
        <v>5</v>
      </c>
      <c r="BH138" s="184">
        <v>0.37500000000000006</v>
      </c>
      <c r="BI138" s="35">
        <f t="shared" si="15"/>
        <v>0.75000000000000011</v>
      </c>
      <c r="BJ138" s="35" t="s">
        <v>170</v>
      </c>
    </row>
    <row r="139" spans="57:62" x14ac:dyDescent="0.3">
      <c r="BE139" s="35" t="str">
        <f t="shared" si="14"/>
        <v>TR9x5x0.3125</v>
      </c>
      <c r="BF139" s="184">
        <v>9</v>
      </c>
      <c r="BG139" s="184">
        <v>5</v>
      </c>
      <c r="BH139" s="184">
        <v>0.3125</v>
      </c>
      <c r="BI139" s="35">
        <f t="shared" si="15"/>
        <v>0.625</v>
      </c>
      <c r="BJ139" s="35" t="s">
        <v>170</v>
      </c>
    </row>
    <row r="140" spans="57:62" x14ac:dyDescent="0.3">
      <c r="BE140" s="35" t="str">
        <f t="shared" si="14"/>
        <v>TR9x5x0.25</v>
      </c>
      <c r="BF140" s="184">
        <v>9</v>
      </c>
      <c r="BG140" s="184">
        <v>5</v>
      </c>
      <c r="BH140" s="184">
        <v>0.25</v>
      </c>
      <c r="BI140" s="35">
        <f t="shared" si="15"/>
        <v>0.5</v>
      </c>
      <c r="BJ140" s="35" t="s">
        <v>170</v>
      </c>
    </row>
    <row r="141" spans="57:62" x14ac:dyDescent="0.3">
      <c r="BE141" s="35" t="str">
        <f t="shared" si="14"/>
        <v>TR9x5x0.1875</v>
      </c>
      <c r="BF141" s="184">
        <v>9</v>
      </c>
      <c r="BG141" s="184">
        <v>5</v>
      </c>
      <c r="BH141" s="184">
        <v>0.18750000000000003</v>
      </c>
      <c r="BI141" s="35">
        <f t="shared" si="15"/>
        <v>0.37500000000000006</v>
      </c>
      <c r="BJ141" s="35" t="s">
        <v>170</v>
      </c>
    </row>
    <row r="142" spans="57:62" x14ac:dyDescent="0.3">
      <c r="BE142" s="35" t="str">
        <f t="shared" si="14"/>
        <v>TR9x3x0.5</v>
      </c>
      <c r="BF142" s="184">
        <v>9</v>
      </c>
      <c r="BG142" s="184">
        <v>3.0000000000000004</v>
      </c>
      <c r="BH142" s="184">
        <v>0.5</v>
      </c>
      <c r="BI142" s="35">
        <f t="shared" si="15"/>
        <v>1</v>
      </c>
      <c r="BJ142" s="35" t="s">
        <v>170</v>
      </c>
    </row>
    <row r="143" spans="57:62" x14ac:dyDescent="0.3">
      <c r="BE143" s="35" t="str">
        <f t="shared" si="14"/>
        <v>TR9x3x0.375</v>
      </c>
      <c r="BF143" s="184">
        <v>9</v>
      </c>
      <c r="BG143" s="184">
        <v>3.0000000000000004</v>
      </c>
      <c r="BH143" s="184">
        <v>0.37500000000000006</v>
      </c>
      <c r="BI143" s="35">
        <f t="shared" si="15"/>
        <v>0.75000000000000011</v>
      </c>
      <c r="BJ143" s="35" t="s">
        <v>170</v>
      </c>
    </row>
    <row r="144" spans="57:62" x14ac:dyDescent="0.3">
      <c r="BE144" s="35" t="str">
        <f t="shared" si="14"/>
        <v>TR9x3x0.3125</v>
      </c>
      <c r="BF144" s="184">
        <v>9</v>
      </c>
      <c r="BG144" s="184">
        <v>3.0000000000000004</v>
      </c>
      <c r="BH144" s="184">
        <v>0.3125</v>
      </c>
      <c r="BI144" s="35">
        <f t="shared" si="15"/>
        <v>0.625</v>
      </c>
      <c r="BJ144" s="35" t="s">
        <v>170</v>
      </c>
    </row>
    <row r="145" spans="57:62" x14ac:dyDescent="0.3">
      <c r="BE145" s="35" t="str">
        <f t="shared" si="14"/>
        <v>TR9x3x0.25</v>
      </c>
      <c r="BF145" s="184">
        <v>9</v>
      </c>
      <c r="BG145" s="184">
        <v>3.0000000000000004</v>
      </c>
      <c r="BH145" s="184">
        <v>0.25</v>
      </c>
      <c r="BI145" s="35">
        <f t="shared" si="15"/>
        <v>0.5</v>
      </c>
      <c r="BJ145" s="35" t="s">
        <v>170</v>
      </c>
    </row>
    <row r="146" spans="57:62" x14ac:dyDescent="0.3">
      <c r="BE146" s="35" t="str">
        <f t="shared" si="14"/>
        <v>TR9x3x0.1875</v>
      </c>
      <c r="BF146" s="184">
        <v>9</v>
      </c>
      <c r="BG146" s="184">
        <v>3.0000000000000004</v>
      </c>
      <c r="BH146" s="184">
        <v>0.18750000000000003</v>
      </c>
      <c r="BI146" s="35">
        <f t="shared" si="15"/>
        <v>0.37500000000000006</v>
      </c>
      <c r="BJ146" s="35" t="s">
        <v>170</v>
      </c>
    </row>
    <row r="147" spans="57:62" x14ac:dyDescent="0.3">
      <c r="BE147" s="182" t="str">
        <f t="shared" ref="BE147:BE153" si="16">CONCATENATE("TS",BF147,"x",BG147,"x",BH147)</f>
        <v>TS8x8x0.625</v>
      </c>
      <c r="BF147" s="183">
        <v>8</v>
      </c>
      <c r="BG147" s="183">
        <v>8</v>
      </c>
      <c r="BH147" s="183">
        <v>0.625</v>
      </c>
      <c r="BI147" s="182">
        <f t="shared" si="15"/>
        <v>1.25</v>
      </c>
      <c r="BJ147" s="35" t="s">
        <v>170</v>
      </c>
    </row>
    <row r="148" spans="57:62" x14ac:dyDescent="0.3">
      <c r="BE148" s="182" t="str">
        <f t="shared" si="16"/>
        <v>TS8x8x0.5625</v>
      </c>
      <c r="BF148" s="183">
        <v>8</v>
      </c>
      <c r="BG148" s="183">
        <v>8</v>
      </c>
      <c r="BH148" s="183">
        <v>0.5625</v>
      </c>
      <c r="BI148" s="182">
        <f t="shared" si="15"/>
        <v>1.125</v>
      </c>
      <c r="BJ148" s="35" t="s">
        <v>170</v>
      </c>
    </row>
    <row r="149" spans="57:62" x14ac:dyDescent="0.3">
      <c r="BE149" s="182" t="str">
        <f t="shared" si="16"/>
        <v>TS8x8x0.5</v>
      </c>
      <c r="BF149" s="183">
        <v>8</v>
      </c>
      <c r="BG149" s="183">
        <v>8</v>
      </c>
      <c r="BH149" s="183">
        <v>0.5</v>
      </c>
      <c r="BI149" s="182">
        <f t="shared" si="15"/>
        <v>1</v>
      </c>
      <c r="BJ149" s="35" t="s">
        <v>170</v>
      </c>
    </row>
    <row r="150" spans="57:62" x14ac:dyDescent="0.3">
      <c r="BE150" s="182" t="str">
        <f t="shared" si="16"/>
        <v>TS8x8x0.375</v>
      </c>
      <c r="BF150" s="183">
        <v>8</v>
      </c>
      <c r="BG150" s="183">
        <v>8</v>
      </c>
      <c r="BH150" s="183">
        <v>0.37500000000000006</v>
      </c>
      <c r="BI150" s="182">
        <f t="shared" si="15"/>
        <v>0.75000000000000011</v>
      </c>
      <c r="BJ150" s="35" t="s">
        <v>170</v>
      </c>
    </row>
    <row r="151" spans="57:62" x14ac:dyDescent="0.3">
      <c r="BE151" s="182" t="str">
        <f t="shared" si="16"/>
        <v>TS8x8x0.3125</v>
      </c>
      <c r="BF151" s="183">
        <v>8</v>
      </c>
      <c r="BG151" s="183">
        <v>8</v>
      </c>
      <c r="BH151" s="183">
        <v>0.3125</v>
      </c>
      <c r="BI151" s="182">
        <f t="shared" si="15"/>
        <v>0.625</v>
      </c>
      <c r="BJ151" s="35" t="s">
        <v>170</v>
      </c>
    </row>
    <row r="152" spans="57:62" x14ac:dyDescent="0.3">
      <c r="BE152" s="182" t="str">
        <f t="shared" si="16"/>
        <v>TS8x8x0.25</v>
      </c>
      <c r="BF152" s="183">
        <v>8</v>
      </c>
      <c r="BG152" s="183">
        <v>8</v>
      </c>
      <c r="BH152" s="183">
        <v>0.25</v>
      </c>
      <c r="BI152" s="182">
        <f t="shared" si="15"/>
        <v>0.5</v>
      </c>
      <c r="BJ152" s="35" t="s">
        <v>170</v>
      </c>
    </row>
    <row r="153" spans="57:62" x14ac:dyDescent="0.3">
      <c r="BE153" s="182" t="str">
        <f t="shared" si="16"/>
        <v>TS8x8x0.1875</v>
      </c>
      <c r="BF153" s="183">
        <v>8</v>
      </c>
      <c r="BG153" s="183">
        <v>8</v>
      </c>
      <c r="BH153" s="183">
        <v>0.18750000000000003</v>
      </c>
      <c r="BI153" s="182">
        <f t="shared" si="15"/>
        <v>0.37500000000000006</v>
      </c>
      <c r="BJ153" s="35" t="s">
        <v>170</v>
      </c>
    </row>
    <row r="154" spans="57:62" x14ac:dyDescent="0.3">
      <c r="BE154" s="35" t="str">
        <f t="shared" ref="BE154:BE174" si="17">CONCATENATE("TR",BF154,"x",BG154,"x",BH154)</f>
        <v>TR8x6x0.5625</v>
      </c>
      <c r="BF154" s="184">
        <v>8</v>
      </c>
      <c r="BG154" s="184">
        <v>6.0000000000000009</v>
      </c>
      <c r="BH154" s="184">
        <v>0.5625</v>
      </c>
      <c r="BI154" s="35">
        <f t="shared" si="15"/>
        <v>1.125</v>
      </c>
      <c r="BJ154" s="35" t="s">
        <v>170</v>
      </c>
    </row>
    <row r="155" spans="57:62" x14ac:dyDescent="0.3">
      <c r="BE155" s="35" t="str">
        <f t="shared" si="17"/>
        <v>TR8x6x0.5</v>
      </c>
      <c r="BF155" s="184">
        <v>8</v>
      </c>
      <c r="BG155" s="184">
        <v>6.0000000000000009</v>
      </c>
      <c r="BH155" s="184">
        <v>0.5</v>
      </c>
      <c r="BI155" s="35">
        <f t="shared" si="15"/>
        <v>1</v>
      </c>
      <c r="BJ155" s="35" t="s">
        <v>170</v>
      </c>
    </row>
    <row r="156" spans="57:62" x14ac:dyDescent="0.3">
      <c r="BE156" s="35" t="str">
        <f t="shared" si="17"/>
        <v>TR8x6x0.375</v>
      </c>
      <c r="BF156" s="184">
        <v>8</v>
      </c>
      <c r="BG156" s="184">
        <v>6.0000000000000009</v>
      </c>
      <c r="BH156" s="184">
        <v>0.37500000000000006</v>
      </c>
      <c r="BI156" s="35">
        <f t="shared" si="15"/>
        <v>0.75000000000000011</v>
      </c>
      <c r="BJ156" s="35" t="s">
        <v>170</v>
      </c>
    </row>
    <row r="157" spans="57:62" x14ac:dyDescent="0.3">
      <c r="BE157" s="35" t="str">
        <f t="shared" si="17"/>
        <v>TR8x6x0.3125</v>
      </c>
      <c r="BF157" s="184">
        <v>8</v>
      </c>
      <c r="BG157" s="184">
        <v>6.0000000000000009</v>
      </c>
      <c r="BH157" s="184">
        <v>0.3125</v>
      </c>
      <c r="BI157" s="35">
        <f t="shared" si="15"/>
        <v>0.625</v>
      </c>
      <c r="BJ157" s="35" t="s">
        <v>170</v>
      </c>
    </row>
    <row r="158" spans="57:62" x14ac:dyDescent="0.3">
      <c r="BE158" s="35" t="str">
        <f t="shared" si="17"/>
        <v>TR8x6x0.25</v>
      </c>
      <c r="BF158" s="184">
        <v>8</v>
      </c>
      <c r="BG158" s="184">
        <v>6.0000000000000009</v>
      </c>
      <c r="BH158" s="184">
        <v>0.25</v>
      </c>
      <c r="BI158" s="35">
        <f t="shared" si="15"/>
        <v>0.5</v>
      </c>
      <c r="BJ158" s="35" t="s">
        <v>170</v>
      </c>
    </row>
    <row r="159" spans="57:62" x14ac:dyDescent="0.3">
      <c r="BE159" s="35" t="str">
        <f t="shared" si="17"/>
        <v>TR8x6x0.1875</v>
      </c>
      <c r="BF159" s="184">
        <v>8</v>
      </c>
      <c r="BG159" s="184">
        <v>6.0000000000000009</v>
      </c>
      <c r="BH159" s="184">
        <v>0.18750000000000003</v>
      </c>
      <c r="BI159" s="35">
        <f t="shared" si="15"/>
        <v>0.37500000000000006</v>
      </c>
      <c r="BJ159" s="35" t="s">
        <v>170</v>
      </c>
    </row>
    <row r="160" spans="57:62" x14ac:dyDescent="0.3">
      <c r="BE160" s="35" t="str">
        <f t="shared" si="17"/>
        <v>TR8x4x0.5625</v>
      </c>
      <c r="BF160" s="184">
        <v>8</v>
      </c>
      <c r="BG160" s="184">
        <v>4</v>
      </c>
      <c r="BH160" s="184">
        <v>0.5625</v>
      </c>
      <c r="BI160" s="35">
        <f t="shared" si="15"/>
        <v>1.125</v>
      </c>
      <c r="BJ160" s="35" t="s">
        <v>170</v>
      </c>
    </row>
    <row r="161" spans="57:62" x14ac:dyDescent="0.3">
      <c r="BE161" s="35" t="str">
        <f t="shared" si="17"/>
        <v>TR8x4x0.5</v>
      </c>
      <c r="BF161" s="184">
        <v>8</v>
      </c>
      <c r="BG161" s="184">
        <v>4</v>
      </c>
      <c r="BH161" s="184">
        <v>0.5</v>
      </c>
      <c r="BI161" s="35">
        <f t="shared" si="15"/>
        <v>1</v>
      </c>
      <c r="BJ161" s="35" t="s">
        <v>170</v>
      </c>
    </row>
    <row r="162" spans="57:62" x14ac:dyDescent="0.3">
      <c r="BE162" s="35" t="str">
        <f t="shared" si="17"/>
        <v>TR8x4x0.375</v>
      </c>
      <c r="BF162" s="184">
        <v>8</v>
      </c>
      <c r="BG162" s="184">
        <v>4</v>
      </c>
      <c r="BH162" s="184">
        <v>0.37500000000000006</v>
      </c>
      <c r="BI162" s="35">
        <f t="shared" si="15"/>
        <v>0.75000000000000011</v>
      </c>
      <c r="BJ162" s="35" t="s">
        <v>170</v>
      </c>
    </row>
    <row r="163" spans="57:62" x14ac:dyDescent="0.3">
      <c r="BE163" s="35" t="str">
        <f t="shared" si="17"/>
        <v>TR8x4x0.3125</v>
      </c>
      <c r="BF163" s="184">
        <v>8</v>
      </c>
      <c r="BG163" s="184">
        <v>4</v>
      </c>
      <c r="BH163" s="184">
        <v>0.3125</v>
      </c>
      <c r="BI163" s="35">
        <f t="shared" si="15"/>
        <v>0.625</v>
      </c>
      <c r="BJ163" s="35" t="s">
        <v>170</v>
      </c>
    </row>
    <row r="164" spans="57:62" x14ac:dyDescent="0.3">
      <c r="BE164" s="35" t="str">
        <f t="shared" si="17"/>
        <v>TR8x4x0.25</v>
      </c>
      <c r="BF164" s="184">
        <v>8</v>
      </c>
      <c r="BG164" s="184">
        <v>4</v>
      </c>
      <c r="BH164" s="184">
        <v>0.25</v>
      </c>
      <c r="BI164" s="35">
        <f t="shared" si="15"/>
        <v>0.5</v>
      </c>
      <c r="BJ164" s="35" t="s">
        <v>170</v>
      </c>
    </row>
    <row r="165" spans="57:62" x14ac:dyDescent="0.3">
      <c r="BE165" s="35" t="str">
        <f t="shared" si="17"/>
        <v>TR8x4x0.1875</v>
      </c>
      <c r="BF165" s="184">
        <v>8</v>
      </c>
      <c r="BG165" s="184">
        <v>4</v>
      </c>
      <c r="BH165" s="184">
        <v>0.18750000000000003</v>
      </c>
      <c r="BI165" s="35">
        <f t="shared" si="15"/>
        <v>0.37500000000000006</v>
      </c>
      <c r="BJ165" s="35" t="s">
        <v>170</v>
      </c>
    </row>
    <row r="166" spans="57:62" x14ac:dyDescent="0.3">
      <c r="BE166" s="35" t="str">
        <f t="shared" si="17"/>
        <v>TR8x3x0.5</v>
      </c>
      <c r="BF166" s="184">
        <v>8</v>
      </c>
      <c r="BG166" s="184">
        <v>3.0000000000000004</v>
      </c>
      <c r="BH166" s="184">
        <v>0.5</v>
      </c>
      <c r="BI166" s="35">
        <f t="shared" si="15"/>
        <v>1</v>
      </c>
      <c r="BJ166" s="35" t="s">
        <v>170</v>
      </c>
    </row>
    <row r="167" spans="57:62" x14ac:dyDescent="0.3">
      <c r="BE167" s="35" t="str">
        <f t="shared" si="17"/>
        <v>TR8x3x0.375</v>
      </c>
      <c r="BF167" s="184">
        <v>8</v>
      </c>
      <c r="BG167" s="184">
        <v>3.0000000000000004</v>
      </c>
      <c r="BH167" s="184">
        <v>0.37500000000000006</v>
      </c>
      <c r="BI167" s="35">
        <f t="shared" si="15"/>
        <v>0.75000000000000011</v>
      </c>
      <c r="BJ167" s="35" t="s">
        <v>170</v>
      </c>
    </row>
    <row r="168" spans="57:62" x14ac:dyDescent="0.3">
      <c r="BE168" s="35" t="str">
        <f t="shared" si="17"/>
        <v>TR8x3x0.3125</v>
      </c>
      <c r="BF168" s="184">
        <v>8</v>
      </c>
      <c r="BG168" s="184">
        <v>3.0000000000000004</v>
      </c>
      <c r="BH168" s="184">
        <v>0.3125</v>
      </c>
      <c r="BI168" s="35">
        <f t="shared" si="15"/>
        <v>0.625</v>
      </c>
      <c r="BJ168" s="35" t="s">
        <v>170</v>
      </c>
    </row>
    <row r="169" spans="57:62" x14ac:dyDescent="0.3">
      <c r="BE169" s="35" t="str">
        <f t="shared" si="17"/>
        <v>TR8x3x0.25</v>
      </c>
      <c r="BF169" s="184">
        <v>8</v>
      </c>
      <c r="BG169" s="184">
        <v>3.0000000000000004</v>
      </c>
      <c r="BH169" s="184">
        <v>0.25</v>
      </c>
      <c r="BI169" s="35">
        <f t="shared" si="15"/>
        <v>0.5</v>
      </c>
      <c r="BJ169" s="35" t="s">
        <v>170</v>
      </c>
    </row>
    <row r="170" spans="57:62" x14ac:dyDescent="0.3">
      <c r="BE170" s="35" t="str">
        <f t="shared" si="17"/>
        <v>TR8x3x0.1875</v>
      </c>
      <c r="BF170" s="184">
        <v>8</v>
      </c>
      <c r="BG170" s="184">
        <v>3.0000000000000004</v>
      </c>
      <c r="BH170" s="184">
        <v>0.18750000000000003</v>
      </c>
      <c r="BI170" s="35">
        <f t="shared" si="15"/>
        <v>0.37500000000000006</v>
      </c>
      <c r="BJ170" s="35" t="s">
        <v>170</v>
      </c>
    </row>
    <row r="171" spans="57:62" x14ac:dyDescent="0.3">
      <c r="BE171" s="35" t="str">
        <f t="shared" si="17"/>
        <v>TR8x2x0.375</v>
      </c>
      <c r="BF171" s="184">
        <v>8</v>
      </c>
      <c r="BG171" s="184">
        <v>2</v>
      </c>
      <c r="BH171" s="184">
        <v>0.37500000000000006</v>
      </c>
      <c r="BI171" s="35">
        <f t="shared" si="15"/>
        <v>0.75000000000000011</v>
      </c>
      <c r="BJ171" s="35" t="s">
        <v>170</v>
      </c>
    </row>
    <row r="172" spans="57:62" x14ac:dyDescent="0.3">
      <c r="BE172" s="35" t="str">
        <f t="shared" si="17"/>
        <v>TR8x2x0.3125</v>
      </c>
      <c r="BF172" s="184">
        <v>8</v>
      </c>
      <c r="BG172" s="184">
        <v>2</v>
      </c>
      <c r="BH172" s="184">
        <v>0.3125</v>
      </c>
      <c r="BI172" s="35">
        <f t="shared" si="15"/>
        <v>0.625</v>
      </c>
      <c r="BJ172" s="35" t="s">
        <v>170</v>
      </c>
    </row>
    <row r="173" spans="57:62" x14ac:dyDescent="0.3">
      <c r="BE173" s="35" t="str">
        <f t="shared" si="17"/>
        <v>TR8x2x0.25</v>
      </c>
      <c r="BF173" s="184">
        <v>8</v>
      </c>
      <c r="BG173" s="184">
        <v>2</v>
      </c>
      <c r="BH173" s="184">
        <v>0.25</v>
      </c>
      <c r="BI173" s="35">
        <f t="shared" si="15"/>
        <v>0.5</v>
      </c>
      <c r="BJ173" s="35" t="s">
        <v>170</v>
      </c>
    </row>
    <row r="174" spans="57:62" x14ac:dyDescent="0.3">
      <c r="BE174" s="35" t="str">
        <f t="shared" si="17"/>
        <v>TR8x2x0.1875</v>
      </c>
      <c r="BF174" s="184">
        <v>8</v>
      </c>
      <c r="BG174" s="184">
        <v>2</v>
      </c>
      <c r="BH174" s="184">
        <v>0.18750000000000003</v>
      </c>
      <c r="BI174" s="35">
        <f t="shared" si="15"/>
        <v>0.37500000000000006</v>
      </c>
      <c r="BJ174" s="35" t="s">
        <v>170</v>
      </c>
    </row>
    <row r="175" spans="57:62" x14ac:dyDescent="0.3">
      <c r="BE175" s="182" t="str">
        <f t="shared" ref="BE175:BE180" si="18">CONCATENATE("TS",BF175,"x",BG175,"x",BH175)</f>
        <v>TS7x7x0.5625</v>
      </c>
      <c r="BF175" s="183">
        <v>7</v>
      </c>
      <c r="BG175" s="183">
        <v>7</v>
      </c>
      <c r="BH175" s="183">
        <v>0.5625</v>
      </c>
      <c r="BI175" s="182">
        <f t="shared" si="15"/>
        <v>1.125</v>
      </c>
      <c r="BJ175" s="35" t="s">
        <v>170</v>
      </c>
    </row>
    <row r="176" spans="57:62" x14ac:dyDescent="0.3">
      <c r="BE176" s="182" t="str">
        <f t="shared" si="18"/>
        <v>TS7x7x0.5</v>
      </c>
      <c r="BF176" s="183">
        <v>7</v>
      </c>
      <c r="BG176" s="183">
        <v>7</v>
      </c>
      <c r="BH176" s="183">
        <v>0.5</v>
      </c>
      <c r="BI176" s="182">
        <f t="shared" si="15"/>
        <v>1</v>
      </c>
      <c r="BJ176" s="35" t="s">
        <v>170</v>
      </c>
    </row>
    <row r="177" spans="57:62" x14ac:dyDescent="0.3">
      <c r="BE177" s="182" t="str">
        <f t="shared" si="18"/>
        <v>TS7x7x0.375</v>
      </c>
      <c r="BF177" s="183">
        <v>7</v>
      </c>
      <c r="BG177" s="183">
        <v>7</v>
      </c>
      <c r="BH177" s="183">
        <v>0.37500000000000006</v>
      </c>
      <c r="BI177" s="182">
        <f t="shared" si="15"/>
        <v>0.75000000000000011</v>
      </c>
      <c r="BJ177" s="35" t="s">
        <v>170</v>
      </c>
    </row>
    <row r="178" spans="57:62" x14ac:dyDescent="0.3">
      <c r="BE178" s="182" t="str">
        <f t="shared" si="18"/>
        <v>TS7x7x0.3125</v>
      </c>
      <c r="BF178" s="183">
        <v>7</v>
      </c>
      <c r="BG178" s="183">
        <v>7</v>
      </c>
      <c r="BH178" s="183">
        <v>0.3125</v>
      </c>
      <c r="BI178" s="182">
        <f t="shared" si="15"/>
        <v>0.625</v>
      </c>
      <c r="BJ178" s="35" t="s">
        <v>170</v>
      </c>
    </row>
    <row r="179" spans="57:62" x14ac:dyDescent="0.3">
      <c r="BE179" s="182" t="str">
        <f t="shared" si="18"/>
        <v>TS7x7x0.25</v>
      </c>
      <c r="BF179" s="183">
        <v>7</v>
      </c>
      <c r="BG179" s="183">
        <v>7</v>
      </c>
      <c r="BH179" s="183">
        <v>0.25</v>
      </c>
      <c r="BI179" s="182">
        <f t="shared" si="15"/>
        <v>0.5</v>
      </c>
      <c r="BJ179" s="35" t="s">
        <v>170</v>
      </c>
    </row>
    <row r="180" spans="57:62" x14ac:dyDescent="0.3">
      <c r="BE180" s="182" t="str">
        <f t="shared" si="18"/>
        <v>TS7x7x0.1875</v>
      </c>
      <c r="BF180" s="183">
        <v>7</v>
      </c>
      <c r="BG180" s="183">
        <v>7</v>
      </c>
      <c r="BH180" s="183">
        <v>0.18750000000000003</v>
      </c>
      <c r="BI180" s="182">
        <f t="shared" si="15"/>
        <v>0.37500000000000006</v>
      </c>
      <c r="BJ180" s="35" t="s">
        <v>170</v>
      </c>
    </row>
    <row r="181" spans="57:62" x14ac:dyDescent="0.3">
      <c r="BE181" s="35" t="str">
        <f t="shared" ref="BE181:BE197" si="19">CONCATENATE("TR",BF181,"x",BG181,"x",BH181)</f>
        <v>TR7x5x0.5</v>
      </c>
      <c r="BF181" s="184">
        <v>7</v>
      </c>
      <c r="BG181" s="184">
        <v>5</v>
      </c>
      <c r="BH181" s="184">
        <v>0.5</v>
      </c>
      <c r="BI181" s="35">
        <f t="shared" si="15"/>
        <v>1</v>
      </c>
      <c r="BJ181" s="35" t="s">
        <v>170</v>
      </c>
    </row>
    <row r="182" spans="57:62" x14ac:dyDescent="0.3">
      <c r="BE182" s="35" t="str">
        <f t="shared" si="19"/>
        <v>TR7x5x0.375</v>
      </c>
      <c r="BF182" s="184">
        <v>7</v>
      </c>
      <c r="BG182" s="184">
        <v>5</v>
      </c>
      <c r="BH182" s="184">
        <v>0.37500000000000006</v>
      </c>
      <c r="BI182" s="35">
        <f t="shared" si="15"/>
        <v>0.75000000000000011</v>
      </c>
      <c r="BJ182" s="35" t="s">
        <v>170</v>
      </c>
    </row>
    <row r="183" spans="57:62" x14ac:dyDescent="0.3">
      <c r="BE183" s="35" t="str">
        <f t="shared" si="19"/>
        <v>TR7x5x0.3125</v>
      </c>
      <c r="BF183" s="184">
        <v>7</v>
      </c>
      <c r="BG183" s="184">
        <v>5</v>
      </c>
      <c r="BH183" s="184">
        <v>0.3125</v>
      </c>
      <c r="BI183" s="35">
        <f t="shared" si="15"/>
        <v>0.625</v>
      </c>
      <c r="BJ183" s="35" t="s">
        <v>170</v>
      </c>
    </row>
    <row r="184" spans="57:62" x14ac:dyDescent="0.3">
      <c r="BE184" s="35" t="str">
        <f t="shared" si="19"/>
        <v>TR7x5x0.25</v>
      </c>
      <c r="BF184" s="184">
        <v>7</v>
      </c>
      <c r="BG184" s="184">
        <v>5</v>
      </c>
      <c r="BH184" s="184">
        <v>0.25</v>
      </c>
      <c r="BI184" s="35">
        <f t="shared" si="15"/>
        <v>0.5</v>
      </c>
      <c r="BJ184" s="35" t="s">
        <v>170</v>
      </c>
    </row>
    <row r="185" spans="57:62" x14ac:dyDescent="0.3">
      <c r="BE185" s="35" t="str">
        <f t="shared" si="19"/>
        <v>TR7x5x0.1875</v>
      </c>
      <c r="BF185" s="184">
        <v>7</v>
      </c>
      <c r="BG185" s="184">
        <v>5</v>
      </c>
      <c r="BH185" s="184">
        <v>0.18750000000000003</v>
      </c>
      <c r="BI185" s="35">
        <f t="shared" si="15"/>
        <v>0.37500000000000006</v>
      </c>
      <c r="BJ185" s="35" t="s">
        <v>170</v>
      </c>
    </row>
    <row r="186" spans="57:62" x14ac:dyDescent="0.3">
      <c r="BE186" s="35" t="str">
        <f t="shared" si="19"/>
        <v>TR7x4x0.5</v>
      </c>
      <c r="BF186" s="184">
        <v>7</v>
      </c>
      <c r="BG186" s="184">
        <v>4</v>
      </c>
      <c r="BH186" s="184">
        <v>0.5</v>
      </c>
      <c r="BI186" s="35">
        <f t="shared" si="15"/>
        <v>1</v>
      </c>
      <c r="BJ186" s="35" t="s">
        <v>170</v>
      </c>
    </row>
    <row r="187" spans="57:62" x14ac:dyDescent="0.3">
      <c r="BE187" s="35" t="str">
        <f t="shared" si="19"/>
        <v>TR7x4x0.375</v>
      </c>
      <c r="BF187" s="184">
        <v>7</v>
      </c>
      <c r="BG187" s="184">
        <v>4</v>
      </c>
      <c r="BH187" s="184">
        <v>0.37500000000000006</v>
      </c>
      <c r="BI187" s="35">
        <f t="shared" si="15"/>
        <v>0.75000000000000011</v>
      </c>
      <c r="BJ187" s="35" t="s">
        <v>170</v>
      </c>
    </row>
    <row r="188" spans="57:62" x14ac:dyDescent="0.3">
      <c r="BE188" s="35" t="str">
        <f t="shared" si="19"/>
        <v>TR7x4x0.3125</v>
      </c>
      <c r="BF188" s="184">
        <v>7</v>
      </c>
      <c r="BG188" s="184">
        <v>4</v>
      </c>
      <c r="BH188" s="184">
        <v>0.3125</v>
      </c>
      <c r="BI188" s="35">
        <f t="shared" si="15"/>
        <v>0.625</v>
      </c>
      <c r="BJ188" s="35" t="s">
        <v>170</v>
      </c>
    </row>
    <row r="189" spans="57:62" x14ac:dyDescent="0.3">
      <c r="BE189" s="35" t="str">
        <f t="shared" si="19"/>
        <v>TR7x4x0.25</v>
      </c>
      <c r="BF189" s="184">
        <v>7</v>
      </c>
      <c r="BG189" s="184">
        <v>4</v>
      </c>
      <c r="BH189" s="184">
        <v>0.25</v>
      </c>
      <c r="BI189" s="35">
        <f t="shared" si="15"/>
        <v>0.5</v>
      </c>
      <c r="BJ189" s="35" t="s">
        <v>170</v>
      </c>
    </row>
    <row r="190" spans="57:62" x14ac:dyDescent="0.3">
      <c r="BE190" s="35" t="str">
        <f t="shared" si="19"/>
        <v>TR7x4x0.1875</v>
      </c>
      <c r="BF190" s="184">
        <v>7</v>
      </c>
      <c r="BG190" s="184">
        <v>4</v>
      </c>
      <c r="BH190" s="184">
        <v>0.18750000000000003</v>
      </c>
      <c r="BI190" s="35">
        <f t="shared" si="15"/>
        <v>0.37500000000000006</v>
      </c>
      <c r="BJ190" s="35" t="s">
        <v>170</v>
      </c>
    </row>
    <row r="191" spans="57:62" x14ac:dyDescent="0.3">
      <c r="BE191" s="35" t="str">
        <f t="shared" si="19"/>
        <v>TR7x3x0.5</v>
      </c>
      <c r="BF191" s="184">
        <v>7</v>
      </c>
      <c r="BG191" s="184">
        <v>3.0000000000000004</v>
      </c>
      <c r="BH191" s="184">
        <v>0.5</v>
      </c>
      <c r="BI191" s="35">
        <f t="shared" si="15"/>
        <v>1</v>
      </c>
      <c r="BJ191" s="35" t="s">
        <v>170</v>
      </c>
    </row>
    <row r="192" spans="57:62" x14ac:dyDescent="0.3">
      <c r="BE192" s="35" t="str">
        <f t="shared" si="19"/>
        <v>TR7x3x0.375</v>
      </c>
      <c r="BF192" s="184">
        <v>7</v>
      </c>
      <c r="BG192" s="184">
        <v>3.0000000000000004</v>
      </c>
      <c r="BH192" s="184">
        <v>0.37500000000000006</v>
      </c>
      <c r="BI192" s="35">
        <f t="shared" si="15"/>
        <v>0.75000000000000011</v>
      </c>
      <c r="BJ192" s="35" t="s">
        <v>170</v>
      </c>
    </row>
    <row r="193" spans="57:62" x14ac:dyDescent="0.3">
      <c r="BE193" s="35" t="str">
        <f t="shared" si="19"/>
        <v>TR7x3x0.3125</v>
      </c>
      <c r="BF193" s="184">
        <v>7</v>
      </c>
      <c r="BG193" s="184">
        <v>3.0000000000000004</v>
      </c>
      <c r="BH193" s="184">
        <v>0.3125</v>
      </c>
      <c r="BI193" s="35">
        <f t="shared" si="15"/>
        <v>0.625</v>
      </c>
      <c r="BJ193" s="35" t="s">
        <v>170</v>
      </c>
    </row>
    <row r="194" spans="57:62" x14ac:dyDescent="0.3">
      <c r="BE194" s="35" t="str">
        <f t="shared" si="19"/>
        <v>TR7x3x0.25</v>
      </c>
      <c r="BF194" s="184">
        <v>7</v>
      </c>
      <c r="BG194" s="184">
        <v>3.0000000000000004</v>
      </c>
      <c r="BH194" s="184">
        <v>0.25</v>
      </c>
      <c r="BI194" s="35">
        <f t="shared" si="15"/>
        <v>0.5</v>
      </c>
      <c r="BJ194" s="35" t="s">
        <v>170</v>
      </c>
    </row>
    <row r="195" spans="57:62" x14ac:dyDescent="0.3">
      <c r="BE195" s="35" t="str">
        <f t="shared" si="19"/>
        <v>TR7x3x0.1875</v>
      </c>
      <c r="BF195" s="184">
        <v>7</v>
      </c>
      <c r="BG195" s="184">
        <v>3.0000000000000004</v>
      </c>
      <c r="BH195" s="184">
        <v>0.18750000000000003</v>
      </c>
      <c r="BI195" s="35">
        <f t="shared" si="15"/>
        <v>0.37500000000000006</v>
      </c>
      <c r="BJ195" s="35" t="s">
        <v>170</v>
      </c>
    </row>
    <row r="196" spans="57:62" x14ac:dyDescent="0.3">
      <c r="BE196" s="35" t="str">
        <f t="shared" si="19"/>
        <v>TR7x2x0.25</v>
      </c>
      <c r="BF196" s="184">
        <v>7</v>
      </c>
      <c r="BG196" s="184">
        <v>2</v>
      </c>
      <c r="BH196" s="184">
        <v>0.25</v>
      </c>
      <c r="BI196" s="35">
        <f t="shared" si="15"/>
        <v>0.5</v>
      </c>
      <c r="BJ196" s="35" t="s">
        <v>170</v>
      </c>
    </row>
    <row r="197" spans="57:62" x14ac:dyDescent="0.3">
      <c r="BE197" s="35" t="str">
        <f t="shared" si="19"/>
        <v>TR7x2x0.1875</v>
      </c>
      <c r="BF197" s="184">
        <v>7</v>
      </c>
      <c r="BG197" s="184">
        <v>2</v>
      </c>
      <c r="BH197" s="184">
        <v>0.18750000000000003</v>
      </c>
      <c r="BI197" s="35">
        <f t="shared" ref="BI197:BI260" si="20">BH197*2</f>
        <v>0.37500000000000006</v>
      </c>
      <c r="BJ197" s="35" t="s">
        <v>170</v>
      </c>
    </row>
    <row r="198" spans="57:62" x14ac:dyDescent="0.3">
      <c r="BE198" s="182" t="str">
        <f t="shared" ref="BE198:BE203" si="21">CONCATENATE("TS",BF198,"x",BG198,"x",BH198)</f>
        <v>TS6x6x0.5625</v>
      </c>
      <c r="BF198" s="183">
        <v>6.0000000000000009</v>
      </c>
      <c r="BG198" s="183">
        <v>6.0000000000000009</v>
      </c>
      <c r="BH198" s="183">
        <v>0.5625</v>
      </c>
      <c r="BI198" s="182">
        <f t="shared" si="20"/>
        <v>1.125</v>
      </c>
      <c r="BJ198" s="35" t="s">
        <v>170</v>
      </c>
    </row>
    <row r="199" spans="57:62" x14ac:dyDescent="0.3">
      <c r="BE199" s="182" t="str">
        <f t="shared" si="21"/>
        <v>TS6x6x0.5</v>
      </c>
      <c r="BF199" s="183">
        <v>6.0000000000000009</v>
      </c>
      <c r="BG199" s="183">
        <v>6.0000000000000009</v>
      </c>
      <c r="BH199" s="183">
        <v>0.5</v>
      </c>
      <c r="BI199" s="182">
        <f t="shared" si="20"/>
        <v>1</v>
      </c>
      <c r="BJ199" s="35" t="s">
        <v>170</v>
      </c>
    </row>
    <row r="200" spans="57:62" x14ac:dyDescent="0.3">
      <c r="BE200" s="182" t="str">
        <f t="shared" si="21"/>
        <v>TS6x6x0.375</v>
      </c>
      <c r="BF200" s="183">
        <v>6.0000000000000009</v>
      </c>
      <c r="BG200" s="183">
        <v>6.0000000000000009</v>
      </c>
      <c r="BH200" s="183">
        <v>0.37500000000000006</v>
      </c>
      <c r="BI200" s="182">
        <f t="shared" si="20"/>
        <v>0.75000000000000011</v>
      </c>
      <c r="BJ200" s="35" t="s">
        <v>170</v>
      </c>
    </row>
    <row r="201" spans="57:62" x14ac:dyDescent="0.3">
      <c r="BE201" s="182" t="str">
        <f t="shared" si="21"/>
        <v>TS6x6x0.3125</v>
      </c>
      <c r="BF201" s="183">
        <v>6.0000000000000009</v>
      </c>
      <c r="BG201" s="183">
        <v>6.0000000000000009</v>
      </c>
      <c r="BH201" s="183">
        <v>0.3125</v>
      </c>
      <c r="BI201" s="182">
        <f t="shared" si="20"/>
        <v>0.625</v>
      </c>
      <c r="BJ201" s="35" t="s">
        <v>170</v>
      </c>
    </row>
    <row r="202" spans="57:62" x14ac:dyDescent="0.3">
      <c r="BE202" s="182" t="str">
        <f t="shared" si="21"/>
        <v>TS6x6x0.25</v>
      </c>
      <c r="BF202" s="183">
        <v>6.0000000000000009</v>
      </c>
      <c r="BG202" s="183">
        <v>6.0000000000000009</v>
      </c>
      <c r="BH202" s="183">
        <v>0.25</v>
      </c>
      <c r="BI202" s="182">
        <f t="shared" si="20"/>
        <v>0.5</v>
      </c>
      <c r="BJ202" s="35" t="s">
        <v>170</v>
      </c>
    </row>
    <row r="203" spans="57:62" x14ac:dyDescent="0.3">
      <c r="BE203" s="182" t="str">
        <f t="shared" si="21"/>
        <v>TS6x6x0.1875</v>
      </c>
      <c r="BF203" s="183">
        <v>6.0000000000000009</v>
      </c>
      <c r="BG203" s="183">
        <v>6.0000000000000009</v>
      </c>
      <c r="BH203" s="183">
        <v>0.18750000000000003</v>
      </c>
      <c r="BI203" s="182">
        <f t="shared" si="20"/>
        <v>0.37500000000000006</v>
      </c>
      <c r="BJ203" s="35" t="s">
        <v>170</v>
      </c>
    </row>
    <row r="204" spans="57:62" x14ac:dyDescent="0.3">
      <c r="BE204" s="35" t="str">
        <f t="shared" ref="BE204:BE221" si="22">CONCATENATE("TR",BF204,"x",BG204,"x",BH204)</f>
        <v>TR6x5x0.5</v>
      </c>
      <c r="BF204" s="184">
        <v>6.0000000000000009</v>
      </c>
      <c r="BG204" s="184">
        <v>5</v>
      </c>
      <c r="BH204" s="184">
        <v>0.5</v>
      </c>
      <c r="BI204" s="35">
        <f t="shared" si="20"/>
        <v>1</v>
      </c>
      <c r="BJ204" s="35" t="s">
        <v>170</v>
      </c>
    </row>
    <row r="205" spans="57:62" x14ac:dyDescent="0.3">
      <c r="BE205" s="35" t="str">
        <f t="shared" si="22"/>
        <v>TR6x5x0.375</v>
      </c>
      <c r="BF205" s="184">
        <v>6.0000000000000009</v>
      </c>
      <c r="BG205" s="184">
        <v>5</v>
      </c>
      <c r="BH205" s="184">
        <v>0.37500000000000006</v>
      </c>
      <c r="BI205" s="35">
        <f t="shared" si="20"/>
        <v>0.75000000000000011</v>
      </c>
      <c r="BJ205" s="35" t="s">
        <v>170</v>
      </c>
    </row>
    <row r="206" spans="57:62" x14ac:dyDescent="0.3">
      <c r="BE206" s="35" t="str">
        <f t="shared" si="22"/>
        <v>TR6x5x0.3125</v>
      </c>
      <c r="BF206" s="184">
        <v>6.0000000000000009</v>
      </c>
      <c r="BG206" s="184">
        <v>5</v>
      </c>
      <c r="BH206" s="184">
        <v>0.3125</v>
      </c>
      <c r="BI206" s="35">
        <f t="shared" si="20"/>
        <v>0.625</v>
      </c>
      <c r="BJ206" s="35" t="s">
        <v>170</v>
      </c>
    </row>
    <row r="207" spans="57:62" x14ac:dyDescent="0.3">
      <c r="BE207" s="35" t="str">
        <f t="shared" si="22"/>
        <v>TR6x5x0.25</v>
      </c>
      <c r="BF207" s="184">
        <v>6.0000000000000009</v>
      </c>
      <c r="BG207" s="184">
        <v>5</v>
      </c>
      <c r="BH207" s="184">
        <v>0.25</v>
      </c>
      <c r="BI207" s="35">
        <f t="shared" si="20"/>
        <v>0.5</v>
      </c>
      <c r="BJ207" s="35" t="s">
        <v>170</v>
      </c>
    </row>
    <row r="208" spans="57:62" x14ac:dyDescent="0.3">
      <c r="BE208" s="35" t="str">
        <f t="shared" si="22"/>
        <v>TR6x5x0.1875</v>
      </c>
      <c r="BF208" s="184">
        <v>6.0000000000000009</v>
      </c>
      <c r="BG208" s="184">
        <v>5</v>
      </c>
      <c r="BH208" s="184">
        <v>0.18750000000000003</v>
      </c>
      <c r="BI208" s="35">
        <f t="shared" si="20"/>
        <v>0.37500000000000006</v>
      </c>
      <c r="BJ208" s="35" t="s">
        <v>170</v>
      </c>
    </row>
    <row r="209" spans="57:62" x14ac:dyDescent="0.3">
      <c r="BE209" s="35" t="str">
        <f t="shared" si="22"/>
        <v>TR6x4x0.5</v>
      </c>
      <c r="BF209" s="184">
        <v>6.0000000000000009</v>
      </c>
      <c r="BG209" s="184">
        <v>4</v>
      </c>
      <c r="BH209" s="184">
        <v>0.5</v>
      </c>
      <c r="BI209" s="35">
        <f t="shared" si="20"/>
        <v>1</v>
      </c>
      <c r="BJ209" s="35" t="s">
        <v>170</v>
      </c>
    </row>
    <row r="210" spans="57:62" x14ac:dyDescent="0.3">
      <c r="BE210" s="35" t="str">
        <f t="shared" si="22"/>
        <v>TR6x4x0.375</v>
      </c>
      <c r="BF210" s="184">
        <v>6.0000000000000009</v>
      </c>
      <c r="BG210" s="184">
        <v>4</v>
      </c>
      <c r="BH210" s="184">
        <v>0.37500000000000006</v>
      </c>
      <c r="BI210" s="35">
        <f t="shared" si="20"/>
        <v>0.75000000000000011</v>
      </c>
      <c r="BJ210" s="35" t="s">
        <v>170</v>
      </c>
    </row>
    <row r="211" spans="57:62" x14ac:dyDescent="0.3">
      <c r="BE211" s="35" t="str">
        <f t="shared" si="22"/>
        <v>TR6x4x0.3125</v>
      </c>
      <c r="BF211" s="184">
        <v>6.0000000000000009</v>
      </c>
      <c r="BG211" s="184">
        <v>4</v>
      </c>
      <c r="BH211" s="184">
        <v>0.3125</v>
      </c>
      <c r="BI211" s="35">
        <f t="shared" si="20"/>
        <v>0.625</v>
      </c>
      <c r="BJ211" s="35" t="s">
        <v>170</v>
      </c>
    </row>
    <row r="212" spans="57:62" x14ac:dyDescent="0.3">
      <c r="BE212" s="35" t="str">
        <f t="shared" si="22"/>
        <v>TR6x4x0.25</v>
      </c>
      <c r="BF212" s="184">
        <v>6.0000000000000009</v>
      </c>
      <c r="BG212" s="184">
        <v>4</v>
      </c>
      <c r="BH212" s="184">
        <v>0.25</v>
      </c>
      <c r="BI212" s="35">
        <f t="shared" si="20"/>
        <v>0.5</v>
      </c>
      <c r="BJ212" s="35" t="s">
        <v>170</v>
      </c>
    </row>
    <row r="213" spans="57:62" x14ac:dyDescent="0.3">
      <c r="BE213" s="35" t="str">
        <f t="shared" si="22"/>
        <v>TR6x4x0.1875</v>
      </c>
      <c r="BF213" s="184">
        <v>6.0000000000000009</v>
      </c>
      <c r="BG213" s="184">
        <v>4</v>
      </c>
      <c r="BH213" s="184">
        <v>0.18750000000000003</v>
      </c>
      <c r="BI213" s="35">
        <f t="shared" si="20"/>
        <v>0.37500000000000006</v>
      </c>
      <c r="BJ213" s="35" t="s">
        <v>170</v>
      </c>
    </row>
    <row r="214" spans="57:62" x14ac:dyDescent="0.3">
      <c r="BE214" s="35" t="str">
        <f t="shared" si="22"/>
        <v>TR6x3x0.375</v>
      </c>
      <c r="BF214" s="184">
        <v>6.0000000000000009</v>
      </c>
      <c r="BG214" s="184">
        <v>3.0000000000000004</v>
      </c>
      <c r="BH214" s="184">
        <v>0.37500000000000006</v>
      </c>
      <c r="BI214" s="35">
        <f t="shared" si="20"/>
        <v>0.75000000000000011</v>
      </c>
      <c r="BJ214" s="35" t="s">
        <v>170</v>
      </c>
    </row>
    <row r="215" spans="57:62" x14ac:dyDescent="0.3">
      <c r="BE215" s="35" t="str">
        <f t="shared" si="22"/>
        <v>TR6x3x0.3125</v>
      </c>
      <c r="BF215" s="184">
        <v>6.0000000000000009</v>
      </c>
      <c r="BG215" s="184">
        <v>3.0000000000000004</v>
      </c>
      <c r="BH215" s="184">
        <v>0.3125</v>
      </c>
      <c r="BI215" s="35">
        <f t="shared" si="20"/>
        <v>0.625</v>
      </c>
      <c r="BJ215" s="35" t="s">
        <v>170</v>
      </c>
    </row>
    <row r="216" spans="57:62" x14ac:dyDescent="0.3">
      <c r="BE216" s="35" t="str">
        <f t="shared" si="22"/>
        <v>TR6x3x0.25</v>
      </c>
      <c r="BF216" s="184">
        <v>6.0000000000000009</v>
      </c>
      <c r="BG216" s="184">
        <v>3.0000000000000004</v>
      </c>
      <c r="BH216" s="184">
        <v>0.25</v>
      </c>
      <c r="BI216" s="35">
        <f t="shared" si="20"/>
        <v>0.5</v>
      </c>
      <c r="BJ216" s="35" t="s">
        <v>170</v>
      </c>
    </row>
    <row r="217" spans="57:62" x14ac:dyDescent="0.3">
      <c r="BE217" s="35" t="str">
        <f t="shared" si="22"/>
        <v>TR6x3x0.1875</v>
      </c>
      <c r="BF217" s="184">
        <v>6.0000000000000009</v>
      </c>
      <c r="BG217" s="184">
        <v>3.0000000000000004</v>
      </c>
      <c r="BH217" s="184">
        <v>0.18750000000000003</v>
      </c>
      <c r="BI217" s="35">
        <f t="shared" si="20"/>
        <v>0.37500000000000006</v>
      </c>
      <c r="BJ217" s="35" t="s">
        <v>170</v>
      </c>
    </row>
    <row r="218" spans="57:62" x14ac:dyDescent="0.3">
      <c r="BE218" s="35" t="str">
        <f t="shared" si="22"/>
        <v>TR6x2x0.375</v>
      </c>
      <c r="BF218" s="184">
        <v>6.0000000000000009</v>
      </c>
      <c r="BG218" s="184">
        <v>2</v>
      </c>
      <c r="BH218" s="184">
        <v>0.37500000000000006</v>
      </c>
      <c r="BI218" s="35">
        <f t="shared" si="20"/>
        <v>0.75000000000000011</v>
      </c>
      <c r="BJ218" s="35" t="s">
        <v>170</v>
      </c>
    </row>
    <row r="219" spans="57:62" x14ac:dyDescent="0.3">
      <c r="BE219" s="35" t="str">
        <f t="shared" si="22"/>
        <v>TR6x2x0.3125</v>
      </c>
      <c r="BF219" s="184">
        <v>6.0000000000000009</v>
      </c>
      <c r="BG219" s="184">
        <v>2</v>
      </c>
      <c r="BH219" s="184">
        <v>0.3125</v>
      </c>
      <c r="BI219" s="35">
        <f t="shared" si="20"/>
        <v>0.625</v>
      </c>
      <c r="BJ219" s="35" t="s">
        <v>170</v>
      </c>
    </row>
    <row r="220" spans="57:62" x14ac:dyDescent="0.3">
      <c r="BE220" s="35" t="str">
        <f t="shared" si="22"/>
        <v>TR6x2x0.25</v>
      </c>
      <c r="BF220" s="184">
        <v>6.0000000000000009</v>
      </c>
      <c r="BG220" s="184">
        <v>2</v>
      </c>
      <c r="BH220" s="184">
        <v>0.25</v>
      </c>
      <c r="BI220" s="35">
        <f t="shared" si="20"/>
        <v>0.5</v>
      </c>
      <c r="BJ220" s="35" t="s">
        <v>170</v>
      </c>
    </row>
    <row r="221" spans="57:62" x14ac:dyDescent="0.3">
      <c r="BE221" s="35" t="str">
        <f t="shared" si="22"/>
        <v>TR6x2x0.1875</v>
      </c>
      <c r="BF221" s="184">
        <v>6.0000000000000009</v>
      </c>
      <c r="BG221" s="184">
        <v>2</v>
      </c>
      <c r="BH221" s="184">
        <v>0.18750000000000003</v>
      </c>
      <c r="BI221" s="35">
        <f t="shared" si="20"/>
        <v>0.37500000000000006</v>
      </c>
      <c r="BJ221" s="35" t="s">
        <v>170</v>
      </c>
    </row>
    <row r="222" spans="57:62" x14ac:dyDescent="0.3">
      <c r="BE222" s="182" t="str">
        <f>CONCATENATE("TS",BF222,"x",BG222,"x",BH222)</f>
        <v>TS5x5x0.5</v>
      </c>
      <c r="BF222" s="183">
        <v>5</v>
      </c>
      <c r="BG222" s="183">
        <v>5</v>
      </c>
      <c r="BH222" s="183">
        <v>0.5</v>
      </c>
      <c r="BI222" s="182">
        <f t="shared" si="20"/>
        <v>1</v>
      </c>
      <c r="BJ222" s="35" t="s">
        <v>170</v>
      </c>
    </row>
    <row r="223" spans="57:62" x14ac:dyDescent="0.3">
      <c r="BE223" s="182" t="str">
        <f>CONCATENATE("TS",BF223,"x",BG223,"x",BH223)</f>
        <v>TS5x5x0.375</v>
      </c>
      <c r="BF223" s="183">
        <v>5</v>
      </c>
      <c r="BG223" s="183">
        <v>5</v>
      </c>
      <c r="BH223" s="183">
        <v>0.37500000000000006</v>
      </c>
      <c r="BI223" s="182">
        <f t="shared" si="20"/>
        <v>0.75000000000000011</v>
      </c>
      <c r="BJ223" s="35" t="s">
        <v>170</v>
      </c>
    </row>
    <row r="224" spans="57:62" x14ac:dyDescent="0.3">
      <c r="BE224" s="182" t="str">
        <f>CONCATENATE("TS",BF224,"x",BG224,"x",BH224)</f>
        <v>TS5x5x0.3125</v>
      </c>
      <c r="BF224" s="183">
        <v>5</v>
      </c>
      <c r="BG224" s="183">
        <v>5</v>
      </c>
      <c r="BH224" s="183">
        <v>0.3125</v>
      </c>
      <c r="BI224" s="182">
        <f t="shared" si="20"/>
        <v>0.625</v>
      </c>
      <c r="BJ224" s="35" t="s">
        <v>170</v>
      </c>
    </row>
    <row r="225" spans="57:62" x14ac:dyDescent="0.3">
      <c r="BE225" s="182" t="str">
        <f>CONCATENATE("TS",BF225,"x",BG225,"x",BH225)</f>
        <v>TS5x5x0.25</v>
      </c>
      <c r="BF225" s="183">
        <v>5</v>
      </c>
      <c r="BG225" s="183">
        <v>5</v>
      </c>
      <c r="BH225" s="183">
        <v>0.25</v>
      </c>
      <c r="BI225" s="182">
        <f t="shared" si="20"/>
        <v>0.5</v>
      </c>
      <c r="BJ225" s="35" t="s">
        <v>170</v>
      </c>
    </row>
    <row r="226" spans="57:62" x14ac:dyDescent="0.3">
      <c r="BE226" s="182" t="str">
        <f>CONCATENATE("TS",BF226,"x",BG226,"x",BH226)</f>
        <v>TS5x5x0.1875</v>
      </c>
      <c r="BF226" s="183">
        <v>5</v>
      </c>
      <c r="BG226" s="183">
        <v>5</v>
      </c>
      <c r="BH226" s="183">
        <v>0.18750000000000003</v>
      </c>
      <c r="BI226" s="182">
        <f t="shared" si="20"/>
        <v>0.37500000000000006</v>
      </c>
      <c r="BJ226" s="35" t="s">
        <v>170</v>
      </c>
    </row>
    <row r="227" spans="57:62" x14ac:dyDescent="0.3">
      <c r="BE227" s="35" t="str">
        <f t="shared" ref="BE227:BE238" si="23">CONCATENATE("TR",BF227,"x",BG227,"x",BH227)</f>
        <v>TR5x4x0.375</v>
      </c>
      <c r="BF227" s="184">
        <v>5</v>
      </c>
      <c r="BG227" s="184">
        <v>4</v>
      </c>
      <c r="BH227" s="184">
        <v>0.37500000000000006</v>
      </c>
      <c r="BI227" s="35">
        <f t="shared" si="20"/>
        <v>0.75000000000000011</v>
      </c>
      <c r="BJ227" s="35" t="s">
        <v>170</v>
      </c>
    </row>
    <row r="228" spans="57:62" x14ac:dyDescent="0.3">
      <c r="BE228" s="35" t="str">
        <f t="shared" si="23"/>
        <v>TR5x4x0.3125</v>
      </c>
      <c r="BF228" s="184">
        <v>5</v>
      </c>
      <c r="BG228" s="184">
        <v>4</v>
      </c>
      <c r="BH228" s="184">
        <v>0.3125</v>
      </c>
      <c r="BI228" s="35">
        <f t="shared" si="20"/>
        <v>0.625</v>
      </c>
      <c r="BJ228" s="35" t="s">
        <v>170</v>
      </c>
    </row>
    <row r="229" spans="57:62" x14ac:dyDescent="0.3">
      <c r="BE229" s="35" t="str">
        <f t="shared" si="23"/>
        <v>TR5x4x0.25</v>
      </c>
      <c r="BF229" s="184">
        <v>5</v>
      </c>
      <c r="BG229" s="184">
        <v>4</v>
      </c>
      <c r="BH229" s="184">
        <v>0.25</v>
      </c>
      <c r="BI229" s="35">
        <f t="shared" si="20"/>
        <v>0.5</v>
      </c>
      <c r="BJ229" s="35" t="s">
        <v>170</v>
      </c>
    </row>
    <row r="230" spans="57:62" x14ac:dyDescent="0.3">
      <c r="BE230" s="35" t="str">
        <f t="shared" si="23"/>
        <v>TR5x4x0.1875</v>
      </c>
      <c r="BF230" s="184">
        <v>5</v>
      </c>
      <c r="BG230" s="184">
        <v>4</v>
      </c>
      <c r="BH230" s="184">
        <v>0.18750000000000003</v>
      </c>
      <c r="BI230" s="35">
        <f t="shared" si="20"/>
        <v>0.37500000000000006</v>
      </c>
      <c r="BJ230" s="35" t="s">
        <v>170</v>
      </c>
    </row>
    <row r="231" spans="57:62" x14ac:dyDescent="0.3">
      <c r="BE231" s="35" t="str">
        <f t="shared" si="23"/>
        <v>TR5x3x0.5</v>
      </c>
      <c r="BF231" s="184">
        <v>5</v>
      </c>
      <c r="BG231" s="184">
        <v>3.0000000000000004</v>
      </c>
      <c r="BH231" s="184">
        <v>0.5</v>
      </c>
      <c r="BI231" s="35">
        <f t="shared" si="20"/>
        <v>1</v>
      </c>
      <c r="BJ231" s="35" t="s">
        <v>170</v>
      </c>
    </row>
    <row r="232" spans="57:62" x14ac:dyDescent="0.3">
      <c r="BE232" s="35" t="str">
        <f t="shared" si="23"/>
        <v>TR5x3x0.375</v>
      </c>
      <c r="BF232" s="184">
        <v>5</v>
      </c>
      <c r="BG232" s="184">
        <v>3.0000000000000004</v>
      </c>
      <c r="BH232" s="184">
        <v>0.37500000000000006</v>
      </c>
      <c r="BI232" s="35">
        <f t="shared" si="20"/>
        <v>0.75000000000000011</v>
      </c>
      <c r="BJ232" s="35" t="s">
        <v>170</v>
      </c>
    </row>
    <row r="233" spans="57:62" x14ac:dyDescent="0.3">
      <c r="BE233" s="35" t="str">
        <f t="shared" si="23"/>
        <v>TR5x3x0.3125</v>
      </c>
      <c r="BF233" s="184">
        <v>5</v>
      </c>
      <c r="BG233" s="184">
        <v>3.0000000000000004</v>
      </c>
      <c r="BH233" s="184">
        <v>0.3125</v>
      </c>
      <c r="BI233" s="35">
        <f t="shared" si="20"/>
        <v>0.625</v>
      </c>
      <c r="BJ233" s="35" t="s">
        <v>170</v>
      </c>
    </row>
    <row r="234" spans="57:62" x14ac:dyDescent="0.3">
      <c r="BE234" s="35" t="str">
        <f t="shared" si="23"/>
        <v>TR5x3x0.25</v>
      </c>
      <c r="BF234" s="184">
        <v>5</v>
      </c>
      <c r="BG234" s="184">
        <v>3.0000000000000004</v>
      </c>
      <c r="BH234" s="184">
        <v>0.25</v>
      </c>
      <c r="BI234" s="35">
        <f t="shared" si="20"/>
        <v>0.5</v>
      </c>
      <c r="BJ234" s="35" t="s">
        <v>170</v>
      </c>
    </row>
    <row r="235" spans="57:62" x14ac:dyDescent="0.3">
      <c r="BE235" s="35" t="str">
        <f t="shared" si="23"/>
        <v>TR5x3x0.1875</v>
      </c>
      <c r="BF235" s="184">
        <v>5</v>
      </c>
      <c r="BG235" s="184">
        <v>3.0000000000000004</v>
      </c>
      <c r="BH235" s="184">
        <v>0.18750000000000003</v>
      </c>
      <c r="BI235" s="35">
        <f t="shared" si="20"/>
        <v>0.37500000000000006</v>
      </c>
      <c r="BJ235" s="35" t="s">
        <v>170</v>
      </c>
    </row>
    <row r="236" spans="57:62" x14ac:dyDescent="0.3">
      <c r="BE236" s="35" t="str">
        <f t="shared" si="23"/>
        <v>TR5x2x0.3125</v>
      </c>
      <c r="BF236" s="184">
        <v>5</v>
      </c>
      <c r="BG236" s="184">
        <v>2</v>
      </c>
      <c r="BH236" s="184">
        <v>0.3125</v>
      </c>
      <c r="BI236" s="35">
        <f t="shared" si="20"/>
        <v>0.625</v>
      </c>
      <c r="BJ236" s="35" t="s">
        <v>170</v>
      </c>
    </row>
    <row r="237" spans="57:62" x14ac:dyDescent="0.3">
      <c r="BE237" s="35" t="str">
        <f t="shared" si="23"/>
        <v>TR5x2x0.25</v>
      </c>
      <c r="BF237" s="184">
        <v>5</v>
      </c>
      <c r="BG237" s="184">
        <v>2</v>
      </c>
      <c r="BH237" s="184">
        <v>0.25</v>
      </c>
      <c r="BI237" s="35">
        <f t="shared" si="20"/>
        <v>0.5</v>
      </c>
      <c r="BJ237" s="35" t="s">
        <v>170</v>
      </c>
    </row>
    <row r="238" spans="57:62" x14ac:dyDescent="0.3">
      <c r="BE238" s="35" t="str">
        <f t="shared" si="23"/>
        <v>TR5x2x0.1875</v>
      </c>
      <c r="BF238" s="184">
        <v>5</v>
      </c>
      <c r="BG238" s="184">
        <v>2</v>
      </c>
      <c r="BH238" s="184">
        <v>0.18750000000000003</v>
      </c>
      <c r="BI238" s="35">
        <f t="shared" si="20"/>
        <v>0.37500000000000006</v>
      </c>
      <c r="BJ238" s="35" t="s">
        <v>170</v>
      </c>
    </row>
    <row r="239" spans="57:62" x14ac:dyDescent="0.3">
      <c r="BE239" s="182" t="str">
        <f t="shared" ref="BE239:BE245" si="24">CONCATENATE("TS",BF239,"x",BG239,"x",BH239)</f>
        <v>TS4.5x4.5x0.25</v>
      </c>
      <c r="BF239" s="183">
        <v>4.5</v>
      </c>
      <c r="BG239" s="183">
        <v>4.5</v>
      </c>
      <c r="BH239" s="183">
        <v>0.25</v>
      </c>
      <c r="BI239" s="182">
        <f t="shared" si="20"/>
        <v>0.5</v>
      </c>
      <c r="BJ239" s="35" t="s">
        <v>170</v>
      </c>
    </row>
    <row r="240" spans="57:62" x14ac:dyDescent="0.3">
      <c r="BE240" s="182" t="str">
        <f t="shared" si="24"/>
        <v>TS4.5x4.5x0.1875</v>
      </c>
      <c r="BF240" s="183">
        <v>4.5</v>
      </c>
      <c r="BG240" s="183">
        <v>4.5</v>
      </c>
      <c r="BH240" s="183">
        <v>0.18750000000000003</v>
      </c>
      <c r="BI240" s="182">
        <f t="shared" si="20"/>
        <v>0.37500000000000006</v>
      </c>
      <c r="BJ240" s="35" t="s">
        <v>170</v>
      </c>
    </row>
    <row r="241" spans="57:62" x14ac:dyDescent="0.3">
      <c r="BE241" s="182" t="str">
        <f t="shared" si="24"/>
        <v>TS4x4x0.5</v>
      </c>
      <c r="BF241" s="183">
        <v>4</v>
      </c>
      <c r="BG241" s="183">
        <v>4</v>
      </c>
      <c r="BH241" s="183">
        <v>0.5</v>
      </c>
      <c r="BI241" s="182">
        <f t="shared" si="20"/>
        <v>1</v>
      </c>
      <c r="BJ241" s="35" t="s">
        <v>170</v>
      </c>
    </row>
    <row r="242" spans="57:62" x14ac:dyDescent="0.3">
      <c r="BE242" s="182" t="str">
        <f t="shared" si="24"/>
        <v>TS4x4x0.375</v>
      </c>
      <c r="BF242" s="183">
        <v>4</v>
      </c>
      <c r="BG242" s="183">
        <v>4</v>
      </c>
      <c r="BH242" s="183">
        <v>0.37500000000000006</v>
      </c>
      <c r="BI242" s="182">
        <f t="shared" si="20"/>
        <v>0.75000000000000011</v>
      </c>
      <c r="BJ242" s="35" t="s">
        <v>170</v>
      </c>
    </row>
    <row r="243" spans="57:62" x14ac:dyDescent="0.3">
      <c r="BE243" s="182" t="str">
        <f t="shared" si="24"/>
        <v>TS4x4x0.3125</v>
      </c>
      <c r="BF243" s="183">
        <v>4</v>
      </c>
      <c r="BG243" s="183">
        <v>4</v>
      </c>
      <c r="BH243" s="183">
        <v>0.3125</v>
      </c>
      <c r="BI243" s="182">
        <f t="shared" si="20"/>
        <v>0.625</v>
      </c>
      <c r="BJ243" s="35" t="s">
        <v>170</v>
      </c>
    </row>
    <row r="244" spans="57:62" x14ac:dyDescent="0.3">
      <c r="BE244" s="182" t="str">
        <f t="shared" si="24"/>
        <v>TS4x4x0.25</v>
      </c>
      <c r="BF244" s="183">
        <v>4</v>
      </c>
      <c r="BG244" s="183">
        <v>4</v>
      </c>
      <c r="BH244" s="183">
        <v>0.25</v>
      </c>
      <c r="BI244" s="182">
        <f t="shared" si="20"/>
        <v>0.5</v>
      </c>
      <c r="BJ244" s="35" t="s">
        <v>170</v>
      </c>
    </row>
    <row r="245" spans="57:62" x14ac:dyDescent="0.3">
      <c r="BE245" s="182" t="str">
        <f t="shared" si="24"/>
        <v>TS4x4x0.1875</v>
      </c>
      <c r="BF245" s="183">
        <v>4</v>
      </c>
      <c r="BG245" s="183">
        <v>4</v>
      </c>
      <c r="BH245" s="183">
        <v>0.18750000000000003</v>
      </c>
      <c r="BI245" s="182">
        <f t="shared" si="20"/>
        <v>0.37500000000000006</v>
      </c>
      <c r="BJ245" s="35" t="s">
        <v>170</v>
      </c>
    </row>
    <row r="246" spans="57:62" x14ac:dyDescent="0.3">
      <c r="BE246" s="35" t="str">
        <f t="shared" ref="BE246:BE251" si="25">CONCATENATE("TR",BF246,"x",BG246,"x",BH246)</f>
        <v>TR4x3x0.3125</v>
      </c>
      <c r="BF246" s="184">
        <v>4</v>
      </c>
      <c r="BG246" s="184">
        <v>3.0000000000000004</v>
      </c>
      <c r="BH246" s="184">
        <v>0.3125</v>
      </c>
      <c r="BI246" s="35">
        <f t="shared" si="20"/>
        <v>0.625</v>
      </c>
      <c r="BJ246" s="35" t="s">
        <v>170</v>
      </c>
    </row>
    <row r="247" spans="57:62" x14ac:dyDescent="0.3">
      <c r="BE247" s="35" t="str">
        <f t="shared" si="25"/>
        <v>TR4x3x0.25</v>
      </c>
      <c r="BF247" s="184">
        <v>4</v>
      </c>
      <c r="BG247" s="184">
        <v>3.0000000000000004</v>
      </c>
      <c r="BH247" s="184">
        <v>0.25</v>
      </c>
      <c r="BI247" s="35">
        <f t="shared" si="20"/>
        <v>0.5</v>
      </c>
      <c r="BJ247" s="35" t="s">
        <v>170</v>
      </c>
    </row>
    <row r="248" spans="57:62" x14ac:dyDescent="0.3">
      <c r="BE248" s="35" t="str">
        <f t="shared" si="25"/>
        <v>TR4x3x0.1875</v>
      </c>
      <c r="BF248" s="184">
        <v>4</v>
      </c>
      <c r="BG248" s="184">
        <v>3.0000000000000004</v>
      </c>
      <c r="BH248" s="184">
        <v>0.18750000000000003</v>
      </c>
      <c r="BI248" s="35">
        <f t="shared" si="20"/>
        <v>0.37500000000000006</v>
      </c>
      <c r="BJ248" s="35" t="s">
        <v>170</v>
      </c>
    </row>
    <row r="249" spans="57:62" x14ac:dyDescent="0.3">
      <c r="BE249" s="35" t="str">
        <f t="shared" si="25"/>
        <v>TR4x2x0.3125</v>
      </c>
      <c r="BF249" s="184">
        <v>4</v>
      </c>
      <c r="BG249" s="184">
        <v>2</v>
      </c>
      <c r="BH249" s="184">
        <v>0.3125</v>
      </c>
      <c r="BI249" s="35">
        <f t="shared" si="20"/>
        <v>0.625</v>
      </c>
      <c r="BJ249" s="35" t="s">
        <v>170</v>
      </c>
    </row>
    <row r="250" spans="57:62" x14ac:dyDescent="0.3">
      <c r="BE250" s="35" t="str">
        <f t="shared" si="25"/>
        <v>TR4x2x0.25</v>
      </c>
      <c r="BF250" s="184">
        <v>4</v>
      </c>
      <c r="BG250" s="184">
        <v>2</v>
      </c>
      <c r="BH250" s="184">
        <v>0.25</v>
      </c>
      <c r="BI250" s="35">
        <f t="shared" si="20"/>
        <v>0.5</v>
      </c>
      <c r="BJ250" s="35" t="s">
        <v>170</v>
      </c>
    </row>
    <row r="251" spans="57:62" x14ac:dyDescent="0.3">
      <c r="BE251" s="35" t="str">
        <f t="shared" si="25"/>
        <v>TR4x2x0.1875</v>
      </c>
      <c r="BF251" s="184">
        <v>4</v>
      </c>
      <c r="BG251" s="184">
        <v>2</v>
      </c>
      <c r="BH251" s="184">
        <v>0.18750000000000003</v>
      </c>
      <c r="BI251" s="35">
        <f t="shared" si="20"/>
        <v>0.37500000000000006</v>
      </c>
      <c r="BJ251" s="35" t="s">
        <v>170</v>
      </c>
    </row>
    <row r="252" spans="57:62" x14ac:dyDescent="0.3">
      <c r="BE252" s="182" t="str">
        <f>CONCATENATE("TS",BF252,"x",BG252,"x",BH252)</f>
        <v>TS3.5x3.5x0.3125</v>
      </c>
      <c r="BF252" s="183">
        <v>3.5</v>
      </c>
      <c r="BG252" s="183">
        <v>3.5</v>
      </c>
      <c r="BH252" s="183">
        <v>0.3125</v>
      </c>
      <c r="BI252" s="182">
        <f t="shared" si="20"/>
        <v>0.625</v>
      </c>
      <c r="BJ252" s="35" t="s">
        <v>170</v>
      </c>
    </row>
    <row r="253" spans="57:62" x14ac:dyDescent="0.3">
      <c r="BE253" s="182" t="str">
        <f>CONCATENATE("TS",BF253,"x",BG253,"x",BH253)</f>
        <v>TS3.5x3.5x0.25</v>
      </c>
      <c r="BF253" s="183">
        <v>3.5</v>
      </c>
      <c r="BG253" s="183">
        <v>3.5</v>
      </c>
      <c r="BH253" s="183">
        <v>0.25</v>
      </c>
      <c r="BI253" s="182">
        <f t="shared" si="20"/>
        <v>0.5</v>
      </c>
      <c r="BJ253" s="35" t="s">
        <v>170</v>
      </c>
    </row>
    <row r="254" spans="57:62" x14ac:dyDescent="0.3">
      <c r="BE254" s="182" t="str">
        <f>CONCATENATE("TS",BF254,"x",BG254,"x",BH254)</f>
        <v>TS3.5x3.5x0.1875</v>
      </c>
      <c r="BF254" s="183">
        <v>3.5</v>
      </c>
      <c r="BG254" s="183">
        <v>3.5</v>
      </c>
      <c r="BH254" s="183">
        <v>0.18750000000000003</v>
      </c>
      <c r="BI254" s="182">
        <f t="shared" si="20"/>
        <v>0.37500000000000006</v>
      </c>
      <c r="BJ254" s="35" t="s">
        <v>170</v>
      </c>
    </row>
    <row r="255" spans="57:62" x14ac:dyDescent="0.3">
      <c r="BE255" s="35" t="str">
        <f>CONCATENATE("TR",BF255,"x",BG255,"x",BH255)</f>
        <v>TR3.5x2.5x0.25</v>
      </c>
      <c r="BF255" s="184">
        <v>3.5</v>
      </c>
      <c r="BG255" s="184">
        <v>2.5</v>
      </c>
      <c r="BH255" s="184">
        <v>0.25</v>
      </c>
      <c r="BI255" s="35">
        <f t="shared" si="20"/>
        <v>0.5</v>
      </c>
      <c r="BJ255" s="35" t="s">
        <v>170</v>
      </c>
    </row>
    <row r="256" spans="57:62" x14ac:dyDescent="0.3">
      <c r="BE256" s="35" t="str">
        <f>CONCATENATE("TR",BF256,"x",BG256,"x",BH256)</f>
        <v>TR3.5x2.5x0.1875</v>
      </c>
      <c r="BF256" s="184">
        <v>3.5</v>
      </c>
      <c r="BG256" s="184">
        <v>2.5</v>
      </c>
      <c r="BH256" s="184">
        <v>0.18750000000000003</v>
      </c>
      <c r="BI256" s="35">
        <f t="shared" si="20"/>
        <v>0.37500000000000006</v>
      </c>
      <c r="BJ256" s="35" t="s">
        <v>170</v>
      </c>
    </row>
    <row r="257" spans="57:62" x14ac:dyDescent="0.3">
      <c r="BE257" s="182" t="str">
        <f>CONCATENATE("TS",BF257,"x",BG257,"x",BH257)</f>
        <v>TS3x3x0.3125</v>
      </c>
      <c r="BF257" s="183">
        <v>3.0000000000000004</v>
      </c>
      <c r="BG257" s="183">
        <v>3.0000000000000004</v>
      </c>
      <c r="BH257" s="183">
        <v>0.3125</v>
      </c>
      <c r="BI257" s="182">
        <f t="shared" si="20"/>
        <v>0.625</v>
      </c>
      <c r="BJ257" s="35" t="s">
        <v>170</v>
      </c>
    </row>
    <row r="258" spans="57:62" x14ac:dyDescent="0.3">
      <c r="BE258" s="182" t="str">
        <f>CONCATENATE("TS",BF258,"x",BG258,"x",BH258)</f>
        <v>TS3x3x0.25</v>
      </c>
      <c r="BF258" s="183">
        <v>3.0000000000000004</v>
      </c>
      <c r="BG258" s="183">
        <v>3.0000000000000004</v>
      </c>
      <c r="BH258" s="183">
        <v>0.25</v>
      </c>
      <c r="BI258" s="182">
        <f t="shared" si="20"/>
        <v>0.5</v>
      </c>
      <c r="BJ258" s="35" t="s">
        <v>170</v>
      </c>
    </row>
    <row r="259" spans="57:62" x14ac:dyDescent="0.3">
      <c r="BE259" s="182" t="str">
        <f>CONCATENATE("TS",BF259,"x",BG259,"x",BH259)</f>
        <v>TS3x3x0.1875</v>
      </c>
      <c r="BF259" s="183">
        <v>3.0000000000000004</v>
      </c>
      <c r="BG259" s="183">
        <v>3.0000000000000004</v>
      </c>
      <c r="BH259" s="183">
        <v>0.18750000000000003</v>
      </c>
      <c r="BI259" s="182">
        <f t="shared" si="20"/>
        <v>0.37500000000000006</v>
      </c>
      <c r="BJ259" s="35" t="s">
        <v>170</v>
      </c>
    </row>
    <row r="260" spans="57:62" x14ac:dyDescent="0.3">
      <c r="BE260" s="35" t="str">
        <f>CONCATENATE("TR",BF260,"x",BG260,"x",BH260)</f>
        <v>TR3x2x0.25</v>
      </c>
      <c r="BF260" s="184">
        <v>3.0000000000000004</v>
      </c>
      <c r="BG260" s="184">
        <v>2</v>
      </c>
      <c r="BH260" s="184">
        <v>0.25</v>
      </c>
      <c r="BI260" s="35">
        <f t="shared" si="20"/>
        <v>0.5</v>
      </c>
      <c r="BJ260" s="35" t="s">
        <v>170</v>
      </c>
    </row>
    <row r="261" spans="57:62" x14ac:dyDescent="0.3">
      <c r="BE261" s="35" t="str">
        <f>CONCATENATE("TR",BF261,"x",BG261,"x",BH261)</f>
        <v>TR3x2x0.1875</v>
      </c>
      <c r="BF261" s="184">
        <v>3.0000000000000004</v>
      </c>
      <c r="BG261" s="184">
        <v>2</v>
      </c>
      <c r="BH261" s="184">
        <v>0.18750000000000003</v>
      </c>
      <c r="BI261" s="35">
        <f t="shared" ref="BI261:BI267" si="26">BH261*2</f>
        <v>0.37500000000000006</v>
      </c>
      <c r="BJ261" s="35" t="s">
        <v>170</v>
      </c>
    </row>
    <row r="262" spans="57:62" x14ac:dyDescent="0.3">
      <c r="BE262" s="182" t="str">
        <f t="shared" ref="BE262:BE267" si="27">CONCATENATE("TS",BF262,"x",BG262,"x",BH262)</f>
        <v>TS2.5x2.5x0.3125</v>
      </c>
      <c r="BF262" s="183">
        <v>2.5</v>
      </c>
      <c r="BG262" s="183">
        <v>2.5</v>
      </c>
      <c r="BH262" s="183">
        <v>0.3125</v>
      </c>
      <c r="BI262" s="182">
        <f t="shared" si="26"/>
        <v>0.625</v>
      </c>
      <c r="BJ262" s="35" t="s">
        <v>170</v>
      </c>
    </row>
    <row r="263" spans="57:62" x14ac:dyDescent="0.3">
      <c r="BE263" s="182" t="str">
        <f t="shared" si="27"/>
        <v>TS2.5x2.5x0.25</v>
      </c>
      <c r="BF263" s="183">
        <v>2.5</v>
      </c>
      <c r="BG263" s="183">
        <v>2.5</v>
      </c>
      <c r="BH263" s="183">
        <v>0.25</v>
      </c>
      <c r="BI263" s="182">
        <f t="shared" si="26"/>
        <v>0.5</v>
      </c>
      <c r="BJ263" s="35" t="s">
        <v>170</v>
      </c>
    </row>
    <row r="264" spans="57:62" x14ac:dyDescent="0.3">
      <c r="BE264" s="182" t="str">
        <f t="shared" si="27"/>
        <v>TS2.5x2.5x0.1875</v>
      </c>
      <c r="BF264" s="183">
        <v>2.5</v>
      </c>
      <c r="BG264" s="183">
        <v>2.5</v>
      </c>
      <c r="BH264" s="183">
        <v>0.18750000000000003</v>
      </c>
      <c r="BI264" s="182">
        <f t="shared" si="26"/>
        <v>0.37500000000000006</v>
      </c>
      <c r="BJ264" s="35" t="s">
        <v>170</v>
      </c>
    </row>
    <row r="265" spans="57:62" x14ac:dyDescent="0.3">
      <c r="BE265" s="182" t="str">
        <f t="shared" si="27"/>
        <v>TS2x2x0.3125</v>
      </c>
      <c r="BF265" s="183">
        <v>2</v>
      </c>
      <c r="BG265" s="183">
        <v>2</v>
      </c>
      <c r="BH265" s="183">
        <v>0.3125</v>
      </c>
      <c r="BI265" s="182">
        <f t="shared" si="26"/>
        <v>0.625</v>
      </c>
      <c r="BJ265" s="35" t="s">
        <v>170</v>
      </c>
    </row>
    <row r="266" spans="57:62" x14ac:dyDescent="0.3">
      <c r="BE266" s="182" t="str">
        <f t="shared" si="27"/>
        <v>TS2x2x0.25</v>
      </c>
      <c r="BF266" s="183">
        <v>2</v>
      </c>
      <c r="BG266" s="183">
        <v>2</v>
      </c>
      <c r="BH266" s="183">
        <v>0.25</v>
      </c>
      <c r="BI266" s="182">
        <f t="shared" si="26"/>
        <v>0.5</v>
      </c>
      <c r="BJ266" s="35" t="s">
        <v>170</v>
      </c>
    </row>
    <row r="267" spans="57:62" x14ac:dyDescent="0.3">
      <c r="BE267" s="182" t="str">
        <f t="shared" si="27"/>
        <v>TS2x2x0.1875</v>
      </c>
      <c r="BF267" s="183">
        <v>2</v>
      </c>
      <c r="BG267" s="183">
        <v>2</v>
      </c>
      <c r="BH267" s="183">
        <v>0.18750000000000003</v>
      </c>
      <c r="BI267" s="182">
        <f t="shared" si="26"/>
        <v>0.37500000000000006</v>
      </c>
      <c r="BJ267" s="35" t="s">
        <v>170</v>
      </c>
    </row>
  </sheetData>
  <sortState xmlns:xlrd2="http://schemas.microsoft.com/office/spreadsheetml/2017/richdata2" ref="BE4:BJ267">
    <sortCondition descending="1" ref="BF4:BF267"/>
    <sortCondition descending="1" ref="BG4:BG267"/>
    <sortCondition descending="1" ref="BH4:BH267"/>
  </sortState>
  <mergeCells count="7">
    <mergeCell ref="I1:K1"/>
    <mergeCell ref="AK2:AK3"/>
    <mergeCell ref="AJ2:AJ3"/>
    <mergeCell ref="AL2:AL3"/>
    <mergeCell ref="AA2:AA3"/>
    <mergeCell ref="AB2:AB3"/>
    <mergeCell ref="AC2:AC3"/>
  </mergeCells>
  <dataValidations count="1">
    <dataValidation allowBlank="1" sqref="BE1:BN1048576" xr:uid="{24AFADB3-3D58-487E-B7CC-A662398045AD}"/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114</vt:i4>
      </vt:variant>
    </vt:vector>
  </HeadingPairs>
  <TitlesOfParts>
    <vt:vector size="116" baseType="lpstr">
      <vt:lpstr>Sheet1</vt:lpstr>
      <vt:lpstr>Data</vt:lpstr>
      <vt:lpstr>AddedLength</vt:lpstr>
      <vt:lpstr>Additional_Tubes_SS</vt:lpstr>
      <vt:lpstr>ASME_Code_Stamp?</vt:lpstr>
      <vt:lpstr>Bevel_Angle</vt:lpstr>
      <vt:lpstr>Bevel_Type</vt:lpstr>
      <vt:lpstr>Bottom_Row_Type</vt:lpstr>
      <vt:lpstr>COMB_Additional_Tubes_SS</vt:lpstr>
      <vt:lpstr>COMB_Bottom_Row_Type</vt:lpstr>
      <vt:lpstr>COMB_End_Drill</vt:lpstr>
      <vt:lpstr>COMB_Fan_Shaft_Angle</vt:lpstr>
      <vt:lpstr>COMB_Fan_Shaft_Angle_ShortLeg</vt:lpstr>
      <vt:lpstr>COMB_Fin_Dia</vt:lpstr>
      <vt:lpstr>COMB_Half_Tube_Face</vt:lpstr>
      <vt:lpstr>COMB_Half_Tube_Face_SS</vt:lpstr>
      <vt:lpstr>COMB_Height_of_all_Rows</vt:lpstr>
      <vt:lpstr>COMB_Length_of_Long_Row</vt:lpstr>
      <vt:lpstr>COMB_Length_of_Long_Row_SS</vt:lpstr>
      <vt:lpstr>COMB_Length_of_Short_Row</vt:lpstr>
      <vt:lpstr>COMB_Length_of_Short_Row_SS</vt:lpstr>
      <vt:lpstr>COMB_Pitch</vt:lpstr>
      <vt:lpstr>COMB_Pitch_Actual</vt:lpstr>
      <vt:lpstr>COMB_Pitch_Standard</vt:lpstr>
      <vt:lpstr>COMB_PreDrill_Hole_Dia</vt:lpstr>
      <vt:lpstr>COMB_QTY_in_Long_Row</vt:lpstr>
      <vt:lpstr>COMB_QTY_in_Long_Row_Pattern</vt:lpstr>
      <vt:lpstr>COMB_QTY_in_Long_Row_SS</vt:lpstr>
      <vt:lpstr>COMB_QTY_in_Long_Row_SS_Pattern</vt:lpstr>
      <vt:lpstr>COMB_QTY_in_Short_Row_Pattern</vt:lpstr>
      <vt:lpstr>COMB_QTY_in_Short_Row_SS_Pattern</vt:lpstr>
      <vt:lpstr>COMB_QTY_of_Long_Rows_Actual</vt:lpstr>
      <vt:lpstr>COMB_QTY_of_Short_Rows_Actual</vt:lpstr>
      <vt:lpstr>COMB_SSS_After_Tube</vt:lpstr>
      <vt:lpstr>COMB_SSS_After_Tube_Adjustment</vt:lpstr>
      <vt:lpstr>COMB_SSS_After_Tube_Adjustment_SS</vt:lpstr>
      <vt:lpstr>COMB_SSS_After_Tube_SS</vt:lpstr>
      <vt:lpstr>COMB_Top_Drill</vt:lpstr>
      <vt:lpstr>COMB_Total_No_of_Rows</vt:lpstr>
      <vt:lpstr>COMB_Tube_Dia</vt:lpstr>
      <vt:lpstr>COMB_Tube_Hole_Chamfer_OD</vt:lpstr>
      <vt:lpstr>COMB_Tube_Size</vt:lpstr>
      <vt:lpstr>COMB_Vertical_Pitch</vt:lpstr>
      <vt:lpstr>Divider_Plate_Location</vt:lpstr>
      <vt:lpstr>Divider_Plate_Location_Right</vt:lpstr>
      <vt:lpstr>Divider_Plate_Thk</vt:lpstr>
      <vt:lpstr>End_Drill</vt:lpstr>
      <vt:lpstr>End_Plate_Thk</vt:lpstr>
      <vt:lpstr>ErrorMSG1</vt:lpstr>
      <vt:lpstr>Extra_length_4_Beasley_MFG?</vt:lpstr>
      <vt:lpstr>Family</vt:lpstr>
      <vt:lpstr>Fan_Shaft_Angle</vt:lpstr>
      <vt:lpstr>Fan_Shaft_Angle_ShortLeg</vt:lpstr>
      <vt:lpstr>Fin_Dia</vt:lpstr>
      <vt:lpstr>Half_Tube_Face</vt:lpstr>
      <vt:lpstr>Half_Tube_Face_SS</vt:lpstr>
      <vt:lpstr>Header_Length</vt:lpstr>
      <vt:lpstr>Header_Type</vt:lpstr>
      <vt:lpstr>Header_Type_List</vt:lpstr>
      <vt:lpstr>Header_Type_Number</vt:lpstr>
      <vt:lpstr>Header_Type_Table</vt:lpstr>
      <vt:lpstr>Height_of_all_Rows</vt:lpstr>
      <vt:lpstr>Hole_Table</vt:lpstr>
      <vt:lpstr>HWSizes_List</vt:lpstr>
      <vt:lpstr>JBevel_Land</vt:lpstr>
      <vt:lpstr>Length_of_Long_Row</vt:lpstr>
      <vt:lpstr>Length_of_Long_Row_SS</vt:lpstr>
      <vt:lpstr>Length_of_Short_Row</vt:lpstr>
      <vt:lpstr>Length_of_Short_Row_SS</vt:lpstr>
      <vt:lpstr>Material_List</vt:lpstr>
      <vt:lpstr>Material_Table</vt:lpstr>
      <vt:lpstr>Material_Type</vt:lpstr>
      <vt:lpstr>Max_Squeeze</vt:lpstr>
      <vt:lpstr>Pitch</vt:lpstr>
      <vt:lpstr>Pitch_Actual</vt:lpstr>
      <vt:lpstr>Pitch_Standard</vt:lpstr>
      <vt:lpstr>PreDrill_Hole_Dia</vt:lpstr>
      <vt:lpstr>QTY_in_Long_Row</vt:lpstr>
      <vt:lpstr>QTY_in_Long_Row_Pattern</vt:lpstr>
      <vt:lpstr>QTY_in_Long_Row_SS</vt:lpstr>
      <vt:lpstr>QTY_in_Long_Row_SS_Pattern</vt:lpstr>
      <vt:lpstr>QTY_in_Short_Row_Pattern</vt:lpstr>
      <vt:lpstr>QTY_in_Short_Row_SS_Pattern</vt:lpstr>
      <vt:lpstr>QTY_of_Long_Rows_Actual</vt:lpstr>
      <vt:lpstr>QTY_of_Short_Rows_Actual</vt:lpstr>
      <vt:lpstr>Side_Frame_Sizes_List</vt:lpstr>
      <vt:lpstr>Side_Frame_Table</vt:lpstr>
      <vt:lpstr>SS_1</vt:lpstr>
      <vt:lpstr>SS_2</vt:lpstr>
      <vt:lpstr>SSS_After_Tube</vt:lpstr>
      <vt:lpstr>SSS_After_Tube_Adjustment</vt:lpstr>
      <vt:lpstr>SSS_After_Tube_Adjustment_SS</vt:lpstr>
      <vt:lpstr>SSS_After_Tube_SS</vt:lpstr>
      <vt:lpstr>Structural_Tube_Size_List</vt:lpstr>
      <vt:lpstr>Structural_Tube_Size_Table</vt:lpstr>
      <vt:lpstr>T_and_P_Span</vt:lpstr>
      <vt:lpstr>T_and_P_Span_Front</vt:lpstr>
      <vt:lpstr>T_and_P_Thk</vt:lpstr>
      <vt:lpstr>T_and_P_Thk_Rear</vt:lpstr>
      <vt:lpstr>Top_Drill</vt:lpstr>
      <vt:lpstr>Total_No_of_Rows</vt:lpstr>
      <vt:lpstr>TP_Chamfer_Angle</vt:lpstr>
      <vt:lpstr>TP_Chamfer_Angle_SS</vt:lpstr>
      <vt:lpstr>TP_Land</vt:lpstr>
      <vt:lpstr>TP_Land_Rear</vt:lpstr>
      <vt:lpstr>TPW_Cham_Ang_at_EndPlate</vt:lpstr>
      <vt:lpstr>Tube_Connection_Type</vt:lpstr>
      <vt:lpstr>Tube_Dia</vt:lpstr>
      <vt:lpstr>Tube_Hole_Chamfer_OD</vt:lpstr>
      <vt:lpstr>Tube_Size</vt:lpstr>
      <vt:lpstr>Tube_Size_List</vt:lpstr>
      <vt:lpstr>Vertical_Pitch</vt:lpstr>
      <vt:lpstr>Weld_Gap</vt:lpstr>
      <vt:lpstr>Wrapper_Span</vt:lpstr>
      <vt:lpstr>Wrapper_Span_Rear</vt:lpstr>
      <vt:lpstr>Wrapper_Thk</vt:lpstr>
    </vt:vector>
  </TitlesOfParts>
  <Company>Harsco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Stietz</dc:creator>
  <cp:lastModifiedBy>Tietz, Steven</cp:lastModifiedBy>
  <dcterms:created xsi:type="dcterms:W3CDTF">2014-06-30T01:57:30Z</dcterms:created>
  <dcterms:modified xsi:type="dcterms:W3CDTF">2025-10-03T05:13:15Z</dcterms:modified>
</cp:coreProperties>
</file>