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xr:revisionPtr revIDLastSave="0" documentId="8_{11B49747-E95A-4863-BA89-0F6C041FE011}" xr6:coauthVersionLast="47" xr6:coauthVersionMax="47" xr10:uidLastSave="{00000000-0000-0000-0000-000000000000}"/>
  <bookViews>
    <workbookView xWindow="28680" yWindow="-255" windowWidth="29040" windowHeight="15840" xr2:uid="{00000000-000D-0000-FFFF-FFFF00000000}"/>
  </bookViews>
  <sheets>
    <sheet name="Sheet1" sheetId="1" r:id="rId1"/>
    <sheet name="Data" sheetId="2" state="hidden" r:id="rId2"/>
  </sheets>
  <definedNames>
    <definedName name="Family">Sheet1!$A$4</definedName>
    <definedName name="TTS">Data!$B$4:$Y$10</definedName>
    <definedName name="TTS_List">Data!$B$4:$B$10</definedName>
    <definedName name="TTS_Table_Ref">Data!$B$14:$C$20</definedName>
    <definedName name="TTS_Type">Sheet1!$B$5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2" l="1"/>
  <c r="U9" i="2"/>
  <c r="T9" i="2"/>
  <c r="S9" i="2"/>
  <c r="R9" i="2"/>
  <c r="O9" i="2"/>
  <c r="N9" i="2"/>
  <c r="M9" i="2"/>
  <c r="H9" i="2"/>
  <c r="K9" i="2" s="1"/>
  <c r="G9" i="2"/>
  <c r="F9" i="2"/>
  <c r="E9" i="2"/>
  <c r="D9" i="2"/>
  <c r="C9" i="2"/>
  <c r="U8" i="2"/>
  <c r="S8" i="2"/>
  <c r="R8" i="2"/>
  <c r="V8" i="2" s="1"/>
  <c r="N8" i="2"/>
  <c r="L8" i="2"/>
  <c r="M8" i="2" s="1"/>
  <c r="K8" i="2"/>
  <c r="J8" i="2"/>
  <c r="H8" i="2"/>
  <c r="I8" i="2" s="1"/>
  <c r="G8" i="2"/>
  <c r="E8" i="2"/>
  <c r="C8" i="2"/>
  <c r="F8" i="2" s="1"/>
  <c r="V7" i="2"/>
  <c r="W11" i="1" s="1"/>
  <c r="T7" i="2"/>
  <c r="U11" i="1" s="1"/>
  <c r="R7" i="2"/>
  <c r="U7" i="2" s="1"/>
  <c r="N7" i="2"/>
  <c r="M7" i="2"/>
  <c r="N13" i="1" s="1"/>
  <c r="L7" i="2"/>
  <c r="O7" i="2" s="1"/>
  <c r="H7" i="2"/>
  <c r="I11" i="1" s="1"/>
  <c r="G7" i="2"/>
  <c r="F7" i="2"/>
  <c r="G10" i="1" s="1"/>
  <c r="E7" i="2"/>
  <c r="F13" i="1" s="1"/>
  <c r="D7" i="2"/>
  <c r="E9" i="1" s="1"/>
  <c r="C7" i="2"/>
  <c r="V6" i="2"/>
  <c r="U6" i="2"/>
  <c r="T6" i="2"/>
  <c r="S6" i="2"/>
  <c r="R6" i="2"/>
  <c r="N6" i="2"/>
  <c r="L6" i="2"/>
  <c r="M6" i="2" s="1"/>
  <c r="K6" i="2"/>
  <c r="J6" i="2"/>
  <c r="H6" i="2"/>
  <c r="I6" i="2" s="1"/>
  <c r="G6" i="2"/>
  <c r="E6" i="2"/>
  <c r="C6" i="2"/>
  <c r="F6" i="2" s="1"/>
  <c r="V5" i="2"/>
  <c r="T5" i="2"/>
  <c r="R5" i="2"/>
  <c r="U5" i="2" s="1"/>
  <c r="L5" i="2"/>
  <c r="N5" i="2" s="1"/>
  <c r="J5" i="2"/>
  <c r="H5" i="2"/>
  <c r="K5" i="2" s="1"/>
  <c r="G5" i="2"/>
  <c r="F5" i="2"/>
  <c r="E5" i="2"/>
  <c r="D5" i="2"/>
  <c r="V4" i="2"/>
  <c r="T4" i="2"/>
  <c r="S4" i="2"/>
  <c r="R4" i="2"/>
  <c r="U4" i="2" s="1"/>
  <c r="L4" i="2"/>
  <c r="O4" i="2" s="1"/>
  <c r="J4" i="2"/>
  <c r="H4" i="2"/>
  <c r="K4" i="2" s="1"/>
  <c r="G4" i="2"/>
  <c r="C4" i="2"/>
  <c r="F4" i="2" s="1"/>
  <c r="AL14" i="1"/>
  <c r="AK14" i="1"/>
  <c r="AJ14" i="1"/>
  <c r="AI14" i="1"/>
  <c r="Y14" i="1"/>
  <c r="X14" i="1"/>
  <c r="U14" i="1"/>
  <c r="S14" i="1"/>
  <c r="R14" i="1"/>
  <c r="O14" i="1"/>
  <c r="N14" i="1"/>
  <c r="M14" i="1"/>
  <c r="I14" i="1"/>
  <c r="H14" i="1"/>
  <c r="G14" i="1"/>
  <c r="F14" i="1"/>
  <c r="E14" i="1"/>
  <c r="D14" i="1"/>
  <c r="C14" i="1"/>
  <c r="AL13" i="1"/>
  <c r="AK13" i="1"/>
  <c r="AJ13" i="1"/>
  <c r="AI13" i="1"/>
  <c r="Y13" i="1"/>
  <c r="X13" i="1"/>
  <c r="S13" i="1"/>
  <c r="R13" i="1"/>
  <c r="O13" i="1"/>
  <c r="M13" i="1"/>
  <c r="H13" i="1"/>
  <c r="G13" i="1"/>
  <c r="E13" i="1"/>
  <c r="D13" i="1"/>
  <c r="C13" i="1"/>
  <c r="AL12" i="1"/>
  <c r="AK12" i="1"/>
  <c r="AJ12" i="1"/>
  <c r="AI12" i="1"/>
  <c r="Y12" i="1"/>
  <c r="X12" i="1"/>
  <c r="R12" i="1"/>
  <c r="O12" i="1"/>
  <c r="N12" i="1"/>
  <c r="M12" i="1"/>
  <c r="H12" i="1"/>
  <c r="E12" i="1"/>
  <c r="D12" i="1"/>
  <c r="C12" i="1"/>
  <c r="AL11" i="1"/>
  <c r="AK11" i="1"/>
  <c r="AJ11" i="1"/>
  <c r="AI11" i="1"/>
  <c r="Y11" i="1"/>
  <c r="X11" i="1"/>
  <c r="R11" i="1"/>
  <c r="O11" i="1"/>
  <c r="N11" i="1"/>
  <c r="M11" i="1"/>
  <c r="H11" i="1"/>
  <c r="D11" i="1"/>
  <c r="C11" i="1"/>
  <c r="AL10" i="1"/>
  <c r="AK10" i="1"/>
  <c r="AJ10" i="1"/>
  <c r="AI10" i="1"/>
  <c r="Y10" i="1"/>
  <c r="X10" i="1"/>
  <c r="W10" i="1"/>
  <c r="U10" i="1"/>
  <c r="R10" i="1"/>
  <c r="O10" i="1"/>
  <c r="N10" i="1"/>
  <c r="M10" i="1"/>
  <c r="I10" i="1"/>
  <c r="H10" i="1"/>
  <c r="D10" i="1"/>
  <c r="C10" i="1"/>
  <c r="AL9" i="1"/>
  <c r="AK9" i="1"/>
  <c r="AJ9" i="1"/>
  <c r="AI9" i="1"/>
  <c r="Y9" i="1"/>
  <c r="X9" i="1"/>
  <c r="W9" i="1"/>
  <c r="U9" i="1"/>
  <c r="S9" i="1"/>
  <c r="R9" i="1"/>
  <c r="O9" i="1"/>
  <c r="N9" i="1"/>
  <c r="M9" i="1"/>
  <c r="I9" i="1"/>
  <c r="H9" i="1"/>
  <c r="G9" i="1"/>
  <c r="D9" i="1"/>
  <c r="C9" i="1"/>
  <c r="AL8" i="1"/>
  <c r="AK8" i="1"/>
  <c r="AJ8" i="1"/>
  <c r="AI8" i="1"/>
  <c r="Y8" i="1"/>
  <c r="X8" i="1"/>
  <c r="U8" i="1"/>
  <c r="S8" i="1"/>
  <c r="R8" i="1"/>
  <c r="O8" i="1"/>
  <c r="N8" i="1"/>
  <c r="M8" i="1"/>
  <c r="I8" i="1"/>
  <c r="H8" i="1"/>
  <c r="G8" i="1"/>
  <c r="F8" i="1"/>
  <c r="E8" i="1"/>
  <c r="D8" i="1"/>
  <c r="C8" i="1"/>
  <c r="AL7" i="1"/>
  <c r="AK7" i="1"/>
  <c r="AJ7" i="1"/>
  <c r="AI7" i="1"/>
  <c r="Y7" i="1"/>
  <c r="X7" i="1"/>
  <c r="S7" i="1"/>
  <c r="R7" i="1"/>
  <c r="O7" i="1"/>
  <c r="N7" i="1"/>
  <c r="M7" i="1"/>
  <c r="H7" i="1"/>
  <c r="G7" i="1"/>
  <c r="E7" i="1"/>
  <c r="D7" i="1"/>
  <c r="C7" i="1"/>
  <c r="AL6" i="1"/>
  <c r="AK6" i="1"/>
  <c r="AJ6" i="1"/>
  <c r="AI6" i="1"/>
  <c r="Y6" i="1"/>
  <c r="X6" i="1"/>
  <c r="R6" i="1"/>
  <c r="O6" i="1"/>
  <c r="N6" i="1"/>
  <c r="M6" i="1"/>
  <c r="H6" i="1"/>
  <c r="F6" i="1"/>
  <c r="E6" i="1"/>
  <c r="D6" i="1"/>
  <c r="C6" i="1"/>
  <c r="AM5" i="1"/>
  <c r="AM10" i="1" s="1"/>
  <c r="B5" i="1"/>
  <c r="W5" i="1" s="1"/>
  <c r="A2" i="1"/>
  <c r="AH5" i="1" s="1"/>
  <c r="B2" i="1" l="1"/>
  <c r="X5" i="1"/>
  <c r="I5" i="1"/>
  <c r="H5" i="1"/>
  <c r="L5" i="1"/>
  <c r="J5" i="1"/>
  <c r="T5" i="1"/>
  <c r="V5" i="1"/>
  <c r="Q10" i="1"/>
  <c r="A10" i="1"/>
  <c r="P12" i="1"/>
  <c r="P6" i="1"/>
  <c r="P13" i="1"/>
  <c r="P7" i="1"/>
  <c r="P14" i="1"/>
  <c r="P8" i="1"/>
  <c r="P9" i="1"/>
  <c r="P10" i="1"/>
  <c r="P11" i="1"/>
  <c r="V9" i="1"/>
  <c r="V10" i="1"/>
  <c r="V11" i="1"/>
  <c r="V7" i="1"/>
  <c r="V8" i="1"/>
  <c r="V12" i="1"/>
  <c r="V6" i="1"/>
  <c r="V13" i="1"/>
  <c r="V14" i="1"/>
  <c r="AH13" i="1"/>
  <c r="AH7" i="1"/>
  <c r="AH14" i="1"/>
  <c r="AH8" i="1"/>
  <c r="AH9" i="1"/>
  <c r="AH11" i="1"/>
  <c r="AH6" i="1"/>
  <c r="AH10" i="1"/>
  <c r="AH12" i="1"/>
  <c r="M5" i="1"/>
  <c r="F12" i="1"/>
  <c r="M4" i="2"/>
  <c r="O6" i="2"/>
  <c r="I7" i="2"/>
  <c r="O8" i="2"/>
  <c r="P5" i="1" s="1"/>
  <c r="I9" i="2"/>
  <c r="N5" i="1"/>
  <c r="G6" i="1"/>
  <c r="S6" i="1"/>
  <c r="I7" i="1"/>
  <c r="U7" i="1"/>
  <c r="W8" i="1"/>
  <c r="AM8" i="1"/>
  <c r="E11" i="1"/>
  <c r="G12" i="1"/>
  <c r="S12" i="1"/>
  <c r="I13" i="1"/>
  <c r="U13" i="1"/>
  <c r="W14" i="1"/>
  <c r="AM14" i="1"/>
  <c r="N4" i="2"/>
  <c r="I5" i="2"/>
  <c r="D6" i="2"/>
  <c r="J7" i="2"/>
  <c r="D8" i="2"/>
  <c r="J9" i="2"/>
  <c r="AM9" i="1"/>
  <c r="K7" i="2"/>
  <c r="D5" i="1"/>
  <c r="I6" i="1"/>
  <c r="U6" i="1"/>
  <c r="W7" i="1"/>
  <c r="AM7" i="1"/>
  <c r="E10" i="1"/>
  <c r="G11" i="1"/>
  <c r="S11" i="1"/>
  <c r="I12" i="1"/>
  <c r="U12" i="1"/>
  <c r="W13" i="1"/>
  <c r="AM13" i="1"/>
  <c r="D4" i="2"/>
  <c r="T8" i="2"/>
  <c r="U5" i="1" s="1"/>
  <c r="O5" i="1"/>
  <c r="F11" i="1"/>
  <c r="Q5" i="1"/>
  <c r="E4" i="2"/>
  <c r="C2" i="1"/>
  <c r="J2" i="1" s="1"/>
  <c r="Y5" i="1"/>
  <c r="Z5" i="1" s="1"/>
  <c r="E5" i="1"/>
  <c r="F5" i="1"/>
  <c r="W6" i="1"/>
  <c r="AM6" i="1"/>
  <c r="S10" i="1"/>
  <c r="W12" i="1"/>
  <c r="AM12" i="1"/>
  <c r="M5" i="2"/>
  <c r="F10" i="1"/>
  <c r="R5" i="1"/>
  <c r="G5" i="1"/>
  <c r="S5" i="1"/>
  <c r="F9" i="1"/>
  <c r="AM11" i="1"/>
  <c r="I4" i="2"/>
  <c r="S5" i="2"/>
  <c r="S7" i="2"/>
  <c r="K5" i="1"/>
  <c r="F7" i="1"/>
  <c r="AB5" i="1" l="1"/>
  <c r="AE5" i="1" s="1"/>
  <c r="AA5" i="1"/>
  <c r="J9" i="1"/>
  <c r="J10" i="1"/>
  <c r="J11" i="1"/>
  <c r="J6" i="1"/>
  <c r="J12" i="1"/>
  <c r="J7" i="1"/>
  <c r="J13" i="1"/>
  <c r="J14" i="1"/>
  <c r="J8" i="1"/>
  <c r="Q9" i="1"/>
  <c r="A9" i="1"/>
  <c r="K10" i="1"/>
  <c r="K11" i="1"/>
  <c r="K12" i="1"/>
  <c r="K6" i="1"/>
  <c r="K13" i="1"/>
  <c r="K7" i="1"/>
  <c r="K14" i="1"/>
  <c r="K8" i="1"/>
  <c r="K9" i="1"/>
  <c r="A12" i="1"/>
  <c r="Q12" i="1"/>
  <c r="L10" i="1"/>
  <c r="L11" i="1"/>
  <c r="L12" i="1"/>
  <c r="L6" i="1"/>
  <c r="L14" i="1"/>
  <c r="L13" i="1"/>
  <c r="L7" i="1"/>
  <c r="L8" i="1"/>
  <c r="L9" i="1"/>
  <c r="T14" i="1"/>
  <c r="T8" i="1"/>
  <c r="T9" i="1"/>
  <c r="T10" i="1"/>
  <c r="T11" i="1"/>
  <c r="T12" i="1"/>
  <c r="T6" i="1"/>
  <c r="T7" i="1"/>
  <c r="T13" i="1"/>
  <c r="Q14" i="1"/>
  <c r="A14" i="1"/>
  <c r="A6" i="1"/>
  <c r="Q6" i="1"/>
  <c r="Q7" i="1"/>
  <c r="A7" i="1"/>
  <c r="Q8" i="1"/>
  <c r="A8" i="1"/>
  <c r="A11" i="1"/>
  <c r="Q11" i="1"/>
  <c r="Q13" i="1"/>
  <c r="A13" i="1"/>
  <c r="AC5" i="1" l="1"/>
  <c r="AD5" i="1"/>
  <c r="AA8" i="1"/>
  <c r="AA11" i="1"/>
  <c r="AA12" i="1"/>
  <c r="AA6" i="1"/>
  <c r="AA13" i="1"/>
  <c r="AA9" i="1"/>
  <c r="AA7" i="1"/>
  <c r="AA10" i="1"/>
  <c r="AA14" i="1"/>
  <c r="AB7" i="1"/>
  <c r="AE7" i="1" s="1"/>
  <c r="AB8" i="1"/>
  <c r="AE8" i="1" s="1"/>
  <c r="AB9" i="1"/>
  <c r="AE9" i="1" s="1"/>
  <c r="AB10" i="1"/>
  <c r="AE10" i="1" s="1"/>
  <c r="AB11" i="1"/>
  <c r="AE11" i="1" s="1"/>
  <c r="AB12" i="1"/>
  <c r="AE12" i="1" s="1"/>
  <c r="AB6" i="1"/>
  <c r="AE6" i="1" s="1"/>
  <c r="AB13" i="1"/>
  <c r="AE13" i="1" s="1"/>
  <c r="AB14" i="1"/>
  <c r="AE14" i="1" s="1"/>
  <c r="AG5" i="1" l="1"/>
  <c r="AF5" i="1"/>
  <c r="AV5" i="1"/>
  <c r="AD6" i="1"/>
  <c r="AC6" i="1"/>
  <c r="AD14" i="1"/>
  <c r="AC14" i="1"/>
  <c r="AC10" i="1"/>
  <c r="AD10" i="1"/>
  <c r="AD7" i="1"/>
  <c r="AC7" i="1"/>
  <c r="AD9" i="1"/>
  <c r="AC9" i="1"/>
  <c r="AD13" i="1"/>
  <c r="AC13" i="1"/>
  <c r="AD12" i="1"/>
  <c r="AC12" i="1"/>
  <c r="AC11" i="1"/>
  <c r="AD11" i="1"/>
  <c r="AD8" i="1"/>
  <c r="AC8" i="1"/>
  <c r="AG8" i="1" l="1"/>
  <c r="AF8" i="1"/>
  <c r="AV8" i="1"/>
  <c r="AG14" i="1"/>
  <c r="AF14" i="1"/>
  <c r="AV14" i="1"/>
  <c r="AG7" i="1"/>
  <c r="AV7" i="1"/>
  <c r="AF7" i="1"/>
  <c r="AG10" i="1"/>
  <c r="AF10" i="1"/>
  <c r="AV10" i="1"/>
  <c r="AG12" i="1"/>
  <c r="AF12" i="1"/>
  <c r="AV12" i="1"/>
  <c r="AG6" i="1"/>
  <c r="AV6" i="1"/>
  <c r="AF6" i="1"/>
  <c r="AG13" i="1"/>
  <c r="AF13" i="1"/>
  <c r="AV13" i="1"/>
  <c r="AG11" i="1"/>
  <c r="AF11" i="1"/>
  <c r="AV11" i="1"/>
  <c r="AG9" i="1"/>
  <c r="AF9" i="1"/>
  <c r="AV9" i="1"/>
</calcChain>
</file>

<file path=xl/sharedStrings.xml><?xml version="1.0" encoding="utf-8"?>
<sst xmlns="http://schemas.openxmlformats.org/spreadsheetml/2006/main" count="173" uniqueCount="92">
  <si>
    <t>Bolt on Bar</t>
  </si>
  <si>
    <t>Weld on</t>
  </si>
  <si>
    <t>Bolt on Angle</t>
  </si>
  <si>
    <t>Bolt on Bar w Spacer</t>
  </si>
  <si>
    <t>Bolt on Angle (Broke)</t>
  </si>
  <si>
    <t>$STATE@Bolt on Angle Option</t>
  </si>
  <si>
    <t>$STATE@Bolt on Angle (Broke) Option</t>
  </si>
  <si>
    <t>$STATE@Bolt on Bar Option</t>
  </si>
  <si>
    <t>$STATE@Bolt on Bar</t>
  </si>
  <si>
    <t>$STATE@Bolt on Bar Hole</t>
  </si>
  <si>
    <t>$STATE@Bolt on Bar Trim</t>
  </si>
  <si>
    <t>$STATE@Bolt on Angle</t>
  </si>
  <si>
    <t>$STATE@Bolt on Angle Hole</t>
  </si>
  <si>
    <t>$STATE@Spacer Bar</t>
  </si>
  <si>
    <t>$STATE@Bolt on Angle (Broke)</t>
  </si>
  <si>
    <t>$STATE@Bolt on Angle (Broke) Mirror</t>
  </si>
  <si>
    <t>$STATE@Bolt on Angle (Broke) Trim</t>
  </si>
  <si>
    <t>$STATE@Bolt on Angle (Broke) Hole</t>
  </si>
  <si>
    <t>AXC materials:SA-36</t>
  </si>
  <si>
    <t>&lt;- section number</t>
  </si>
  <si>
    <t>$PRP@PartNo</t>
  </si>
  <si>
    <t>$STATE@Bolt on Angle Trim2</t>
  </si>
  <si>
    <t>$STATE@Weld on Trim</t>
  </si>
  <si>
    <t>$STATE@Spacer Bar Options</t>
  </si>
  <si>
    <t>$STATE@TTS Move</t>
  </si>
  <si>
    <t>U</t>
  </si>
  <si>
    <t>S</t>
  </si>
  <si>
    <t>$STATE@Spacer Bar Move (weld on)</t>
  </si>
  <si>
    <t>Weld on w Spacer</t>
  </si>
  <si>
    <t>Angle Ref@Slope</t>
  </si>
  <si>
    <t>Rise Ref@Slope</t>
  </si>
  <si>
    <t>Which header is sloped</t>
  </si>
  <si>
    <t>$User_Notes</t>
  </si>
  <si>
    <t>Offset@TTS Layout</t>
  </si>
  <si>
    <t>TTS QTY Ref@Side Frame Ref</t>
  </si>
  <si>
    <t>&lt;- COMB section number</t>
  </si>
  <si>
    <t>← activate this config to get blue cells to update (used for sloped tubes)</t>
  </si>
  <si>
    <t>Bolt on Bar Option</t>
  </si>
  <si>
    <t>Bolt on Bar Hole</t>
  </si>
  <si>
    <t>Bolt on Bar Trim</t>
  </si>
  <si>
    <t>Weld on Trim</t>
  </si>
  <si>
    <t>Bolt on Angle Option</t>
  </si>
  <si>
    <t>Bolt on Angle Trim2</t>
  </si>
  <si>
    <t>Bolt on Angle Hole</t>
  </si>
  <si>
    <t>Spacer Bar Options</t>
  </si>
  <si>
    <t>Spacer Bar</t>
  </si>
  <si>
    <t>TTS Move</t>
  </si>
  <si>
    <t>Spacer Bar Move (weld on)</t>
  </si>
  <si>
    <t>TTS Layout Offset</t>
  </si>
  <si>
    <t>Bolt on Angle (Broke) Option</t>
  </si>
  <si>
    <t>Bolt on Angle (Broke) Mirror</t>
  </si>
  <si>
    <t>Bolt on Angle (Broke) Trim</t>
  </si>
  <si>
    <t>Bolt on Angle (Broke) Hole</t>
  </si>
  <si>
    <t>PartNo</t>
  </si>
  <si>
    <t>MATERIAL</t>
  </si>
  <si>
    <t>Angle Ref of Slope</t>
  </si>
  <si>
    <t>Rise Ref of Slope</t>
  </si>
  <si>
    <t>TTS QTY Ref</t>
  </si>
  <si>
    <t>Default</t>
  </si>
  <si>
    <t>End of List</t>
  </si>
  <si>
    <t>End of Row</t>
  </si>
  <si>
    <t>TTS</t>
  </si>
  <si>
    <t>Config Description</t>
  </si>
  <si>
    <t>Use on MC Channel ONLY!</t>
  </si>
  <si>
    <t>$Description</t>
  </si>
  <si>
    <t>Note</t>
  </si>
  <si>
    <t xml:space="preserve"> </t>
  </si>
  <si>
    <t>BOM Description</t>
  </si>
  <si>
    <t>TOP TUBE SUPPORT, BOLT ON</t>
  </si>
  <si>
    <t>TOP TUBE SUPPORT, WELDED</t>
  </si>
  <si>
    <t>$Prp@Description</t>
  </si>
  <si>
    <t>Hole offset 
(from end of Angle or Bar)</t>
  </si>
  <si>
    <t>D1@Hole Layout</t>
  </si>
  <si>
    <t>TTS_Table_Ref</t>
  </si>
  <si>
    <t>TTS Type Ref</t>
  </si>
  <si>
    <t>TTS Type Ref@Side Frame Ref</t>
  </si>
  <si>
    <t>SectionNo</t>
  </si>
  <si>
    <t>COMB SectionNo</t>
  </si>
  <si>
    <t>$PRP@SectionNo</t>
  </si>
  <si>
    <t>$PRP@COMBSectionNo</t>
  </si>
  <si>
    <t>$PRP@JobNumber</t>
  </si>
  <si>
    <t>JobNumber</t>
  </si>
  <si>
    <t>$LIBRARY:MATERIAL@000000_S01c-TTS</t>
  </si>
  <si>
    <t>$PRP@SectionNumber</t>
  </si>
  <si>
    <t>Section Number</t>
  </si>
  <si>
    <t>COMB Section Number</t>
  </si>
  <si>
    <t>$PRP@COMBSectionNumber</t>
  </si>
  <si>
    <t>Section Numbers Merged</t>
  </si>
  <si>
    <t>$PRP@TYPE</t>
  </si>
  <si>
    <t>$PRP@USED ON</t>
  </si>
  <si>
    <t>Type</t>
  </si>
  <si>
    <t>Used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</si>
</sst>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horizontal="center" textRotation="90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textRotation="90"/>
    </xf>
    <xf numFmtId="49" fontId="0" fillId="0" borderId="2" xfId="0" applyNumberFormat="1" applyBorder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/>
    <xf numFmtId="0" fontId="0" fillId="4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0" borderId="2" xfId="0" applyNumberFormat="1" applyBorder="1" applyAlignment="1">
      <alignment horizontal="center" textRotation="90"/>
    </xf>
    <xf numFmtId="49" fontId="0" fillId="2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49" fontId="0" fillId="0" borderId="0" xfId="0" applyNumberFormat="1" applyAlignment="1">
      <alignment horizontal="center" vertical="center" textRotation="45"/>
    </xf>
    <xf numFmtId="0" fontId="0" fillId="5" borderId="1" xfId="0" applyFill="1" applyBorder="1" applyAlignment="1">
      <alignment horizontal="center"/>
    </xf>
    <xf numFmtId="49" fontId="0" fillId="0" borderId="0" xfId="0" applyNumberFormat="1" applyAlignment="1">
      <alignment horizontal="center" textRotation="90" wrapText="1"/>
    </xf>
    <xf numFmtId="0" fontId="0" fillId="3" borderId="0" xfId="0" applyFill="1" applyAlignment="1">
      <alignment horizontal="center"/>
    </xf>
    <xf numFmtId="49" fontId="3" fillId="7" borderId="0" xfId="0" applyNumberFormat="1" applyFont="1" applyFill="1"/>
    <xf numFmtId="0" fontId="3" fillId="7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25"/>
  <sheetViews>
    <sheetView tabSelected="1" zoomScale="115" zoomScaleNormal="115" workbookViewId="0">
      <selection activeCell="AU4" sqref="AU4"/>
    </sheetView>
  </sheetViews>
  <sheetFormatPr defaultRowHeight="15" outlineLevelRow="1" x14ac:dyDescent="0.25"/>
  <cols>
    <col min="1" max="1" width="25.85546875" style="1" customWidth="1"/>
    <col min="2" max="2" width="20.42578125" style="1" customWidth="1"/>
    <col min="3" max="3" width="23.42578125" bestFit="1" customWidth="1"/>
    <col min="4" max="6" width="3.7109375" style="1" bestFit="1" customWidth="1"/>
    <col min="7" max="7" width="3.7109375" style="6" bestFit="1" customWidth="1"/>
    <col min="8" max="8" width="3.7109375" style="8" bestFit="1" customWidth="1"/>
    <col min="9" max="11" width="3.7109375" style="1" bestFit="1" customWidth="1"/>
    <col min="12" max="12" width="3.7109375" style="6" bestFit="1" customWidth="1"/>
    <col min="13" max="15" width="3.7109375" style="1" bestFit="1" customWidth="1"/>
    <col min="16" max="16" width="3.7109375" style="6" bestFit="1" customWidth="1"/>
    <col min="17" max="17" width="12.85546875" style="1" bestFit="1" customWidth="1"/>
    <col min="18" max="18" width="6.5703125" style="1" bestFit="1" customWidth="1"/>
    <col min="19" max="23" width="3.7109375" style="1" bestFit="1" customWidth="1"/>
    <col min="24" max="24" width="29.28515625" style="1" bestFit="1" customWidth="1"/>
    <col min="25" max="25" width="34.140625" style="1" bestFit="1" customWidth="1"/>
    <col min="26" max="26" width="38.42578125" style="1" customWidth="1"/>
    <col min="27" max="28" width="3.7109375" style="1" bestFit="1" customWidth="1"/>
    <col min="29" max="29" width="4" style="1" bestFit="1" customWidth="1"/>
    <col min="30" max="31" width="3.7109375" style="1" bestFit="1" customWidth="1"/>
    <col min="32" max="32" width="7.7109375" style="1" bestFit="1" customWidth="1"/>
    <col min="33" max="33" width="7.5703125" bestFit="1" customWidth="1"/>
    <col min="34" max="34" width="7.85546875" bestFit="1" customWidth="1"/>
    <col min="35" max="36" width="13.42578125" bestFit="1" customWidth="1"/>
    <col min="37" max="38" width="3.7109375" customWidth="1"/>
    <col min="48" max="48" width="7.7109375" style="1" bestFit="1" customWidth="1"/>
  </cols>
  <sheetData>
    <row r="1" spans="1:140" s="30" customFormat="1" x14ac:dyDescent="0.25">
      <c r="A1" s="29"/>
      <c r="B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V1" s="29"/>
    </row>
    <row r="2" spans="1:140" ht="18.75" x14ac:dyDescent="0.3">
      <c r="A2" s="12" t="str">
        <f>UPPER(RIGHT($C$4,LEN($C$4)-FIND("@",$C$4,1)))</f>
        <v>000000_S01C-TTS</v>
      </c>
      <c r="B2" t="str">
        <f>IF(ISNUMBER(LEFT($A$2,1)+0), "", LEFT($A$2,MIN(FIND({0,1,2,3,4,5,6,7,8,9},A2&amp;"0123456789"))-1))</f>
        <v/>
      </c>
      <c r="C2" s="10">
        <f>MID(A2,FIND("_",A2,1)+2,2)+0</f>
        <v>1</v>
      </c>
      <c r="D2" s="11" t="s">
        <v>19</v>
      </c>
      <c r="E2"/>
      <c r="G2"/>
      <c r="H2"/>
      <c r="I2"/>
      <c r="J2" s="10">
        <f>C2+1</f>
        <v>2</v>
      </c>
      <c r="K2" s="11" t="s">
        <v>35</v>
      </c>
      <c r="L2"/>
      <c r="N2"/>
      <c r="X2"/>
      <c r="Y2"/>
      <c r="Z2"/>
      <c r="AA2"/>
      <c r="AB2"/>
      <c r="AC2"/>
      <c r="AD2"/>
      <c r="AE2"/>
      <c r="AF2"/>
      <c r="AU2" s="1"/>
      <c r="AV2"/>
      <c r="BD2" s="1"/>
      <c r="BE2" s="1"/>
      <c r="BF2" s="1"/>
      <c r="BG2" s="1"/>
      <c r="BH2" s="1"/>
      <c r="BI2" s="1"/>
      <c r="BK2" s="1"/>
      <c r="BL2" s="1"/>
      <c r="BO2" s="1"/>
      <c r="BP2" s="1"/>
      <c r="CF2" s="1"/>
      <c r="DH2" s="1"/>
      <c r="EH2" s="1"/>
      <c r="EI2" s="1"/>
      <c r="EJ2" s="1"/>
    </row>
    <row r="3" spans="1:140" ht="141.75" x14ac:dyDescent="0.25">
      <c r="C3" s="3" t="s">
        <v>54</v>
      </c>
      <c r="D3" s="2" t="s">
        <v>37</v>
      </c>
      <c r="E3" s="2" t="s">
        <v>0</v>
      </c>
      <c r="F3" s="2" t="s">
        <v>38</v>
      </c>
      <c r="G3" s="7" t="s">
        <v>39</v>
      </c>
      <c r="H3" s="22" t="s">
        <v>40</v>
      </c>
      <c r="I3" s="2" t="s">
        <v>41</v>
      </c>
      <c r="J3" s="2" t="s">
        <v>2</v>
      </c>
      <c r="K3" s="2" t="s">
        <v>42</v>
      </c>
      <c r="L3" s="7" t="s">
        <v>43</v>
      </c>
      <c r="M3" s="2" t="s">
        <v>44</v>
      </c>
      <c r="N3" s="2" t="s">
        <v>45</v>
      </c>
      <c r="O3" s="2" t="s">
        <v>46</v>
      </c>
      <c r="P3" s="7" t="s">
        <v>47</v>
      </c>
      <c r="Q3" s="2" t="s">
        <v>48</v>
      </c>
      <c r="R3" s="27" t="s">
        <v>71</v>
      </c>
      <c r="S3" s="2" t="s">
        <v>49</v>
      </c>
      <c r="T3" s="2" t="s">
        <v>4</v>
      </c>
      <c r="U3" s="2" t="s">
        <v>50</v>
      </c>
      <c r="V3" s="2" t="s">
        <v>51</v>
      </c>
      <c r="W3" s="2" t="s">
        <v>52</v>
      </c>
      <c r="X3" s="2" t="s">
        <v>67</v>
      </c>
      <c r="Y3" s="2" t="s">
        <v>65</v>
      </c>
      <c r="Z3" s="2" t="s">
        <v>62</v>
      </c>
      <c r="AA3" s="2" t="s">
        <v>84</v>
      </c>
      <c r="AB3" s="2" t="s">
        <v>85</v>
      </c>
      <c r="AC3" s="2" t="s">
        <v>87</v>
      </c>
      <c r="AD3" s="2" t="s">
        <v>76</v>
      </c>
      <c r="AE3" s="2" t="s">
        <v>77</v>
      </c>
      <c r="AF3" s="2" t="s">
        <v>90</v>
      </c>
      <c r="AG3" s="2" t="s">
        <v>53</v>
      </c>
      <c r="AH3" s="2" t="s">
        <v>81</v>
      </c>
      <c r="AI3" s="3" t="s">
        <v>55</v>
      </c>
      <c r="AJ3" s="3" t="s">
        <v>56</v>
      </c>
      <c r="AK3" s="3" t="s">
        <v>74</v>
      </c>
      <c r="AL3" s="3" t="s">
        <v>57</v>
      </c>
      <c r="AM3" s="3" t="s">
        <v>31</v>
      </c>
      <c r="AV3" s="2" t="s">
        <v>91</v>
      </c>
    </row>
    <row r="4" spans="1:140" s="3" customFormat="1" ht="223.5" hidden="1" customHeight="1" outlineLevel="1" x14ac:dyDescent="0.25">
      <c r="A4" s="2"/>
      <c r="B4" s="2" t="s">
        <v>32</v>
      </c>
      <c r="C4" s="3" t="s">
        <v>82</v>
      </c>
      <c r="D4" s="2" t="s">
        <v>7</v>
      </c>
      <c r="E4" s="2" t="s">
        <v>8</v>
      </c>
      <c r="F4" s="2" t="s">
        <v>9</v>
      </c>
      <c r="G4" s="7" t="s">
        <v>10</v>
      </c>
      <c r="H4" s="7" t="s">
        <v>22</v>
      </c>
      <c r="I4" s="2" t="s">
        <v>5</v>
      </c>
      <c r="J4" s="2" t="s">
        <v>11</v>
      </c>
      <c r="K4" s="2" t="s">
        <v>21</v>
      </c>
      <c r="L4" s="7" t="s">
        <v>12</v>
      </c>
      <c r="M4" s="2" t="s">
        <v>23</v>
      </c>
      <c r="N4" s="2" t="s">
        <v>13</v>
      </c>
      <c r="O4" s="2" t="s">
        <v>24</v>
      </c>
      <c r="P4" s="7" t="s">
        <v>27</v>
      </c>
      <c r="Q4" s="2" t="s">
        <v>33</v>
      </c>
      <c r="R4" s="2" t="s">
        <v>72</v>
      </c>
      <c r="S4" s="2" t="s">
        <v>6</v>
      </c>
      <c r="T4" s="2" t="s">
        <v>14</v>
      </c>
      <c r="U4" s="2" t="s">
        <v>15</v>
      </c>
      <c r="V4" s="2" t="s">
        <v>16</v>
      </c>
      <c r="W4" s="2" t="s">
        <v>17</v>
      </c>
      <c r="X4" s="2" t="s">
        <v>70</v>
      </c>
      <c r="Y4" s="3" t="s">
        <v>32</v>
      </c>
      <c r="Z4" s="2" t="s">
        <v>64</v>
      </c>
      <c r="AA4" s="2" t="s">
        <v>83</v>
      </c>
      <c r="AB4" s="2" t="s">
        <v>86</v>
      </c>
      <c r="AC4" s="2" t="s">
        <v>32</v>
      </c>
      <c r="AD4" s="2" t="s">
        <v>78</v>
      </c>
      <c r="AE4" s="2" t="s">
        <v>79</v>
      </c>
      <c r="AF4" s="2" t="s">
        <v>88</v>
      </c>
      <c r="AG4" s="3" t="s">
        <v>20</v>
      </c>
      <c r="AH4" s="3" t="s">
        <v>80</v>
      </c>
      <c r="AI4" s="3" t="s">
        <v>29</v>
      </c>
      <c r="AJ4" s="3" t="s">
        <v>30</v>
      </c>
      <c r="AK4" s="3" t="s">
        <v>75</v>
      </c>
      <c r="AL4" s="3" t="s">
        <v>34</v>
      </c>
      <c r="AM4" s="3" t="s">
        <v>32</v>
      </c>
      <c r="AV4" s="2" t="s">
        <v>89</v>
      </c>
    </row>
    <row r="5" spans="1:140" s="3" customFormat="1" collapsed="1" x14ac:dyDescent="0.25">
      <c r="A5" s="1" t="s">
        <v>58</v>
      </c>
      <c r="B5" s="14" t="str">
        <f>VLOOKUP(ROUND(AK5,0),TTS_Table_Ref,2,FALSE)</f>
        <v>Weld on</v>
      </c>
      <c r="C5" s="9" t="s">
        <v>18</v>
      </c>
      <c r="D5" s="14" t="str">
        <f>VLOOKUP(TTS_Type,TTS,2,FALSE)</f>
        <v>S</v>
      </c>
      <c r="E5" s="14" t="str">
        <f>VLOOKUP(TTS_Type,TTS,3,FALSE)</f>
        <v>S</v>
      </c>
      <c r="F5" s="14" t="str">
        <f>VLOOKUP(TTS_Type,TTS,4,FALSE)</f>
        <v>S</v>
      </c>
      <c r="G5" s="26" t="str">
        <f>VLOOKUP(TTS_Type,TTS,5,FALSE)</f>
        <v>S</v>
      </c>
      <c r="H5" s="26" t="str">
        <f>VLOOKUP(TTS_Type,TTS,6,FALSE)</f>
        <v>U</v>
      </c>
      <c r="I5" s="14" t="str">
        <f>VLOOKUP(TTS_Type,TTS,7,FALSE)</f>
        <v>S</v>
      </c>
      <c r="J5" s="14" t="str">
        <f>VLOOKUP(TTS_Type,TTS,8,FALSE)</f>
        <v>S</v>
      </c>
      <c r="K5" s="14" t="str">
        <f>VLOOKUP(TTS_Type,TTS,9,FALSE)</f>
        <v>S</v>
      </c>
      <c r="L5" s="26" t="str">
        <f>VLOOKUP(TTS_Type,TTS,10,FALSE)</f>
        <v>S</v>
      </c>
      <c r="M5" s="14" t="str">
        <f>VLOOKUP(TTS_Type,TTS,11,FALSE)</f>
        <v>S</v>
      </c>
      <c r="N5" s="14" t="str">
        <f>VLOOKUP(TTS_Type,TTS,12,FALSE)</f>
        <v>S</v>
      </c>
      <c r="O5" s="14" t="str">
        <f>VLOOKUP(TTS_Type,TTS,13,FALSE)</f>
        <v>S</v>
      </c>
      <c r="P5" s="26" t="str">
        <f>VLOOKUP(TTS_Type,TTS,14,FALSE)</f>
        <v>S</v>
      </c>
      <c r="Q5" s="14">
        <f>VLOOKUP(TTS_Type,TTS,15,FALSE)</f>
        <v>0.125</v>
      </c>
      <c r="R5" s="14">
        <f>VLOOKUP(TTS_Type,TTS,16,FALSE)</f>
        <v>1.5</v>
      </c>
      <c r="S5" s="14" t="str">
        <f>VLOOKUP(TTS_Type,TTS,17,FALSE)</f>
        <v>S</v>
      </c>
      <c r="T5" s="14" t="str">
        <f>VLOOKUP(TTS_Type,TTS,18,FALSE)</f>
        <v>S</v>
      </c>
      <c r="U5" s="14" t="str">
        <f>VLOOKUP(TTS_Type,TTS,19,FALSE)</f>
        <v>S</v>
      </c>
      <c r="V5" s="14" t="str">
        <f>VLOOKUP(TTS_Type,TTS,20,FALSE)</f>
        <v>S</v>
      </c>
      <c r="W5" s="14" t="str">
        <f>VLOOKUP(TTS_Type,TTS,21,FALSE)</f>
        <v>S</v>
      </c>
      <c r="X5" s="14" t="str">
        <f>VLOOKUP(TTS_Type,TTS,22,FALSE)</f>
        <v>TOP TUBE SUPPORT, WELDED</v>
      </c>
      <c r="Y5" s="14" t="str">
        <f>VLOOKUP(TTS_Type,TTS,23,FALSE)</f>
        <v xml:space="preserve"> </v>
      </c>
      <c r="Z5" s="14" t="str">
        <f>CONCATENATE(B5," - ",Y5)</f>
        <v xml:space="preserve">Weld on -  </v>
      </c>
      <c r="AA5" s="14" t="str">
        <f>CONCATENATE($B$2,$C$2)</f>
        <v>1</v>
      </c>
      <c r="AB5" s="14" t="str">
        <f>CONCATENATE($B$2,$J$2)</f>
        <v>2</v>
      </c>
      <c r="AC5" s="14" t="str">
        <f>_xlfn.CONCAT($AA5,"-",$AB5)</f>
        <v>1-2</v>
      </c>
      <c r="AD5" s="14" t="str">
        <f>CONCATENATE(".",$AA5)</f>
        <v>.1</v>
      </c>
      <c r="AE5" s="14" t="str">
        <f>CONCATENATE(".",$AB5)</f>
        <v>.2</v>
      </c>
      <c r="AF5" s="14" t="str">
        <f>CONCATENATE($AC5,"-SEC")</f>
        <v>1-2-SEC</v>
      </c>
      <c r="AG5" s="14" t="str">
        <f>CONCATENATE($AC5,"-TTS")</f>
        <v>1-2-TTS</v>
      </c>
      <c r="AH5" s="14" t="str">
        <f>LEFT(A2,FIND("_",A2,1)-1)</f>
        <v>000000</v>
      </c>
      <c r="AI5" s="16">
        <v>0</v>
      </c>
      <c r="AJ5" s="16">
        <v>0</v>
      </c>
      <c r="AK5" s="16">
        <v>5</v>
      </c>
      <c r="AL5" s="16">
        <v>16.000000000000004</v>
      </c>
      <c r="AM5" s="13" t="str">
        <f>IF(OR(ROUND($AI$5,0)=360,ROUND($AI$5,2)=0),"None",IF($AI$5&lt;90,"Rear","Front"))</f>
        <v>None</v>
      </c>
      <c r="AN5" s="15" t="s">
        <v>36</v>
      </c>
      <c r="AV5" s="14" t="str">
        <f>CONCATENATE($AC5,"-SEC")</f>
        <v>1-2-SEC</v>
      </c>
    </row>
    <row r="6" spans="1:140" x14ac:dyDescent="0.25">
      <c r="A6" t="str">
        <f>IF(AND(AM6&lt;&gt;"None",ROUND(AL6,0)&gt;=2),"Bolt on Angle (Broke) 02","")</f>
        <v/>
      </c>
      <c r="B6" s="14" t="s">
        <v>4</v>
      </c>
      <c r="C6" s="17" t="str">
        <f t="shared" ref="C6:C14" si="0">C$5</f>
        <v>AXC materials:SA-36</v>
      </c>
      <c r="D6" s="17" t="str">
        <f>Data!C$7</f>
        <v>S</v>
      </c>
      <c r="E6" s="17" t="str">
        <f>Data!D$7</f>
        <v>S</v>
      </c>
      <c r="F6" s="17" t="str">
        <f>Data!E$7</f>
        <v>S</v>
      </c>
      <c r="G6" s="17" t="str">
        <f>Data!F$7</f>
        <v>S</v>
      </c>
      <c r="H6" s="17" t="str">
        <f>Data!G$7</f>
        <v>S</v>
      </c>
      <c r="I6" s="17" t="str">
        <f>Data!H$7</f>
        <v>S</v>
      </c>
      <c r="J6" s="17" t="str">
        <f>Data!I$7</f>
        <v>S</v>
      </c>
      <c r="K6" s="17" t="str">
        <f>Data!J$7</f>
        <v>S</v>
      </c>
      <c r="L6" s="17" t="str">
        <f>Data!K$7</f>
        <v>S</v>
      </c>
      <c r="M6" s="17" t="str">
        <f>Data!L$7</f>
        <v>S</v>
      </c>
      <c r="N6" s="17" t="str">
        <f>Data!M$7</f>
        <v>S</v>
      </c>
      <c r="O6" s="17" t="str">
        <f>Data!N$7</f>
        <v>S</v>
      </c>
      <c r="P6" s="18" t="str">
        <f>Data!O$7</f>
        <v>S</v>
      </c>
      <c r="Q6" s="14">
        <f>IF(AM6="Rear",Data!P$7+(1*AJ6),0.5+(ABS(AL6-1)*AJ6))</f>
        <v>0.5</v>
      </c>
      <c r="R6" s="24">
        <f>Data!Q$7</f>
        <v>1.5</v>
      </c>
      <c r="S6" s="17" t="str">
        <f>Data!R$7</f>
        <v>U</v>
      </c>
      <c r="T6" s="17" t="str">
        <f>Data!S$7</f>
        <v>U</v>
      </c>
      <c r="U6" s="17" t="str">
        <f>Data!T$7</f>
        <v>U</v>
      </c>
      <c r="V6" s="17" t="str">
        <f>Data!U$7</f>
        <v>U</v>
      </c>
      <c r="W6" s="17" t="str">
        <f>Data!V$7</f>
        <v>U</v>
      </c>
      <c r="X6" s="17" t="str">
        <f>Data!W$7</f>
        <v>TOP TUBE SUPPORT, BOLT ON</v>
      </c>
      <c r="Y6" s="17" t="str">
        <f>Data!X$7</f>
        <v xml:space="preserve"> </v>
      </c>
      <c r="Z6" s="17"/>
      <c r="AA6" s="24" t="str">
        <f>$AA$5</f>
        <v>1</v>
      </c>
      <c r="AB6" s="24" t="str">
        <f>$AB$5</f>
        <v>2</v>
      </c>
      <c r="AC6" s="14" t="str">
        <f t="shared" ref="AC6:AC14" si="1">_xlfn.CONCAT($AA6,"-",$AB6)</f>
        <v>1-2</v>
      </c>
      <c r="AD6" s="14" t="str">
        <f t="shared" ref="AD6:AD14" si="2">CONCATENATE(".",$AA6)</f>
        <v>.1</v>
      </c>
      <c r="AE6" s="14" t="str">
        <f t="shared" ref="AE6:AE14" si="3">CONCATENATE(".",$AB6)</f>
        <v>.2</v>
      </c>
      <c r="AF6" s="14" t="str">
        <f t="shared" ref="AF6:AV14" si="4">CONCATENATE($AC6,"-SEC")</f>
        <v>1-2-SEC</v>
      </c>
      <c r="AG6" s="14" t="str">
        <f t="shared" ref="AG6:AG14" si="5">CONCATENATE($AC6,"-TTS")</f>
        <v>1-2-TTS</v>
      </c>
      <c r="AH6" s="24" t="str">
        <f>$AH$5</f>
        <v>000000</v>
      </c>
      <c r="AI6" s="17">
        <f t="shared" ref="AI6:AM14" si="6">AI$5</f>
        <v>0</v>
      </c>
      <c r="AJ6" s="17">
        <f t="shared" si="6"/>
        <v>0</v>
      </c>
      <c r="AK6" s="17">
        <f t="shared" si="6"/>
        <v>5</v>
      </c>
      <c r="AL6" s="17">
        <f t="shared" si="6"/>
        <v>16.000000000000004</v>
      </c>
      <c r="AM6" s="17" t="str">
        <f t="shared" si="6"/>
        <v>None</v>
      </c>
      <c r="AV6" s="14" t="str">
        <f t="shared" si="4"/>
        <v>1-2-SEC</v>
      </c>
    </row>
    <row r="7" spans="1:140" x14ac:dyDescent="0.25">
      <c r="A7" t="str">
        <f>IF(AND(AM7&lt;&gt;"None",ROUND(AL7,0)&gt;=3),"Bolt on Angle (Broke) 03","")</f>
        <v/>
      </c>
      <c r="B7" s="14" t="s">
        <v>4</v>
      </c>
      <c r="C7" s="17" t="str">
        <f t="shared" si="0"/>
        <v>AXC materials:SA-36</v>
      </c>
      <c r="D7" s="17" t="str">
        <f>Data!C$7</f>
        <v>S</v>
      </c>
      <c r="E7" s="17" t="str">
        <f>Data!D$7</f>
        <v>S</v>
      </c>
      <c r="F7" s="17" t="str">
        <f>Data!E$7</f>
        <v>S</v>
      </c>
      <c r="G7" s="17" t="str">
        <f>Data!F$7</f>
        <v>S</v>
      </c>
      <c r="H7" s="17" t="str">
        <f>Data!G$7</f>
        <v>S</v>
      </c>
      <c r="I7" s="17" t="str">
        <f>Data!H$7</f>
        <v>S</v>
      </c>
      <c r="J7" s="17" t="str">
        <f>Data!I$7</f>
        <v>S</v>
      </c>
      <c r="K7" s="17" t="str">
        <f>Data!J$7</f>
        <v>S</v>
      </c>
      <c r="L7" s="17" t="str">
        <f>Data!K$7</f>
        <v>S</v>
      </c>
      <c r="M7" s="17" t="str">
        <f>Data!L$7</f>
        <v>S</v>
      </c>
      <c r="N7" s="17" t="str">
        <f>Data!M$7</f>
        <v>S</v>
      </c>
      <c r="O7" s="17" t="str">
        <f>Data!N$7</f>
        <v>S</v>
      </c>
      <c r="P7" s="18" t="str">
        <f>Data!O$7</f>
        <v>S</v>
      </c>
      <c r="Q7" s="14">
        <f>IF(AM7="Rear",Data!P$7+(2*AJ7),0.5+(ABS(AL7-2)*AJ7))</f>
        <v>0.5</v>
      </c>
      <c r="R7" s="24">
        <f>Data!Q$7</f>
        <v>1.5</v>
      </c>
      <c r="S7" s="17" t="str">
        <f>Data!R$7</f>
        <v>U</v>
      </c>
      <c r="T7" s="17" t="str">
        <f>Data!S$7</f>
        <v>U</v>
      </c>
      <c r="U7" s="17" t="str">
        <f>Data!T$7</f>
        <v>U</v>
      </c>
      <c r="V7" s="17" t="str">
        <f>Data!U$7</f>
        <v>U</v>
      </c>
      <c r="W7" s="17" t="str">
        <f>Data!V$7</f>
        <v>U</v>
      </c>
      <c r="X7" s="17" t="str">
        <f>Data!W$7</f>
        <v>TOP TUBE SUPPORT, BOLT ON</v>
      </c>
      <c r="Y7" s="17" t="str">
        <f>Data!X$7</f>
        <v xml:space="preserve"> </v>
      </c>
      <c r="Z7" s="17"/>
      <c r="AA7" s="24" t="str">
        <f t="shared" ref="AA7:AA14" si="7">$AA$5</f>
        <v>1</v>
      </c>
      <c r="AB7" s="24" t="str">
        <f t="shared" ref="AB7:AB14" si="8">$AB$5</f>
        <v>2</v>
      </c>
      <c r="AC7" s="14" t="str">
        <f t="shared" si="1"/>
        <v>1-2</v>
      </c>
      <c r="AD7" s="14" t="str">
        <f t="shared" si="2"/>
        <v>.1</v>
      </c>
      <c r="AE7" s="14" t="str">
        <f t="shared" si="3"/>
        <v>.2</v>
      </c>
      <c r="AF7" s="14" t="str">
        <f t="shared" si="4"/>
        <v>1-2-SEC</v>
      </c>
      <c r="AG7" s="14" t="str">
        <f t="shared" si="5"/>
        <v>1-2-TTS</v>
      </c>
      <c r="AH7" s="24" t="str">
        <f t="shared" ref="AH7:AH14" si="9">$AH$5</f>
        <v>000000</v>
      </c>
      <c r="AI7" s="17">
        <f t="shared" si="6"/>
        <v>0</v>
      </c>
      <c r="AJ7" s="17">
        <f t="shared" si="6"/>
        <v>0</v>
      </c>
      <c r="AK7" s="17">
        <f t="shared" si="6"/>
        <v>5</v>
      </c>
      <c r="AL7" s="17">
        <f t="shared" si="6"/>
        <v>16.000000000000004</v>
      </c>
      <c r="AM7" s="17" t="str">
        <f t="shared" si="6"/>
        <v>None</v>
      </c>
      <c r="AV7" s="14" t="str">
        <f t="shared" si="4"/>
        <v>1-2-SEC</v>
      </c>
    </row>
    <row r="8" spans="1:140" x14ac:dyDescent="0.25">
      <c r="A8" t="str">
        <f>IF(AND(AM8&lt;&gt;"None",ROUND(AL8,0)&gt;=4),"Bolt on Angle (Broke) 04","")</f>
        <v/>
      </c>
      <c r="B8" s="14" t="s">
        <v>4</v>
      </c>
      <c r="C8" s="17" t="str">
        <f t="shared" si="0"/>
        <v>AXC materials:SA-36</v>
      </c>
      <c r="D8" s="17" t="str">
        <f>Data!C$7</f>
        <v>S</v>
      </c>
      <c r="E8" s="17" t="str">
        <f>Data!D$7</f>
        <v>S</v>
      </c>
      <c r="F8" s="17" t="str">
        <f>Data!E$7</f>
        <v>S</v>
      </c>
      <c r="G8" s="17" t="str">
        <f>Data!F$7</f>
        <v>S</v>
      </c>
      <c r="H8" s="17" t="str">
        <f>Data!G$7</f>
        <v>S</v>
      </c>
      <c r="I8" s="17" t="str">
        <f>Data!H$7</f>
        <v>S</v>
      </c>
      <c r="J8" s="17" t="str">
        <f>Data!I$7</f>
        <v>S</v>
      </c>
      <c r="K8" s="17" t="str">
        <f>Data!J$7</f>
        <v>S</v>
      </c>
      <c r="L8" s="17" t="str">
        <f>Data!K$7</f>
        <v>S</v>
      </c>
      <c r="M8" s="17" t="str">
        <f>Data!L$7</f>
        <v>S</v>
      </c>
      <c r="N8" s="17" t="str">
        <f>Data!M$7</f>
        <v>S</v>
      </c>
      <c r="O8" s="17" t="str">
        <f>Data!N$7</f>
        <v>S</v>
      </c>
      <c r="P8" s="18" t="str">
        <f>Data!O$7</f>
        <v>S</v>
      </c>
      <c r="Q8" s="14">
        <f>IF(AM8="Rear",Data!P$7+(3*AJ8),0.5+(ABS(AL8-3)*AJ8))</f>
        <v>0.5</v>
      </c>
      <c r="R8" s="24">
        <f>Data!Q$7</f>
        <v>1.5</v>
      </c>
      <c r="S8" s="17" t="str">
        <f>Data!R$7</f>
        <v>U</v>
      </c>
      <c r="T8" s="17" t="str">
        <f>Data!S$7</f>
        <v>U</v>
      </c>
      <c r="U8" s="17" t="str">
        <f>Data!T$7</f>
        <v>U</v>
      </c>
      <c r="V8" s="17" t="str">
        <f>Data!U$7</f>
        <v>U</v>
      </c>
      <c r="W8" s="17" t="str">
        <f>Data!V$7</f>
        <v>U</v>
      </c>
      <c r="X8" s="17" t="str">
        <f>Data!W$7</f>
        <v>TOP TUBE SUPPORT, BOLT ON</v>
      </c>
      <c r="Y8" s="17" t="str">
        <f>Data!X$7</f>
        <v xml:space="preserve"> </v>
      </c>
      <c r="Z8" s="17"/>
      <c r="AA8" s="24" t="str">
        <f t="shared" si="7"/>
        <v>1</v>
      </c>
      <c r="AB8" s="24" t="str">
        <f t="shared" si="8"/>
        <v>2</v>
      </c>
      <c r="AC8" s="14" t="str">
        <f t="shared" si="1"/>
        <v>1-2</v>
      </c>
      <c r="AD8" s="14" t="str">
        <f t="shared" si="2"/>
        <v>.1</v>
      </c>
      <c r="AE8" s="14" t="str">
        <f t="shared" si="3"/>
        <v>.2</v>
      </c>
      <c r="AF8" s="14" t="str">
        <f t="shared" si="4"/>
        <v>1-2-SEC</v>
      </c>
      <c r="AG8" s="14" t="str">
        <f t="shared" si="5"/>
        <v>1-2-TTS</v>
      </c>
      <c r="AH8" s="24" t="str">
        <f t="shared" si="9"/>
        <v>000000</v>
      </c>
      <c r="AI8" s="17">
        <f t="shared" si="6"/>
        <v>0</v>
      </c>
      <c r="AJ8" s="17">
        <f t="shared" si="6"/>
        <v>0</v>
      </c>
      <c r="AK8" s="17">
        <f t="shared" si="6"/>
        <v>5</v>
      </c>
      <c r="AL8" s="17">
        <f t="shared" si="6"/>
        <v>16.000000000000004</v>
      </c>
      <c r="AM8" s="17" t="str">
        <f t="shared" si="6"/>
        <v>None</v>
      </c>
      <c r="AV8" s="14" t="str">
        <f t="shared" si="4"/>
        <v>1-2-SEC</v>
      </c>
    </row>
    <row r="9" spans="1:140" x14ac:dyDescent="0.25">
      <c r="A9" t="str">
        <f>IF(AND(AM9&lt;&gt;"None",ROUND(AL9,0)&gt;=5),"Bolt on Angle (Broke) 05","")</f>
        <v/>
      </c>
      <c r="B9" s="14" t="s">
        <v>4</v>
      </c>
      <c r="C9" s="17" t="str">
        <f t="shared" si="0"/>
        <v>AXC materials:SA-36</v>
      </c>
      <c r="D9" s="17" t="str">
        <f>Data!C$7</f>
        <v>S</v>
      </c>
      <c r="E9" s="17" t="str">
        <f>Data!D$7</f>
        <v>S</v>
      </c>
      <c r="F9" s="17" t="str">
        <f>Data!E$7</f>
        <v>S</v>
      </c>
      <c r="G9" s="17" t="str">
        <f>Data!F$7</f>
        <v>S</v>
      </c>
      <c r="H9" s="17" t="str">
        <f>Data!G$7</f>
        <v>S</v>
      </c>
      <c r="I9" s="17" t="str">
        <f>Data!H$7</f>
        <v>S</v>
      </c>
      <c r="J9" s="17" t="str">
        <f>Data!I$7</f>
        <v>S</v>
      </c>
      <c r="K9" s="17" t="str">
        <f>Data!J$7</f>
        <v>S</v>
      </c>
      <c r="L9" s="17" t="str">
        <f>Data!K$7</f>
        <v>S</v>
      </c>
      <c r="M9" s="17" t="str">
        <f>Data!L$7</f>
        <v>S</v>
      </c>
      <c r="N9" s="17" t="str">
        <f>Data!M$7</f>
        <v>S</v>
      </c>
      <c r="O9" s="17" t="str">
        <f>Data!N$7</f>
        <v>S</v>
      </c>
      <c r="P9" s="18" t="str">
        <f>Data!O$7</f>
        <v>S</v>
      </c>
      <c r="Q9" s="14">
        <f>IF(AM9="Rear",Data!P$7+(4*AJ9),0.5+(ABS(AL9-4)*AJ9))</f>
        <v>0.5</v>
      </c>
      <c r="R9" s="24">
        <f>Data!Q$7</f>
        <v>1.5</v>
      </c>
      <c r="S9" s="17" t="str">
        <f>Data!R$7</f>
        <v>U</v>
      </c>
      <c r="T9" s="17" t="str">
        <f>Data!S$7</f>
        <v>U</v>
      </c>
      <c r="U9" s="17" t="str">
        <f>Data!T$7</f>
        <v>U</v>
      </c>
      <c r="V9" s="17" t="str">
        <f>Data!U$7</f>
        <v>U</v>
      </c>
      <c r="W9" s="17" t="str">
        <f>Data!V$7</f>
        <v>U</v>
      </c>
      <c r="X9" s="17" t="str">
        <f>Data!W$7</f>
        <v>TOP TUBE SUPPORT, BOLT ON</v>
      </c>
      <c r="Y9" s="17" t="str">
        <f>Data!X$7</f>
        <v xml:space="preserve"> </v>
      </c>
      <c r="Z9" s="17"/>
      <c r="AA9" s="24" t="str">
        <f t="shared" si="7"/>
        <v>1</v>
      </c>
      <c r="AB9" s="24" t="str">
        <f t="shared" si="8"/>
        <v>2</v>
      </c>
      <c r="AC9" s="14" t="str">
        <f t="shared" si="1"/>
        <v>1-2</v>
      </c>
      <c r="AD9" s="14" t="str">
        <f t="shared" si="2"/>
        <v>.1</v>
      </c>
      <c r="AE9" s="14" t="str">
        <f t="shared" si="3"/>
        <v>.2</v>
      </c>
      <c r="AF9" s="14" t="str">
        <f t="shared" si="4"/>
        <v>1-2-SEC</v>
      </c>
      <c r="AG9" s="14" t="str">
        <f t="shared" si="5"/>
        <v>1-2-TTS</v>
      </c>
      <c r="AH9" s="24" t="str">
        <f t="shared" si="9"/>
        <v>000000</v>
      </c>
      <c r="AI9" s="17">
        <f t="shared" si="6"/>
        <v>0</v>
      </c>
      <c r="AJ9" s="17">
        <f t="shared" si="6"/>
        <v>0</v>
      </c>
      <c r="AK9" s="17">
        <f t="shared" si="6"/>
        <v>5</v>
      </c>
      <c r="AL9" s="17">
        <f t="shared" si="6"/>
        <v>16.000000000000004</v>
      </c>
      <c r="AM9" s="17" t="str">
        <f t="shared" si="6"/>
        <v>None</v>
      </c>
      <c r="AV9" s="14" t="str">
        <f t="shared" si="4"/>
        <v>1-2-SEC</v>
      </c>
    </row>
    <row r="10" spans="1:140" x14ac:dyDescent="0.25">
      <c r="A10" t="str">
        <f>IF(AND(AM10&lt;&gt;"None",ROUND(AL10,0)&gt;=6),"Bolt on Angle (Broke) 06","")</f>
        <v/>
      </c>
      <c r="B10" s="14" t="s">
        <v>4</v>
      </c>
      <c r="C10" s="17" t="str">
        <f t="shared" si="0"/>
        <v>AXC materials:SA-36</v>
      </c>
      <c r="D10" s="17" t="str">
        <f>Data!C$7</f>
        <v>S</v>
      </c>
      <c r="E10" s="17" t="str">
        <f>Data!D$7</f>
        <v>S</v>
      </c>
      <c r="F10" s="17" t="str">
        <f>Data!E$7</f>
        <v>S</v>
      </c>
      <c r="G10" s="17" t="str">
        <f>Data!F$7</f>
        <v>S</v>
      </c>
      <c r="H10" s="17" t="str">
        <f>Data!G$7</f>
        <v>S</v>
      </c>
      <c r="I10" s="17" t="str">
        <f>Data!H$7</f>
        <v>S</v>
      </c>
      <c r="J10" s="17" t="str">
        <f>Data!I$7</f>
        <v>S</v>
      </c>
      <c r="K10" s="17" t="str">
        <f>Data!J$7</f>
        <v>S</v>
      </c>
      <c r="L10" s="17" t="str">
        <f>Data!K$7</f>
        <v>S</v>
      </c>
      <c r="M10" s="17" t="str">
        <f>Data!L$7</f>
        <v>S</v>
      </c>
      <c r="N10" s="17" t="str">
        <f>Data!M$7</f>
        <v>S</v>
      </c>
      <c r="O10" s="17" t="str">
        <f>Data!N$7</f>
        <v>S</v>
      </c>
      <c r="P10" s="18" t="str">
        <f>Data!O$7</f>
        <v>S</v>
      </c>
      <c r="Q10" s="14">
        <f>IF(AM10="Rear",Data!P$7+(5*AJ10),0.5+(ABS(AL10-5)*AJ10))</f>
        <v>0.5</v>
      </c>
      <c r="R10" s="24">
        <f>Data!Q$7</f>
        <v>1.5</v>
      </c>
      <c r="S10" s="17" t="str">
        <f>Data!R$7</f>
        <v>U</v>
      </c>
      <c r="T10" s="17" t="str">
        <f>Data!S$7</f>
        <v>U</v>
      </c>
      <c r="U10" s="17" t="str">
        <f>Data!T$7</f>
        <v>U</v>
      </c>
      <c r="V10" s="17" t="str">
        <f>Data!U$7</f>
        <v>U</v>
      </c>
      <c r="W10" s="17" t="str">
        <f>Data!V$7</f>
        <v>U</v>
      </c>
      <c r="X10" s="17" t="str">
        <f>Data!W$7</f>
        <v>TOP TUBE SUPPORT, BOLT ON</v>
      </c>
      <c r="Y10" s="17" t="str">
        <f>Data!X$7</f>
        <v xml:space="preserve"> </v>
      </c>
      <c r="Z10" s="17"/>
      <c r="AA10" s="24" t="str">
        <f t="shared" si="7"/>
        <v>1</v>
      </c>
      <c r="AB10" s="24" t="str">
        <f t="shared" si="8"/>
        <v>2</v>
      </c>
      <c r="AC10" s="14" t="str">
        <f t="shared" si="1"/>
        <v>1-2</v>
      </c>
      <c r="AD10" s="14" t="str">
        <f t="shared" si="2"/>
        <v>.1</v>
      </c>
      <c r="AE10" s="14" t="str">
        <f t="shared" si="3"/>
        <v>.2</v>
      </c>
      <c r="AF10" s="14" t="str">
        <f t="shared" si="4"/>
        <v>1-2-SEC</v>
      </c>
      <c r="AG10" s="14" t="str">
        <f t="shared" si="5"/>
        <v>1-2-TTS</v>
      </c>
      <c r="AH10" s="24" t="str">
        <f t="shared" si="9"/>
        <v>000000</v>
      </c>
      <c r="AI10" s="17">
        <f t="shared" si="6"/>
        <v>0</v>
      </c>
      <c r="AJ10" s="17">
        <f t="shared" si="6"/>
        <v>0</v>
      </c>
      <c r="AK10" s="17">
        <f t="shared" si="6"/>
        <v>5</v>
      </c>
      <c r="AL10" s="17">
        <f t="shared" si="6"/>
        <v>16.000000000000004</v>
      </c>
      <c r="AM10" s="17" t="str">
        <f t="shared" si="6"/>
        <v>None</v>
      </c>
      <c r="AV10" s="14" t="str">
        <f t="shared" si="4"/>
        <v>1-2-SEC</v>
      </c>
    </row>
    <row r="11" spans="1:140" x14ac:dyDescent="0.25">
      <c r="A11" t="str">
        <f>IF(AND(AM11&lt;&gt;"None",ROUND(AL11,0)&gt;=7),"Bolt on Angle (Broke) 07","")</f>
        <v/>
      </c>
      <c r="B11" s="14" t="s">
        <v>4</v>
      </c>
      <c r="C11" s="17" t="str">
        <f t="shared" si="0"/>
        <v>AXC materials:SA-36</v>
      </c>
      <c r="D11" s="17" t="str">
        <f>Data!C$7</f>
        <v>S</v>
      </c>
      <c r="E11" s="17" t="str">
        <f>Data!D$7</f>
        <v>S</v>
      </c>
      <c r="F11" s="17" t="str">
        <f>Data!E$7</f>
        <v>S</v>
      </c>
      <c r="G11" s="17" t="str">
        <f>Data!F$7</f>
        <v>S</v>
      </c>
      <c r="H11" s="17" t="str">
        <f>Data!G$7</f>
        <v>S</v>
      </c>
      <c r="I11" s="17" t="str">
        <f>Data!H$7</f>
        <v>S</v>
      </c>
      <c r="J11" s="17" t="str">
        <f>Data!I$7</f>
        <v>S</v>
      </c>
      <c r="K11" s="17" t="str">
        <f>Data!J$7</f>
        <v>S</v>
      </c>
      <c r="L11" s="17" t="str">
        <f>Data!K$7</f>
        <v>S</v>
      </c>
      <c r="M11" s="17" t="str">
        <f>Data!L$7</f>
        <v>S</v>
      </c>
      <c r="N11" s="17" t="str">
        <f>Data!M$7</f>
        <v>S</v>
      </c>
      <c r="O11" s="17" t="str">
        <f>Data!N$7</f>
        <v>S</v>
      </c>
      <c r="P11" s="18" t="str">
        <f>Data!O$7</f>
        <v>S</v>
      </c>
      <c r="Q11" s="14">
        <f>IF(AM11="Rear",Data!P$7+(6*AJ11),0.5+(ABS(AL11-6)*AJ11))</f>
        <v>0.5</v>
      </c>
      <c r="R11" s="24">
        <f>Data!Q$7</f>
        <v>1.5</v>
      </c>
      <c r="S11" s="17" t="str">
        <f>Data!R$7</f>
        <v>U</v>
      </c>
      <c r="T11" s="17" t="str">
        <f>Data!S$7</f>
        <v>U</v>
      </c>
      <c r="U11" s="17" t="str">
        <f>Data!T$7</f>
        <v>U</v>
      </c>
      <c r="V11" s="17" t="str">
        <f>Data!U$7</f>
        <v>U</v>
      </c>
      <c r="W11" s="17" t="str">
        <f>Data!V$7</f>
        <v>U</v>
      </c>
      <c r="X11" s="17" t="str">
        <f>Data!W$7</f>
        <v>TOP TUBE SUPPORT, BOLT ON</v>
      </c>
      <c r="Y11" s="17" t="str">
        <f>Data!X$7</f>
        <v xml:space="preserve"> </v>
      </c>
      <c r="Z11" s="17"/>
      <c r="AA11" s="24" t="str">
        <f t="shared" si="7"/>
        <v>1</v>
      </c>
      <c r="AB11" s="24" t="str">
        <f t="shared" si="8"/>
        <v>2</v>
      </c>
      <c r="AC11" s="14" t="str">
        <f t="shared" si="1"/>
        <v>1-2</v>
      </c>
      <c r="AD11" s="14" t="str">
        <f t="shared" si="2"/>
        <v>.1</v>
      </c>
      <c r="AE11" s="14" t="str">
        <f t="shared" si="3"/>
        <v>.2</v>
      </c>
      <c r="AF11" s="14" t="str">
        <f t="shared" si="4"/>
        <v>1-2-SEC</v>
      </c>
      <c r="AG11" s="14" t="str">
        <f t="shared" si="5"/>
        <v>1-2-TTS</v>
      </c>
      <c r="AH11" s="24" t="str">
        <f t="shared" si="9"/>
        <v>000000</v>
      </c>
      <c r="AI11" s="17">
        <f t="shared" si="6"/>
        <v>0</v>
      </c>
      <c r="AJ11" s="17">
        <f t="shared" si="6"/>
        <v>0</v>
      </c>
      <c r="AK11" s="17">
        <f t="shared" si="6"/>
        <v>5</v>
      </c>
      <c r="AL11" s="17">
        <f t="shared" si="6"/>
        <v>16.000000000000004</v>
      </c>
      <c r="AM11" s="17" t="str">
        <f t="shared" si="6"/>
        <v>None</v>
      </c>
      <c r="AV11" s="14" t="str">
        <f t="shared" si="4"/>
        <v>1-2-SEC</v>
      </c>
    </row>
    <row r="12" spans="1:140" x14ac:dyDescent="0.25">
      <c r="A12" t="str">
        <f>IF(AND(AM12&lt;&gt;"None",ROUND(AL12,0)&gt;=8),"Bolt on Angle (Broke) 08","")</f>
        <v/>
      </c>
      <c r="B12" s="14" t="s">
        <v>4</v>
      </c>
      <c r="C12" s="17" t="str">
        <f t="shared" si="0"/>
        <v>AXC materials:SA-36</v>
      </c>
      <c r="D12" s="17" t="str">
        <f>Data!C$7</f>
        <v>S</v>
      </c>
      <c r="E12" s="17" t="str">
        <f>Data!D$7</f>
        <v>S</v>
      </c>
      <c r="F12" s="17" t="str">
        <f>Data!E$7</f>
        <v>S</v>
      </c>
      <c r="G12" s="17" t="str">
        <f>Data!F$7</f>
        <v>S</v>
      </c>
      <c r="H12" s="17" t="str">
        <f>Data!G$7</f>
        <v>S</v>
      </c>
      <c r="I12" s="17" t="str">
        <f>Data!H$7</f>
        <v>S</v>
      </c>
      <c r="J12" s="17" t="str">
        <f>Data!I$7</f>
        <v>S</v>
      </c>
      <c r="K12" s="17" t="str">
        <f>Data!J$7</f>
        <v>S</v>
      </c>
      <c r="L12" s="17" t="str">
        <f>Data!K$7</f>
        <v>S</v>
      </c>
      <c r="M12" s="17" t="str">
        <f>Data!L$7</f>
        <v>S</v>
      </c>
      <c r="N12" s="17" t="str">
        <f>Data!M$7</f>
        <v>S</v>
      </c>
      <c r="O12" s="17" t="str">
        <f>Data!N$7</f>
        <v>S</v>
      </c>
      <c r="P12" s="18" t="str">
        <f>Data!O$7</f>
        <v>S</v>
      </c>
      <c r="Q12" s="14">
        <f>IF(AM12="Rear",Data!P$7+(7*AJ12),0.5+(ABS(AL12-7)*AJ12))</f>
        <v>0.5</v>
      </c>
      <c r="R12" s="24">
        <f>Data!Q$7</f>
        <v>1.5</v>
      </c>
      <c r="S12" s="17" t="str">
        <f>Data!R$7</f>
        <v>U</v>
      </c>
      <c r="T12" s="17" t="str">
        <f>Data!S$7</f>
        <v>U</v>
      </c>
      <c r="U12" s="17" t="str">
        <f>Data!T$7</f>
        <v>U</v>
      </c>
      <c r="V12" s="17" t="str">
        <f>Data!U$7</f>
        <v>U</v>
      </c>
      <c r="W12" s="17" t="str">
        <f>Data!V$7</f>
        <v>U</v>
      </c>
      <c r="X12" s="17" t="str">
        <f>Data!W$7</f>
        <v>TOP TUBE SUPPORT, BOLT ON</v>
      </c>
      <c r="Y12" s="17" t="str">
        <f>Data!X$7</f>
        <v xml:space="preserve"> </v>
      </c>
      <c r="Z12" s="17"/>
      <c r="AA12" s="24" t="str">
        <f t="shared" si="7"/>
        <v>1</v>
      </c>
      <c r="AB12" s="24" t="str">
        <f t="shared" si="8"/>
        <v>2</v>
      </c>
      <c r="AC12" s="14" t="str">
        <f t="shared" si="1"/>
        <v>1-2</v>
      </c>
      <c r="AD12" s="14" t="str">
        <f t="shared" si="2"/>
        <v>.1</v>
      </c>
      <c r="AE12" s="14" t="str">
        <f t="shared" si="3"/>
        <v>.2</v>
      </c>
      <c r="AF12" s="14" t="str">
        <f t="shared" si="4"/>
        <v>1-2-SEC</v>
      </c>
      <c r="AG12" s="14" t="str">
        <f t="shared" si="5"/>
        <v>1-2-TTS</v>
      </c>
      <c r="AH12" s="24" t="str">
        <f t="shared" si="9"/>
        <v>000000</v>
      </c>
      <c r="AI12" s="17">
        <f t="shared" si="6"/>
        <v>0</v>
      </c>
      <c r="AJ12" s="17">
        <f t="shared" si="6"/>
        <v>0</v>
      </c>
      <c r="AK12" s="17">
        <f t="shared" si="6"/>
        <v>5</v>
      </c>
      <c r="AL12" s="17">
        <f t="shared" si="6"/>
        <v>16.000000000000004</v>
      </c>
      <c r="AM12" s="17" t="str">
        <f t="shared" si="6"/>
        <v>None</v>
      </c>
      <c r="AV12" s="14" t="str">
        <f t="shared" si="4"/>
        <v>1-2-SEC</v>
      </c>
    </row>
    <row r="13" spans="1:140" x14ac:dyDescent="0.25">
      <c r="A13" t="str">
        <f>IF(AND(AM13&lt;&gt;"None",ROUND(AL13,0)&gt;=9),"Bolt on Angle (Broke) 09","")</f>
        <v/>
      </c>
      <c r="B13" s="14" t="s">
        <v>4</v>
      </c>
      <c r="C13" s="17" t="str">
        <f t="shared" si="0"/>
        <v>AXC materials:SA-36</v>
      </c>
      <c r="D13" s="17" t="str">
        <f>Data!C$7</f>
        <v>S</v>
      </c>
      <c r="E13" s="17" t="str">
        <f>Data!D$7</f>
        <v>S</v>
      </c>
      <c r="F13" s="17" t="str">
        <f>Data!E$7</f>
        <v>S</v>
      </c>
      <c r="G13" s="17" t="str">
        <f>Data!F$7</f>
        <v>S</v>
      </c>
      <c r="H13" s="17" t="str">
        <f>Data!G$7</f>
        <v>S</v>
      </c>
      <c r="I13" s="17" t="str">
        <f>Data!H$7</f>
        <v>S</v>
      </c>
      <c r="J13" s="17" t="str">
        <f>Data!I$7</f>
        <v>S</v>
      </c>
      <c r="K13" s="17" t="str">
        <f>Data!J$7</f>
        <v>S</v>
      </c>
      <c r="L13" s="17" t="str">
        <f>Data!K$7</f>
        <v>S</v>
      </c>
      <c r="M13" s="17" t="str">
        <f>Data!L$7</f>
        <v>S</v>
      </c>
      <c r="N13" s="17" t="str">
        <f>Data!M$7</f>
        <v>S</v>
      </c>
      <c r="O13" s="17" t="str">
        <f>Data!N$7</f>
        <v>S</v>
      </c>
      <c r="P13" s="18" t="str">
        <f>Data!O$7</f>
        <v>S</v>
      </c>
      <c r="Q13" s="14">
        <f>IF(AM13="Rear",Data!P$7+(8*AJ13),0.5+(ABS(AL13-8)*AJ13))</f>
        <v>0.5</v>
      </c>
      <c r="R13" s="24">
        <f>Data!Q$7</f>
        <v>1.5</v>
      </c>
      <c r="S13" s="17" t="str">
        <f>Data!R$7</f>
        <v>U</v>
      </c>
      <c r="T13" s="17" t="str">
        <f>Data!S$7</f>
        <v>U</v>
      </c>
      <c r="U13" s="17" t="str">
        <f>Data!T$7</f>
        <v>U</v>
      </c>
      <c r="V13" s="17" t="str">
        <f>Data!U$7</f>
        <v>U</v>
      </c>
      <c r="W13" s="17" t="str">
        <f>Data!V$7</f>
        <v>U</v>
      </c>
      <c r="X13" s="17" t="str">
        <f>Data!W$7</f>
        <v>TOP TUBE SUPPORT, BOLT ON</v>
      </c>
      <c r="Y13" s="17" t="str">
        <f>Data!X$7</f>
        <v xml:space="preserve"> </v>
      </c>
      <c r="Z13" s="17"/>
      <c r="AA13" s="24" t="str">
        <f t="shared" si="7"/>
        <v>1</v>
      </c>
      <c r="AB13" s="24" t="str">
        <f t="shared" si="8"/>
        <v>2</v>
      </c>
      <c r="AC13" s="14" t="str">
        <f t="shared" si="1"/>
        <v>1-2</v>
      </c>
      <c r="AD13" s="14" t="str">
        <f t="shared" si="2"/>
        <v>.1</v>
      </c>
      <c r="AE13" s="14" t="str">
        <f t="shared" si="3"/>
        <v>.2</v>
      </c>
      <c r="AF13" s="14" t="str">
        <f t="shared" si="4"/>
        <v>1-2-SEC</v>
      </c>
      <c r="AG13" s="14" t="str">
        <f t="shared" si="5"/>
        <v>1-2-TTS</v>
      </c>
      <c r="AH13" s="24" t="str">
        <f t="shared" si="9"/>
        <v>000000</v>
      </c>
      <c r="AI13" s="17">
        <f t="shared" si="6"/>
        <v>0</v>
      </c>
      <c r="AJ13" s="17">
        <f t="shared" si="6"/>
        <v>0</v>
      </c>
      <c r="AK13" s="17">
        <f t="shared" si="6"/>
        <v>5</v>
      </c>
      <c r="AL13" s="17">
        <f t="shared" si="6"/>
        <v>16.000000000000004</v>
      </c>
      <c r="AM13" s="17" t="str">
        <f t="shared" si="6"/>
        <v>None</v>
      </c>
      <c r="AV13" s="14" t="str">
        <f t="shared" si="4"/>
        <v>1-2-SEC</v>
      </c>
    </row>
    <row r="14" spans="1:140" x14ac:dyDescent="0.25">
      <c r="A14" t="str">
        <f>IF(AND(AM14&lt;&gt;"None",ROUND(AL14,0)&gt;=10),"Bolt on Angle (Broke) 10","")</f>
        <v/>
      </c>
      <c r="B14" s="14" t="s">
        <v>4</v>
      </c>
      <c r="C14" s="17" t="str">
        <f t="shared" si="0"/>
        <v>AXC materials:SA-36</v>
      </c>
      <c r="D14" s="17" t="str">
        <f>Data!C$7</f>
        <v>S</v>
      </c>
      <c r="E14" s="17" t="str">
        <f>Data!D$7</f>
        <v>S</v>
      </c>
      <c r="F14" s="17" t="str">
        <f>Data!E$7</f>
        <v>S</v>
      </c>
      <c r="G14" s="17" t="str">
        <f>Data!F$7</f>
        <v>S</v>
      </c>
      <c r="H14" s="17" t="str">
        <f>Data!G$7</f>
        <v>S</v>
      </c>
      <c r="I14" s="17" t="str">
        <f>Data!H$7</f>
        <v>S</v>
      </c>
      <c r="J14" s="17" t="str">
        <f>Data!I$7</f>
        <v>S</v>
      </c>
      <c r="K14" s="17" t="str">
        <f>Data!J$7</f>
        <v>S</v>
      </c>
      <c r="L14" s="17" t="str">
        <f>Data!K$7</f>
        <v>S</v>
      </c>
      <c r="M14" s="17" t="str">
        <f>Data!L$7</f>
        <v>S</v>
      </c>
      <c r="N14" s="17" t="str">
        <f>Data!M$7</f>
        <v>S</v>
      </c>
      <c r="O14" s="17" t="str">
        <f>Data!N$7</f>
        <v>S</v>
      </c>
      <c r="P14" s="18" t="str">
        <f>Data!O$7</f>
        <v>S</v>
      </c>
      <c r="Q14" s="14">
        <f>IF(AM14="Rear",Data!P$7+(9*AJ14),0.5+(ABS(AL14-9)*AJ14))</f>
        <v>0.5</v>
      </c>
      <c r="R14" s="24">
        <f>Data!Q$7</f>
        <v>1.5</v>
      </c>
      <c r="S14" s="17" t="str">
        <f>Data!R$7</f>
        <v>U</v>
      </c>
      <c r="T14" s="17" t="str">
        <f>Data!S$7</f>
        <v>U</v>
      </c>
      <c r="U14" s="17" t="str">
        <f>Data!T$7</f>
        <v>U</v>
      </c>
      <c r="V14" s="17" t="str">
        <f>Data!U$7</f>
        <v>U</v>
      </c>
      <c r="W14" s="17" t="str">
        <f>Data!V$7</f>
        <v>U</v>
      </c>
      <c r="X14" s="17" t="str">
        <f>Data!W$7</f>
        <v>TOP TUBE SUPPORT, BOLT ON</v>
      </c>
      <c r="Y14" s="17" t="str">
        <f>Data!X$7</f>
        <v xml:space="preserve"> </v>
      </c>
      <c r="Z14" s="17"/>
      <c r="AA14" s="24" t="str">
        <f t="shared" si="7"/>
        <v>1</v>
      </c>
      <c r="AB14" s="24" t="str">
        <f t="shared" si="8"/>
        <v>2</v>
      </c>
      <c r="AC14" s="14" t="str">
        <f t="shared" si="1"/>
        <v>1-2</v>
      </c>
      <c r="AD14" s="14" t="str">
        <f t="shared" si="2"/>
        <v>.1</v>
      </c>
      <c r="AE14" s="14" t="str">
        <f t="shared" si="3"/>
        <v>.2</v>
      </c>
      <c r="AF14" s="14" t="str">
        <f t="shared" si="4"/>
        <v>1-2-SEC</v>
      </c>
      <c r="AG14" s="14" t="str">
        <f t="shared" si="5"/>
        <v>1-2-TTS</v>
      </c>
      <c r="AH14" s="24" t="str">
        <f t="shared" si="9"/>
        <v>000000</v>
      </c>
      <c r="AI14" s="17">
        <f t="shared" si="6"/>
        <v>0</v>
      </c>
      <c r="AJ14" s="17">
        <f t="shared" si="6"/>
        <v>0</v>
      </c>
      <c r="AK14" s="17">
        <f t="shared" si="6"/>
        <v>5</v>
      </c>
      <c r="AL14" s="17">
        <f t="shared" si="6"/>
        <v>16.000000000000004</v>
      </c>
      <c r="AM14" s="17" t="str">
        <f t="shared" si="6"/>
        <v>None</v>
      </c>
      <c r="AV14" s="14" t="str">
        <f t="shared" si="4"/>
        <v>1-2-SEC</v>
      </c>
    </row>
    <row r="15" spans="1:140" s="3" customFormat="1" x14ac:dyDescent="0.25">
      <c r="A15" s="2"/>
      <c r="B15" s="2"/>
      <c r="D15" s="2"/>
      <c r="E15" s="2"/>
      <c r="F15" s="2"/>
      <c r="G15" s="7"/>
      <c r="H15" s="7"/>
      <c r="I15" s="2"/>
      <c r="J15" s="2"/>
      <c r="K15" s="2"/>
      <c r="L15" s="7"/>
      <c r="M15" s="2"/>
      <c r="N15" s="2"/>
      <c r="O15" s="2"/>
      <c r="P15" s="7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V15" s="2"/>
    </row>
    <row r="22" spans="19:19" x14ac:dyDescent="0.25">
      <c r="S22" s="4"/>
    </row>
    <row r="23" spans="19:19" x14ac:dyDescent="0.25">
      <c r="S23" s="4"/>
    </row>
    <row r="24" spans="19:19" x14ac:dyDescent="0.25">
      <c r="S24" s="4"/>
    </row>
    <row r="25" spans="19:19" x14ac:dyDescent="0.25">
      <c r="S25" s="4"/>
    </row>
  </sheetData>
  <dataValidations count="8">
    <dataValidation showInputMessage="1" showErrorMessage="1" errorTitle="SOLIDWORKS Error:" error="The value you have entered is invalid.  Please enter a valid value before continuing." promptTitle="Angle Ref@Slope" prompt="Enter a valid value for this parameter." sqref="AI5" xr:uid="{00000000-0002-0000-0000-000000000000}"/>
    <dataValidation showInputMessage="1" showErrorMessage="1" errorTitle="SOLIDWORKS Error:" error="The value you have entered is invalid.  Please enter a valid value before continuing." promptTitle="Rise Ref@Slope" prompt="Enter a valid value for this parameter." sqref="AJ5" xr:uid="{00000000-0002-0000-0000-000001000000}"/>
    <dataValidation showInputMessage="1" showErrorMessage="1" errorTitle="SOLIDWORKS Error:" error="The value you have entered is invalid.  Please enter a valid value before continuing." promptTitle="TTS QTY Ref@Side Frame Ref" prompt="Enter a valid value for this parameter." sqref="AL5" xr:uid="{00000000-0002-0000-0000-000002000000}"/>
    <dataValidation allowBlank="1" promptTitle="$PRP@PartNo" prompt="1-2X-TTS" sqref="AF5:AF14 AG6:AG14 AV5:AV14 AG5:AH5" xr:uid="{00000000-0002-0000-0000-000003000000}"/>
    <dataValidation allowBlank="1" promptTitle="$LIBRARY:MATERIAL@000000_S01c_TT" prompt="Select a material to apply to this configuration. A valid material entry follows the form 'Library:Material'" sqref="C5" xr:uid="{00000000-0002-0000-0000-000004000000}"/>
    <dataValidation allowBlank="1" sqref="B6:B14 AA5:AE5 AC6:AE14" xr:uid="{00000000-0002-0000-0000-000005000000}"/>
    <dataValidation type="list" allowBlank="1" showInputMessage="1" sqref="B5" xr:uid="{00000000-0002-0000-0000-000006000000}">
      <formula1>TTS_List</formula1>
    </dataValidation>
    <dataValidation showInputMessage="1" showErrorMessage="1" errorTitle="SOLIDWORKS Error:" error="The value you have entered is invalid.  Please enter a valid value before continuing." promptTitle="TTS Type Ref@Side Frame Ref" prompt="Enter a valid value for this parameter." sqref="AK5" xr:uid="{00000000-0002-0000-0000-000007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Z20"/>
  <sheetViews>
    <sheetView workbookViewId="0">
      <selection activeCell="E21" sqref="E21"/>
    </sheetView>
  </sheetViews>
  <sheetFormatPr defaultRowHeight="15" x14ac:dyDescent="0.25"/>
  <cols>
    <col min="2" max="2" width="18.42578125" bestFit="1" customWidth="1"/>
    <col min="3" max="16" width="9.42578125" bestFit="1" customWidth="1"/>
    <col min="17" max="17" width="10" bestFit="1" customWidth="1"/>
    <col min="18" max="22" width="9.42578125" bestFit="1" customWidth="1"/>
    <col min="23" max="23" width="31.7109375" customWidth="1"/>
    <col min="24" max="24" width="23.42578125" bestFit="1" customWidth="1"/>
    <col min="25" max="25" width="10.42578125" style="9" bestFit="1" customWidth="1"/>
    <col min="26" max="26" width="9"/>
  </cols>
  <sheetData>
    <row r="2" spans="2:26" s="9" customFormat="1" x14ac:dyDescent="0.25"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  <c r="O2" s="9">
        <v>14</v>
      </c>
      <c r="P2" s="9">
        <v>15</v>
      </c>
      <c r="Q2" s="9">
        <v>16</v>
      </c>
      <c r="R2" s="9">
        <v>17</v>
      </c>
      <c r="S2" s="9">
        <v>18</v>
      </c>
      <c r="T2" s="9">
        <v>19</v>
      </c>
      <c r="U2" s="9">
        <v>20</v>
      </c>
      <c r="V2" s="9">
        <v>21</v>
      </c>
      <c r="W2" s="9">
        <v>22</v>
      </c>
      <c r="X2" s="9">
        <v>23</v>
      </c>
      <c r="Y2" s="9">
        <v>24</v>
      </c>
    </row>
    <row r="3" spans="2:26" ht="141.75" x14ac:dyDescent="0.25">
      <c r="B3" s="25" t="s">
        <v>61</v>
      </c>
      <c r="C3" s="2" t="s">
        <v>37</v>
      </c>
      <c r="D3" s="2" t="s">
        <v>0</v>
      </c>
      <c r="E3" s="2" t="s">
        <v>38</v>
      </c>
      <c r="F3" s="7" t="s">
        <v>39</v>
      </c>
      <c r="G3" s="22" t="s">
        <v>40</v>
      </c>
      <c r="H3" s="2" t="s">
        <v>41</v>
      </c>
      <c r="I3" s="2" t="s">
        <v>2</v>
      </c>
      <c r="J3" s="2" t="s">
        <v>42</v>
      </c>
      <c r="K3" s="7" t="s">
        <v>43</v>
      </c>
      <c r="L3" s="2" t="s">
        <v>44</v>
      </c>
      <c r="M3" s="2" t="s">
        <v>45</v>
      </c>
      <c r="N3" s="2" t="s">
        <v>46</v>
      </c>
      <c r="O3" s="7" t="s">
        <v>47</v>
      </c>
      <c r="P3" s="2" t="s">
        <v>48</v>
      </c>
      <c r="Q3" s="27" t="s">
        <v>71</v>
      </c>
      <c r="R3" s="2" t="s">
        <v>49</v>
      </c>
      <c r="S3" s="2" t="s">
        <v>4</v>
      </c>
      <c r="T3" s="2" t="s">
        <v>50</v>
      </c>
      <c r="U3" s="2" t="s">
        <v>51</v>
      </c>
      <c r="V3" s="2" t="s">
        <v>52</v>
      </c>
      <c r="W3" s="2" t="s">
        <v>67</v>
      </c>
      <c r="X3" s="2" t="s">
        <v>62</v>
      </c>
      <c r="Y3" s="2"/>
      <c r="Z3" s="2"/>
    </row>
    <row r="4" spans="2:26" x14ac:dyDescent="0.25">
      <c r="B4" s="1" t="s">
        <v>0</v>
      </c>
      <c r="C4" s="5" t="str">
        <f>"U"</f>
        <v>U</v>
      </c>
      <c r="D4" s="17" t="str">
        <f t="shared" ref="D4:F9" si="0">$C4</f>
        <v>U</v>
      </c>
      <c r="E4" s="17" t="str">
        <f t="shared" si="0"/>
        <v>U</v>
      </c>
      <c r="F4" s="18" t="str">
        <f t="shared" si="0"/>
        <v>U</v>
      </c>
      <c r="G4" s="19" t="str">
        <f>"S"</f>
        <v>S</v>
      </c>
      <c r="H4" s="20" t="str">
        <f>"S"</f>
        <v>S</v>
      </c>
      <c r="I4" s="17" t="str">
        <f t="shared" ref="I4:K9" si="1">$H4</f>
        <v>S</v>
      </c>
      <c r="J4" s="17" t="str">
        <f t="shared" si="1"/>
        <v>S</v>
      </c>
      <c r="K4" s="18" t="str">
        <f t="shared" si="1"/>
        <v>S</v>
      </c>
      <c r="L4" s="5" t="str">
        <f>"S"</f>
        <v>S</v>
      </c>
      <c r="M4" s="17" t="str">
        <f>$L4</f>
        <v>S</v>
      </c>
      <c r="N4" s="17" t="str">
        <f>$L4</f>
        <v>S</v>
      </c>
      <c r="O4" s="18" t="str">
        <f>$L4</f>
        <v>S</v>
      </c>
      <c r="P4" s="21">
        <v>0</v>
      </c>
      <c r="Q4" s="28">
        <v>1.5</v>
      </c>
      <c r="R4" s="5" t="str">
        <f>"S"</f>
        <v>S</v>
      </c>
      <c r="S4" s="17" t="str">
        <f t="shared" ref="S4:V9" si="2">$R4</f>
        <v>S</v>
      </c>
      <c r="T4" s="17" t="str">
        <f t="shared" si="2"/>
        <v>S</v>
      </c>
      <c r="U4" s="17" t="str">
        <f t="shared" si="2"/>
        <v>S</v>
      </c>
      <c r="V4" s="17" t="str">
        <f t="shared" si="2"/>
        <v>S</v>
      </c>
      <c r="W4" s="17" t="s">
        <v>68</v>
      </c>
      <c r="X4" s="17" t="s">
        <v>66</v>
      </c>
      <c r="Y4" s="4" t="s">
        <v>60</v>
      </c>
      <c r="Z4" s="4"/>
    </row>
    <row r="5" spans="2:26" x14ac:dyDescent="0.25">
      <c r="B5" s="1" t="s">
        <v>3</v>
      </c>
      <c r="C5" s="5" t="s">
        <v>25</v>
      </c>
      <c r="D5" s="17" t="str">
        <f t="shared" si="0"/>
        <v>U</v>
      </c>
      <c r="E5" s="17" t="str">
        <f t="shared" si="0"/>
        <v>U</v>
      </c>
      <c r="F5" s="18" t="str">
        <f t="shared" si="0"/>
        <v>U</v>
      </c>
      <c r="G5" s="19" t="str">
        <f>"S"</f>
        <v>S</v>
      </c>
      <c r="H5" s="5" t="str">
        <f>"S"</f>
        <v>S</v>
      </c>
      <c r="I5" s="17" t="str">
        <f t="shared" si="1"/>
        <v>S</v>
      </c>
      <c r="J5" s="17" t="str">
        <f t="shared" si="1"/>
        <v>S</v>
      </c>
      <c r="K5" s="18" t="str">
        <f t="shared" si="1"/>
        <v>S</v>
      </c>
      <c r="L5" s="5" t="str">
        <f>"U"</f>
        <v>U</v>
      </c>
      <c r="M5" s="17" t="str">
        <f t="shared" ref="M5:N9" si="3">$L5</f>
        <v>U</v>
      </c>
      <c r="N5" s="17" t="str">
        <f t="shared" si="3"/>
        <v>U</v>
      </c>
      <c r="O5" s="23" t="s">
        <v>26</v>
      </c>
      <c r="P5" s="21">
        <v>0</v>
      </c>
      <c r="Q5" s="28">
        <v>1.5</v>
      </c>
      <c r="R5" s="5" t="str">
        <f>"S"</f>
        <v>S</v>
      </c>
      <c r="S5" s="17" t="str">
        <f t="shared" si="2"/>
        <v>S</v>
      </c>
      <c r="T5" s="17" t="str">
        <f t="shared" si="2"/>
        <v>S</v>
      </c>
      <c r="U5" s="17" t="str">
        <f t="shared" si="2"/>
        <v>S</v>
      </c>
      <c r="V5" s="17" t="str">
        <f t="shared" si="2"/>
        <v>S</v>
      </c>
      <c r="W5" s="17" t="s">
        <v>68</v>
      </c>
      <c r="X5" s="17" t="s">
        <v>66</v>
      </c>
      <c r="Y5" s="4" t="s">
        <v>60</v>
      </c>
      <c r="Z5" s="4"/>
    </row>
    <row r="6" spans="2:26" x14ac:dyDescent="0.25">
      <c r="B6" s="1" t="s">
        <v>2</v>
      </c>
      <c r="C6" s="5" t="str">
        <f>"S"</f>
        <v>S</v>
      </c>
      <c r="D6" s="17" t="str">
        <f t="shared" si="0"/>
        <v>S</v>
      </c>
      <c r="E6" s="17" t="str">
        <f t="shared" si="0"/>
        <v>S</v>
      </c>
      <c r="F6" s="18" t="str">
        <f t="shared" si="0"/>
        <v>S</v>
      </c>
      <c r="G6" s="19" t="str">
        <f>"S"</f>
        <v>S</v>
      </c>
      <c r="H6" s="5" t="str">
        <f>"U"</f>
        <v>U</v>
      </c>
      <c r="I6" s="17" t="str">
        <f t="shared" si="1"/>
        <v>U</v>
      </c>
      <c r="J6" s="17" t="str">
        <f t="shared" si="1"/>
        <v>U</v>
      </c>
      <c r="K6" s="18" t="str">
        <f t="shared" si="1"/>
        <v>U</v>
      </c>
      <c r="L6" s="5" t="str">
        <f>"S"</f>
        <v>S</v>
      </c>
      <c r="M6" s="17" t="str">
        <f t="shared" si="3"/>
        <v>S</v>
      </c>
      <c r="N6" s="17" t="str">
        <f t="shared" si="3"/>
        <v>S</v>
      </c>
      <c r="O6" s="18" t="str">
        <f>$L6</f>
        <v>S</v>
      </c>
      <c r="P6" s="21">
        <v>0</v>
      </c>
      <c r="Q6" s="28">
        <v>0.75</v>
      </c>
      <c r="R6" s="5" t="str">
        <f>"S"</f>
        <v>S</v>
      </c>
      <c r="S6" s="17" t="str">
        <f t="shared" si="2"/>
        <v>S</v>
      </c>
      <c r="T6" s="17" t="str">
        <f t="shared" si="2"/>
        <v>S</v>
      </c>
      <c r="U6" s="17" t="str">
        <f t="shared" si="2"/>
        <v>S</v>
      </c>
      <c r="V6" s="17" t="str">
        <f t="shared" si="2"/>
        <v>S</v>
      </c>
      <c r="W6" s="17" t="s">
        <v>68</v>
      </c>
      <c r="X6" s="17" t="s">
        <v>63</v>
      </c>
      <c r="Y6" s="4" t="s">
        <v>60</v>
      </c>
      <c r="Z6" s="4"/>
    </row>
    <row r="7" spans="2:26" x14ac:dyDescent="0.25">
      <c r="B7" s="1" t="s">
        <v>4</v>
      </c>
      <c r="C7" s="5" t="str">
        <f>"S"</f>
        <v>S</v>
      </c>
      <c r="D7" s="17" t="str">
        <f t="shared" si="0"/>
        <v>S</v>
      </c>
      <c r="E7" s="17" t="str">
        <f t="shared" si="0"/>
        <v>S</v>
      </c>
      <c r="F7" s="18" t="str">
        <f t="shared" si="0"/>
        <v>S</v>
      </c>
      <c r="G7" s="19" t="str">
        <f>"S"</f>
        <v>S</v>
      </c>
      <c r="H7" s="5" t="str">
        <f>"S"</f>
        <v>S</v>
      </c>
      <c r="I7" s="17" t="str">
        <f t="shared" si="1"/>
        <v>S</v>
      </c>
      <c r="J7" s="17" t="str">
        <f t="shared" si="1"/>
        <v>S</v>
      </c>
      <c r="K7" s="18" t="str">
        <f t="shared" si="1"/>
        <v>S</v>
      </c>
      <c r="L7" s="5" t="str">
        <f>"S"</f>
        <v>S</v>
      </c>
      <c r="M7" s="17" t="str">
        <f t="shared" si="3"/>
        <v>S</v>
      </c>
      <c r="N7" s="17" t="str">
        <f t="shared" si="3"/>
        <v>S</v>
      </c>
      <c r="O7" s="18" t="str">
        <f>$L7</f>
        <v>S</v>
      </c>
      <c r="P7" s="21">
        <v>0.5</v>
      </c>
      <c r="Q7" s="28">
        <v>1.5</v>
      </c>
      <c r="R7" s="5" t="str">
        <f>"U"</f>
        <v>U</v>
      </c>
      <c r="S7" s="17" t="str">
        <f t="shared" si="2"/>
        <v>U</v>
      </c>
      <c r="T7" s="17" t="str">
        <f t="shared" si="2"/>
        <v>U</v>
      </c>
      <c r="U7" s="17" t="str">
        <f t="shared" si="2"/>
        <v>U</v>
      </c>
      <c r="V7" s="17" t="str">
        <f t="shared" si="2"/>
        <v>U</v>
      </c>
      <c r="W7" s="17" t="s">
        <v>68</v>
      </c>
      <c r="X7" s="17" t="s">
        <v>66</v>
      </c>
      <c r="Y7" s="4" t="s">
        <v>60</v>
      </c>
      <c r="Z7" s="4"/>
    </row>
    <row r="8" spans="2:26" x14ac:dyDescent="0.25">
      <c r="B8" s="1" t="s">
        <v>1</v>
      </c>
      <c r="C8" s="5" t="str">
        <f>"S"</f>
        <v>S</v>
      </c>
      <c r="D8" s="17" t="str">
        <f t="shared" si="0"/>
        <v>S</v>
      </c>
      <c r="E8" s="17" t="str">
        <f t="shared" si="0"/>
        <v>S</v>
      </c>
      <c r="F8" s="18" t="str">
        <f t="shared" si="0"/>
        <v>S</v>
      </c>
      <c r="G8" s="19" t="str">
        <f>"U"</f>
        <v>U</v>
      </c>
      <c r="H8" s="5" t="str">
        <f>"S"</f>
        <v>S</v>
      </c>
      <c r="I8" s="17" t="str">
        <f t="shared" si="1"/>
        <v>S</v>
      </c>
      <c r="J8" s="17" t="str">
        <f t="shared" si="1"/>
        <v>S</v>
      </c>
      <c r="K8" s="18" t="str">
        <f t="shared" si="1"/>
        <v>S</v>
      </c>
      <c r="L8" s="5" t="str">
        <f>"S"</f>
        <v>S</v>
      </c>
      <c r="M8" s="17" t="str">
        <f t="shared" si="3"/>
        <v>S</v>
      </c>
      <c r="N8" s="17" t="str">
        <f t="shared" si="3"/>
        <v>S</v>
      </c>
      <c r="O8" s="18" t="str">
        <f>$L8</f>
        <v>S</v>
      </c>
      <c r="P8" s="21">
        <v>0.125</v>
      </c>
      <c r="Q8" s="28">
        <v>1.5</v>
      </c>
      <c r="R8" s="5" t="str">
        <f>"S"</f>
        <v>S</v>
      </c>
      <c r="S8" s="17" t="str">
        <f t="shared" si="2"/>
        <v>S</v>
      </c>
      <c r="T8" s="17" t="str">
        <f t="shared" si="2"/>
        <v>S</v>
      </c>
      <c r="U8" s="17" t="str">
        <f t="shared" si="2"/>
        <v>S</v>
      </c>
      <c r="V8" s="17" t="str">
        <f t="shared" si="2"/>
        <v>S</v>
      </c>
      <c r="W8" s="17" t="s">
        <v>69</v>
      </c>
      <c r="X8" s="17" t="s">
        <v>66</v>
      </c>
      <c r="Y8" s="4" t="s">
        <v>60</v>
      </c>
      <c r="Z8" s="4"/>
    </row>
    <row r="9" spans="2:26" x14ac:dyDescent="0.25">
      <c r="B9" s="1" t="s">
        <v>28</v>
      </c>
      <c r="C9" s="5" t="str">
        <f>"S"</f>
        <v>S</v>
      </c>
      <c r="D9" s="17" t="str">
        <f t="shared" si="0"/>
        <v>S</v>
      </c>
      <c r="E9" s="17" t="str">
        <f t="shared" si="0"/>
        <v>S</v>
      </c>
      <c r="F9" s="18" t="str">
        <f t="shared" si="0"/>
        <v>S</v>
      </c>
      <c r="G9" s="19" t="str">
        <f>"U"</f>
        <v>U</v>
      </c>
      <c r="H9" s="5" t="str">
        <f>"S"</f>
        <v>S</v>
      </c>
      <c r="I9" s="17" t="str">
        <f t="shared" si="1"/>
        <v>S</v>
      </c>
      <c r="J9" s="17" t="str">
        <f t="shared" si="1"/>
        <v>S</v>
      </c>
      <c r="K9" s="18" t="str">
        <f t="shared" si="1"/>
        <v>S</v>
      </c>
      <c r="L9" s="5" t="s">
        <v>25</v>
      </c>
      <c r="M9" s="17" t="str">
        <f t="shared" si="3"/>
        <v>U</v>
      </c>
      <c r="N9" s="17" t="str">
        <f t="shared" si="3"/>
        <v>U</v>
      </c>
      <c r="O9" s="18" t="str">
        <f>$L9</f>
        <v>U</v>
      </c>
      <c r="P9" s="21">
        <v>0.125</v>
      </c>
      <c r="Q9" s="28">
        <v>1.5</v>
      </c>
      <c r="R9" s="5" t="str">
        <f>"S"</f>
        <v>S</v>
      </c>
      <c r="S9" s="17" t="str">
        <f t="shared" si="2"/>
        <v>S</v>
      </c>
      <c r="T9" s="17" t="str">
        <f t="shared" si="2"/>
        <v>S</v>
      </c>
      <c r="U9" s="17" t="str">
        <f t="shared" si="2"/>
        <v>S</v>
      </c>
      <c r="V9" s="17" t="str">
        <f t="shared" si="2"/>
        <v>S</v>
      </c>
      <c r="W9" s="17" t="s">
        <v>69</v>
      </c>
      <c r="X9" s="17" t="s">
        <v>66</v>
      </c>
      <c r="Y9" s="4" t="s">
        <v>60</v>
      </c>
      <c r="Z9" s="4"/>
    </row>
    <row r="10" spans="2:26" s="9" customFormat="1" x14ac:dyDescent="0.25">
      <c r="B10" s="4" t="s">
        <v>59</v>
      </c>
      <c r="C10" s="4" t="s">
        <v>59</v>
      </c>
      <c r="D10" s="4" t="s">
        <v>59</v>
      </c>
      <c r="E10" s="4" t="s">
        <v>59</v>
      </c>
      <c r="F10" s="4" t="s">
        <v>59</v>
      </c>
      <c r="G10" s="4" t="s">
        <v>59</v>
      </c>
      <c r="H10" s="4" t="s">
        <v>59</v>
      </c>
      <c r="I10" s="4" t="s">
        <v>59</v>
      </c>
      <c r="J10" s="4" t="s">
        <v>59</v>
      </c>
      <c r="K10" s="4" t="s">
        <v>59</v>
      </c>
      <c r="L10" s="4" t="s">
        <v>59</v>
      </c>
      <c r="M10" s="4" t="s">
        <v>59</v>
      </c>
      <c r="N10" s="4" t="s">
        <v>59</v>
      </c>
      <c r="O10" s="4" t="s">
        <v>59</v>
      </c>
      <c r="P10" s="4" t="s">
        <v>59</v>
      </c>
      <c r="Q10" s="4" t="s">
        <v>59</v>
      </c>
      <c r="R10" s="4" t="s">
        <v>59</v>
      </c>
      <c r="S10" s="4" t="s">
        <v>59</v>
      </c>
      <c r="T10" s="4" t="s">
        <v>59</v>
      </c>
      <c r="U10" s="4" t="s">
        <v>59</v>
      </c>
      <c r="V10" s="4" t="s">
        <v>59</v>
      </c>
      <c r="W10" s="4" t="s">
        <v>59</v>
      </c>
      <c r="X10" s="4" t="s">
        <v>59</v>
      </c>
      <c r="Y10" s="4" t="s">
        <v>60</v>
      </c>
    </row>
    <row r="12" spans="2:26" x14ac:dyDescent="0.25">
      <c r="B12" s="9">
        <v>1</v>
      </c>
      <c r="C12" s="9">
        <v>2</v>
      </c>
    </row>
    <row r="13" spans="2:26" x14ac:dyDescent="0.25">
      <c r="B13" t="s">
        <v>73</v>
      </c>
    </row>
    <row r="14" spans="2:26" x14ac:dyDescent="0.25">
      <c r="B14" s="9">
        <v>1</v>
      </c>
      <c r="C14" t="s">
        <v>2</v>
      </c>
    </row>
    <row r="15" spans="2:26" x14ac:dyDescent="0.25">
      <c r="B15" s="9">
        <v>2</v>
      </c>
      <c r="C15" t="s">
        <v>4</v>
      </c>
    </row>
    <row r="16" spans="2:26" x14ac:dyDescent="0.25">
      <c r="B16" s="9">
        <v>3</v>
      </c>
      <c r="C16" t="s">
        <v>0</v>
      </c>
    </row>
    <row r="17" spans="2:3" x14ac:dyDescent="0.25">
      <c r="B17" s="9">
        <v>4</v>
      </c>
      <c r="C17" t="s">
        <v>3</v>
      </c>
    </row>
    <row r="18" spans="2:3" x14ac:dyDescent="0.25">
      <c r="B18" s="9">
        <v>5</v>
      </c>
      <c r="C18" t="s">
        <v>1</v>
      </c>
    </row>
    <row r="19" spans="2:3" x14ac:dyDescent="0.25">
      <c r="B19" s="9">
        <v>6</v>
      </c>
      <c r="C19" t="s">
        <v>28</v>
      </c>
    </row>
    <row r="20" spans="2:3" x14ac:dyDescent="0.25">
      <c r="B20" t="s">
        <v>59</v>
      </c>
    </row>
  </sheetData>
  <dataValidations disablePrompts="1" count="5">
    <dataValidation type="list" allowBlank="1" showErrorMessage="1" errorTitle="SOLIDWORKS Error:" error="The value you have entered is invalid.  Please enter a valid value before continuing." promptTitle="$STATE@Spacer Bar Options" prompt="Select to suppress or unsuppress the feature_x000a_Possible Options:_x000a_Suppressed_x000a_Unsuppressed_x000a_S = Suppressed_x000a_U = Unsuppressed_x000a_1 = Suppressed_x000a_0 = Unsuppressed" sqref="L9" xr:uid="{00000000-0002-0000-0100-000000000000}">
      <formula1>"SUPPRESSED,UNSUPPRESSED,S,U,1,0"</formula1>
    </dataValidation>
    <dataValidation allowBlank="1" sqref="P8:Q9 P5:Q6 D5:F9 I5:K9 M5:O9 S5:V9 Z5:Z9 X5:X9 O4:Q4" xr:uid="{00000000-0002-0000-0100-000001000000}"/>
    <dataValidation type="list" allowBlank="1" showErrorMessage="1" errorTitle="SOLIDWORKS Error:" error="The value you have entered is invalid.  Please enter a valid value before continuing." promptTitle="$STATE@Bolt on Bar Option" prompt="Select to suppress or unsuppress the feature_x000a_Possible Options:_x000a_Suppressed_x000a_Unsuppressed_x000a_S = Suppressed_x000a_U = Unsuppressed_x000a_1 = Suppressed_x000a_0 = Unsuppressed" sqref="C5" xr:uid="{00000000-0002-0000-0100-000002000000}">
      <formula1>"SUPPRESSED,UNSUPPRESSED,S,U,1,0"</formula1>
    </dataValidation>
    <dataValidation allowBlank="1" errorTitle="SolidWorks Error:" error="The value you have entered is invalid.  Please enter a valid value before continuing." promptTitle="$STATE@Bolt on Bar Option" prompt="Select to suppress or unsuppress the feature_x000a_Possible Options:_x000a_Suppressed_x000a_Unsuppressed_x000a_S = Suppressed_x000a_U = Unsuppressed_x000a_1 = Suppressed_x000a_0 = Unsuppressed" sqref="D4:F4 W5:W9 M4:N4 I4:K4 Y5:Y10 S4:Z4" xr:uid="{00000000-0002-0000-0100-000003000000}"/>
    <dataValidation type="list" allowBlank="1" showErrorMessage="1" errorTitle="SolidWorks Error:" error="The value you have entered is invalid.  Please enter a valid value before continuing." promptTitle="$STATE@Bolt on Bar Option" prompt="Select to suppress or unsuppress the feature_x000a_Possible Options:_x000a_Suppressed_x000a_Unsuppressed_x000a_S = Suppressed_x000a_U = Unsuppressed_x000a_1 = Suppressed_x000a_0 = Unsuppressed" sqref="R4:R9 G4:H9 C4 L4:L8 C6:C9" xr:uid="{00000000-0002-0000-0100-000004000000}">
      <formula1>"SUPPRESSED,UNSUPPRESSED,S,U,1,0"</formula1>
    </dataValidation>
  </dataValidations>
  <pageMargins left="0.7" right="0.7" top="0.75" bottom="0.75" header="0.3" footer="0.3"/>
  <pageSetup orientation="portrait" horizontalDpi="4294967293" verticalDpi="0" r:id="rId1"/>
  <ignoredErrors>
    <ignoredError sqref="R7 H6 L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Data</vt:lpstr>
      <vt:lpstr>Family</vt:lpstr>
      <vt:lpstr>TTS</vt:lpstr>
      <vt:lpstr>TTS_List</vt:lpstr>
      <vt:lpstr>TTS_Table_Ref</vt:lpstr>
      <vt:lpstr>TTS_Type</vt:lpstr>
    </vt:vector>
  </TitlesOfParts>
  <Company>Harsco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Stietz</dc:creator>
  <cp:lastModifiedBy>Tietz, Steven</cp:lastModifiedBy>
  <dcterms:created xsi:type="dcterms:W3CDTF">2014-07-13T12:56:33Z</dcterms:created>
  <dcterms:modified xsi:type="dcterms:W3CDTF">2023-11-03T20:41:11Z</dcterms:modified>
</cp:coreProperties>
</file>