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defaultThemeVersion="124226"/>
  <xr:revisionPtr revIDLastSave="0" documentId="8_{42B14ACC-F7A0-44EC-B54F-9A75CDB99844}" xr6:coauthVersionLast="47" xr6:coauthVersionMax="47" xr10:uidLastSave="{00000000-0000-0000-0000-000000000000}"/>
  <bookViews>
    <workbookView xWindow="-108" yWindow="-108" windowWidth="23256" windowHeight="12456" xr2:uid="{00000000-000D-0000-FFFF-FFFF00000000}"/>
  </bookViews>
  <sheets>
    <sheet name="Sheet1" sheetId="1" r:id="rId1"/>
    <sheet name="Data" sheetId="2" state="hidden" r:id="rId2"/>
  </sheets>
  <definedNames>
    <definedName name="Backer_Bar_Thicker">Sheet1!$JL$6</definedName>
    <definedName name="Backer_Bar_Thinner">Sheet1!$JM$6</definedName>
    <definedName name="BB_IN_SF?">Sheet1!$U$6</definedName>
    <definedName name="BTS_Angle_State">Sheet1!$QU$6</definedName>
    <definedName name="BTS_Bolt_on_Plate_State">Sheet1!$PU$6</definedName>
    <definedName name="BTS_CChannel_State">Sheet1!$RR$6</definedName>
    <definedName name="BTS_Con_Type">Sheet1!$T$6</definedName>
    <definedName name="BTS_List">Data!$F$4:$F$10</definedName>
    <definedName name="BTS_LL_Hammco_Table">Data!$DU$5:$EA$33</definedName>
    <definedName name="BTS_Loc\Qty_EH\VV\VI_0.625_Table">Data!$EI$5:$FA$65</definedName>
    <definedName name="BTS_Loc\Qty_EH\VV\VI_0.75_Table">Data!$FE$5:$FW$65</definedName>
    <definedName name="BTS_Loc\Qty_Horiz\TEMA\API_0.625_Table">Data!$KG$5:$KY$65</definedName>
    <definedName name="BTS_Loc\Qty_Horiz\TEMA\API_0.75_Table">Data!$LC$5:$LU$65</definedName>
    <definedName name="BTS_Loc\Qty_Horiz\TEMA\API_1.25_Table">Data!$MU$5:$NM$65</definedName>
    <definedName name="BTS_Loc\Qty_Horiz\TEMA\API_1.5_Table">Data!$NQ$5:$OI$65</definedName>
    <definedName name="BTS_Loc\Qty_Horiz\TEMA\API_1_Table">Data!$LY$5:$MQ$65</definedName>
    <definedName name="BTS_Loc\Qty_Horizontal_0.625_Table">Data!$GA$5:$GS$65</definedName>
    <definedName name="BTS_Loc\Qty_Horizontal_0.75_Table">Data!$GW$5:$HO$65</definedName>
    <definedName name="BTS_Loc\Qty_Horizontal_1.25_Table">Data!$IO$5:$JG$65</definedName>
    <definedName name="BTS_Loc\Qty_Horizontal_1.5_Table">Data!$JK$5:$KC$65</definedName>
    <definedName name="BTS_Loc\Qty_Horizontal_1_Table">Data!$HS$5:$IK$65</definedName>
    <definedName name="BTS_Location">Sheet1!$O$6</definedName>
    <definedName name="BTS_Move_State">Sheet1!$IL$6</definedName>
    <definedName name="BTS_Offset">Sheet1!$Q$6</definedName>
    <definedName name="BTS_Rod_State">Sheet1!$QK$6</definedName>
    <definedName name="BTS_Size">Sheet1!$S$6</definedName>
    <definedName name="BTS_Spacing">Sheet1!$N$6</definedName>
    <definedName name="BTS_SSection_State">Sheet1!$SW$6</definedName>
    <definedName name="BTS_Table">Data!$F$4:$J$10</definedName>
    <definedName name="BTS_Type">Sheet1!$R$6</definedName>
    <definedName name="BTS_WSection_State">Sheet1!$TP$6</definedName>
    <definedName name="C_Channel_List">Data!$L$5:$L$34</definedName>
    <definedName name="C_Channel_Table">Data!$L$5:$AA$34</definedName>
    <definedName name="End_Drill">Sheet1!$EQ$6</definedName>
    <definedName name="Family">Sheet1!$A$5</definedName>
    <definedName name="Fin_Dia">Sheet1!$EP$6</definedName>
    <definedName name="Flat_Bar_Thk_List">Data!$DO$5:$DO$20</definedName>
    <definedName name="Front_Support_Bar_Type">Sheet1!$BL$6</definedName>
    <definedName name="Gap">Sheet1!$JJ$6</definedName>
    <definedName name="Gap_w_crush">Sheet1!$JK$6</definedName>
    <definedName name="HDR_and_SF_Gap">Sheet1!$F$6</definedName>
    <definedName name="HDR_Plate_Thk">Sheet1!$CB$6</definedName>
    <definedName name="HDR_Plate_Thk_Rear">Sheet1!$CC$6</definedName>
    <definedName name="HDR_Slide_Pad_Thk">Sheet1!$PC$6</definedName>
    <definedName name="HDR_Slide_Pad_Thk_Rear">Sheet1!$PD$6</definedName>
    <definedName name="HDR_Support_Size">Sheet1!$AM$6</definedName>
    <definedName name="HDR_Support_table">Data!$CT$5:$DD$17</definedName>
    <definedName name="HDR_Support_Top_Con_Type">Sheet1!$AR$6</definedName>
    <definedName name="HDR_Support_Top_Size">Sheet1!$AQ$6</definedName>
    <definedName name="HDR_Support_Top_Type">Sheet1!$AP$6</definedName>
    <definedName name="HDR_Support_Type">Sheet1!$AL$6</definedName>
    <definedName name="HDR_Support_Type_List">Data!$CK$5:$CK$10</definedName>
    <definedName name="HDR_Support_Type_Table">Data!$CK$5:$CM$10</definedName>
    <definedName name="HDR_Top_Slide_Pad_Thk">Sheet1!$PE$6</definedName>
    <definedName name="HDR_Top_Slide_Pad_Thk_REAR">Sheet1!$PF$6</definedName>
    <definedName name="HS_Angle_State?">Sheet1!$KO$6</definedName>
    <definedName name="HS_Angle_Top_State?">Sheet1!$NG$6</definedName>
    <definedName name="HS_Channel_State?">Sheet1!$LC$6</definedName>
    <definedName name="HS_Channel_Top_State?">Sheet1!$NV$6</definedName>
    <definedName name="K_Value_Table">Data!$CF$4:$CI$70</definedName>
    <definedName name="L_Angle_List">Data!$AE$4:$AE$143</definedName>
    <definedName name="L_Angle_Table">Data!$AE$4:$AM$143</definedName>
    <definedName name="LL_Location">Sheet1!$AE$6</definedName>
    <definedName name="LL_State">Sheet1!$AC$6</definedName>
    <definedName name="LL_Type">Sheet1!$AD$6</definedName>
    <definedName name="LL_Type_Ref_Table">Data!$DQ$5:$DS$8</definedName>
    <definedName name="Locking_Tab?">Sheet1!$CH$6</definedName>
    <definedName name="Max_Spacing">Sheet1!$W$6</definedName>
    <definedName name="MC_Channel_List">Data!$BO$4:$BO$40</definedName>
    <definedName name="MC_Channel_Table">Data!$BO$4:$CD$40</definedName>
    <definedName name="Mid_Air_Seal?">Sheet1!$AS$6</definedName>
    <definedName name="Mid_Air_Seal_Con_Type">Sheet1!$AT$6</definedName>
    <definedName name="Offset_BTS?">Sheet1!$P$6</definedName>
    <definedName name="Offset_Center_BTS_List">Data!$ED$5:$ED$8</definedName>
    <definedName name="Offset_Center_BTS_Table">Data!$ED$5:$EE$8</definedName>
    <definedName name="Pitch">Sheet1!$CE$6</definedName>
    <definedName name="Possible_TSS_Location">Sheet1!$GE$6</definedName>
    <definedName name="Possible_TSS_Location_SS">Sheet1!$GV$6</definedName>
    <definedName name="Possible_TSS_QTY">Sheet1!$GD$6</definedName>
    <definedName name="Possible_TSS_QTY_SS">Sheet1!$GU$6</definedName>
    <definedName name="ProductLine">Sheet1!$B$6</definedName>
    <definedName name="QTY_of_BTS">Sheet1!$M$6</definedName>
    <definedName name="Rear_Support_Bar_Type">Sheet1!$BN$6</definedName>
    <definedName name="Row_Length">Sheet1!$FZ$6</definedName>
    <definedName name="Row_Length_SS">Sheet1!$GP$6</definedName>
    <definedName name="S_Section_List">Data!$AP$4:$AP$35</definedName>
    <definedName name="S_Section_Table">Data!$AP$4:$BA$35</definedName>
    <definedName name="SF_Coating">Sheet1!$J$6</definedName>
    <definedName name="SF_Depth">Sheet1!$BT$6</definedName>
    <definedName name="SF_Length">Sheet1!$G$6</definedName>
    <definedName name="SF_Lip">Sheet1!$BW$6</definedName>
    <definedName name="SF_Ref_Table">Data!$CP$5:$CR$17</definedName>
    <definedName name="SF_Sizes_List">Data!$CT$5:$CT$17</definedName>
    <definedName name="SF_Slide_Pad_Thk">Sheet1!$PM$6</definedName>
    <definedName name="SF_Slide_Pad_Thk_REAR">Sheet1!$PP$6</definedName>
    <definedName name="SF_Thk">Sheet1!$BV$6</definedName>
    <definedName name="SF_Toe">Sheet1!$BU$6</definedName>
    <definedName name="SF_Web_THK">Sheet1!$EN$6</definedName>
    <definedName name="SF_Width">Sheet1!$BS$6</definedName>
    <definedName name="Shop_LL?">Sheet1!$UV$6</definedName>
    <definedName name="Side_Frame_Size">Sheet1!$BP$6</definedName>
    <definedName name="Slide_Pad">Sheet1!$AN$6</definedName>
    <definedName name="Slide_Pad_List">Data!$DK$5:$DK$8</definedName>
    <definedName name="Slide_Pad_Rear">Sheet1!$AO$6</definedName>
    <definedName name="Slide_Pad_Size_Table">Data!$DG$7:$DI$16</definedName>
    <definedName name="Slide_Pad_Table">Data!$DK$5:$DM$8</definedName>
    <definedName name="Slide_Pad_Top">Sheet1!#REF!</definedName>
    <definedName name="SS_1">Sheet1!$CD$6</definedName>
    <definedName name="SS_2">Sheet1!#REF!</definedName>
    <definedName name="SSP?">Sheet1!$HK$6</definedName>
    <definedName name="SSP_Inner_Dim">Sheet1!$HM$6</definedName>
    <definedName name="SSP_Length">Sheet1!$HP$6</definedName>
    <definedName name="SSP_Outer_Dim">Sheet1!$HL$6</definedName>
    <definedName name="SSP_Seam_Dist_fm">Sheet1!$HS$6</definedName>
    <definedName name="SSPanel_Mirror_QTY">Sheet1!#REF!</definedName>
    <definedName name="SSPanel_QTY">Sheet1!$HO$6</definedName>
    <definedName name="SSPC?">Sheet1!$HR$6</definedName>
    <definedName name="SSPC_Front_Dim">Sheet1!$HU$6</definedName>
    <definedName name="SSPC_Opp?">Sheet1!$IB$6</definedName>
    <definedName name="SSPC_Opp_Length">Sheet1!$ID$6</definedName>
    <definedName name="SSPC_Rear_Dim">Sheet1!$HV$6</definedName>
    <definedName name="SSPC_Seam_Dist">Sheet1!$HT$6</definedName>
    <definedName name="SSS?">Sheet1!$HC$6</definedName>
    <definedName name="SSS_Length_Match?">Sheet1!$HF$6</definedName>
    <definedName name="TSS_Frame_State">Sheet1!$EG$6</definedName>
    <definedName name="TSS_IN_SF?">Sheet1!$V$6</definedName>
    <definedName name="TSS_Location">Sheet1!$GH$6</definedName>
    <definedName name="TSS_Location_SS">Sheet1!$GZ$6</definedName>
    <definedName name="TSS_QTY">Sheet1!$GF$6</definedName>
    <definedName name="TSS_QTY_SS">Sheet1!$GW$6</definedName>
    <definedName name="TSS_Spacing">Sheet1!$GC$6</definedName>
    <definedName name="TSS_Spacing_SS">Sheet1!$GT$6</definedName>
    <definedName name="TSS_State">Sheet1!$GI$6</definedName>
    <definedName name="TTS_Bracket_State">Sheet1!$QQ$6</definedName>
    <definedName name="TTS_List">Data!$B$4:$B$11</definedName>
    <definedName name="TTS_Table">Data!$B$4:$D$11</definedName>
    <definedName name="TTS_Type">Sheet1!$K$6</definedName>
    <definedName name="Tube_Dia">Sheet1!$EO$6</definedName>
    <definedName name="Tube_Length">Sheet1!$D$6</definedName>
    <definedName name="Tube_Projection">Sheet1!$E$6</definedName>
    <definedName name="Tube_QTY_between_TSS">Sheet1!$GB$6</definedName>
    <definedName name="Tube_QTY_between_TSS_SS">Sheet1!$GS$6</definedName>
    <definedName name="Tube_QTY_in_Row">Sheet1!$GA$6</definedName>
    <definedName name="Tube_QTY_in_Row_SS">Sheet1!$GR$6</definedName>
    <definedName name="Tube_Slope_Angle">Sheet1!$CA$6</definedName>
    <definedName name="Tube_Support_Strip_Spacing">Sheet1!$GC$6</definedName>
    <definedName name="Unit_Type">Sheet1!$L$6</definedName>
    <definedName name="Valid_Section_Weight">Sheet1!$AA$6</definedName>
    <definedName name="Vertical_Pitch">Sheet1!$CF$6</definedName>
    <definedName name="W_Section_List">Data!$BD$4:$BD$299</definedName>
    <definedName name="W_Section_Table">Data!$BD$4:$BM$299</definedName>
    <definedName name="Wiggle_Strip_Thk">Sheet1!$JI$6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P7" i="1" l="1"/>
  <c r="VQ7" i="1"/>
  <c r="VQ15" i="1" s="1"/>
  <c r="VR7" i="1"/>
  <c r="VS7" i="1"/>
  <c r="VT7" i="1"/>
  <c r="VP8" i="1"/>
  <c r="VQ8" i="1"/>
  <c r="VR8" i="1"/>
  <c r="VS8" i="1"/>
  <c r="VS16" i="1" s="1"/>
  <c r="VT8" i="1"/>
  <c r="VT16" i="1" s="1"/>
  <c r="VP9" i="1"/>
  <c r="VP17" i="1" s="1"/>
  <c r="VQ9" i="1"/>
  <c r="VQ17" i="1" s="1"/>
  <c r="VR9" i="1"/>
  <c r="VS9" i="1"/>
  <c r="VS17" i="1" s="1"/>
  <c r="VT9" i="1"/>
  <c r="VT17" i="1" s="1"/>
  <c r="VP10" i="1"/>
  <c r="VP18" i="1" s="1"/>
  <c r="VQ10" i="1"/>
  <c r="VQ18" i="1" s="1"/>
  <c r="VR10" i="1"/>
  <c r="VR18" i="1" s="1"/>
  <c r="VS10" i="1"/>
  <c r="VT10" i="1"/>
  <c r="VT18" i="1" s="1"/>
  <c r="VP11" i="1"/>
  <c r="VP19" i="1" s="1"/>
  <c r="VQ11" i="1"/>
  <c r="VQ19" i="1" s="1"/>
  <c r="VR11" i="1"/>
  <c r="VR19" i="1" s="1"/>
  <c r="VS11" i="1"/>
  <c r="VS19" i="1" s="1"/>
  <c r="VT11" i="1"/>
  <c r="VP12" i="1"/>
  <c r="VP20" i="1" s="1"/>
  <c r="VQ12" i="1"/>
  <c r="VR12" i="1"/>
  <c r="VS12" i="1"/>
  <c r="VT12" i="1"/>
  <c r="VP13" i="1"/>
  <c r="VQ13" i="1"/>
  <c r="VQ21" i="1" s="1"/>
  <c r="VR13" i="1"/>
  <c r="VR21" i="1" s="1"/>
  <c r="VS13" i="1"/>
  <c r="VS21" i="1" s="1"/>
  <c r="VT13" i="1"/>
  <c r="VT21" i="1" s="1"/>
  <c r="VP14" i="1"/>
  <c r="VP22" i="1" s="1"/>
  <c r="VQ14" i="1"/>
  <c r="VR14" i="1"/>
  <c r="VR22" i="1" s="1"/>
  <c r="VS14" i="1"/>
  <c r="VT14" i="1"/>
  <c r="VP15" i="1"/>
  <c r="VR15" i="1"/>
  <c r="VS15" i="1"/>
  <c r="VT15" i="1"/>
  <c r="VP16" i="1"/>
  <c r="VQ16" i="1"/>
  <c r="VR16" i="1"/>
  <c r="VR17" i="1"/>
  <c r="VS18" i="1"/>
  <c r="VT19" i="1"/>
  <c r="VQ20" i="1"/>
  <c r="VR20" i="1"/>
  <c r="VS20" i="1"/>
  <c r="VT20" i="1"/>
  <c r="VP21" i="1"/>
  <c r="VQ22" i="1"/>
  <c r="VS22" i="1"/>
  <c r="VT22" i="1"/>
  <c r="BD298" i="2"/>
  <c r="BD297" i="2"/>
  <c r="BD296" i="2"/>
  <c r="BD295" i="2"/>
  <c r="BD294" i="2"/>
  <c r="BD293" i="2"/>
  <c r="BD292" i="2"/>
  <c r="BD291" i="2"/>
  <c r="BD290" i="2"/>
  <c r="BD289" i="2"/>
  <c r="BD288" i="2"/>
  <c r="BD287" i="2"/>
  <c r="BD286" i="2"/>
  <c r="BD285" i="2"/>
  <c r="BD284" i="2"/>
  <c r="BD283" i="2"/>
  <c r="BD282" i="2"/>
  <c r="BD281" i="2"/>
  <c r="BD280" i="2"/>
  <c r="BD279" i="2"/>
  <c r="BD278" i="2"/>
  <c r="BD277" i="2"/>
  <c r="BD276" i="2"/>
  <c r="BD275" i="2"/>
  <c r="BD274" i="2"/>
  <c r="BD273" i="2"/>
  <c r="BD272" i="2"/>
  <c r="BD271" i="2"/>
  <c r="BD270" i="2"/>
  <c r="BD269" i="2"/>
  <c r="BD268" i="2"/>
  <c r="BD267" i="2"/>
  <c r="BD266" i="2"/>
  <c r="BD265" i="2"/>
  <c r="BD264" i="2"/>
  <c r="BD263" i="2"/>
  <c r="BD262" i="2"/>
  <c r="BD261" i="2"/>
  <c r="BD260" i="2"/>
  <c r="BD259" i="2"/>
  <c r="BD258" i="2"/>
  <c r="BD257" i="2"/>
  <c r="BD256" i="2"/>
  <c r="BD255" i="2"/>
  <c r="BD254" i="2"/>
  <c r="BD253" i="2"/>
  <c r="BD252" i="2"/>
  <c r="BD251" i="2"/>
  <c r="BD250" i="2"/>
  <c r="BD249" i="2"/>
  <c r="BD248" i="2"/>
  <c r="BD247" i="2"/>
  <c r="BD246" i="2"/>
  <c r="BD245" i="2"/>
  <c r="BD244" i="2"/>
  <c r="BD243" i="2"/>
  <c r="BD242" i="2"/>
  <c r="BD241" i="2"/>
  <c r="BD240" i="2"/>
  <c r="BD239" i="2"/>
  <c r="BD238" i="2"/>
  <c r="BD237" i="2"/>
  <c r="BD236" i="2"/>
  <c r="BD235" i="2"/>
  <c r="BD234" i="2"/>
  <c r="BD233" i="2"/>
  <c r="BD232" i="2"/>
  <c r="BD231" i="2"/>
  <c r="BD230" i="2"/>
  <c r="BD229" i="2"/>
  <c r="BD228" i="2"/>
  <c r="BD227" i="2"/>
  <c r="BD226" i="2"/>
  <c r="BD225" i="2"/>
  <c r="BD224" i="2"/>
  <c r="BD223" i="2"/>
  <c r="BD222" i="2"/>
  <c r="BD221" i="2"/>
  <c r="BD220" i="2"/>
  <c r="BD219" i="2"/>
  <c r="BD218" i="2"/>
  <c r="BD217" i="2"/>
  <c r="BD216" i="2"/>
  <c r="BD215" i="2"/>
  <c r="BD214" i="2"/>
  <c r="BD213" i="2"/>
  <c r="BD212" i="2"/>
  <c r="BD211" i="2"/>
  <c r="BD210" i="2"/>
  <c r="BD209" i="2"/>
  <c r="BD208" i="2"/>
  <c r="BD207" i="2"/>
  <c r="BD206" i="2"/>
  <c r="BD205" i="2"/>
  <c r="BD204" i="2"/>
  <c r="BD203" i="2"/>
  <c r="BD202" i="2"/>
  <c r="BD201" i="2"/>
  <c r="BD200" i="2"/>
  <c r="BD199" i="2"/>
  <c r="BD198" i="2"/>
  <c r="BD197" i="2"/>
  <c r="BD196" i="2"/>
  <c r="BD195" i="2"/>
  <c r="BD194" i="2"/>
  <c r="BD193" i="2"/>
  <c r="BD192" i="2"/>
  <c r="BD191" i="2"/>
  <c r="BD190" i="2"/>
  <c r="BD189" i="2"/>
  <c r="BD188" i="2"/>
  <c r="BD187" i="2"/>
  <c r="BD186" i="2"/>
  <c r="BD185" i="2"/>
  <c r="BD184" i="2"/>
  <c r="BD183" i="2"/>
  <c r="BD182" i="2"/>
  <c r="BD181" i="2"/>
  <c r="BD180" i="2"/>
  <c r="BD179" i="2"/>
  <c r="BD178" i="2"/>
  <c r="BD177" i="2"/>
  <c r="BD176" i="2"/>
  <c r="BD175" i="2"/>
  <c r="BD174" i="2"/>
  <c r="BD173" i="2"/>
  <c r="BD172" i="2"/>
  <c r="BD171" i="2"/>
  <c r="BD170" i="2"/>
  <c r="BD169" i="2"/>
  <c r="BD168" i="2"/>
  <c r="BD167" i="2"/>
  <c r="BD166" i="2"/>
  <c r="BD165" i="2"/>
  <c r="BD164" i="2"/>
  <c r="BD163" i="2"/>
  <c r="BD162" i="2"/>
  <c r="BD161" i="2"/>
  <c r="BD160" i="2"/>
  <c r="BD159" i="2"/>
  <c r="BD158" i="2"/>
  <c r="BD157" i="2"/>
  <c r="BD156" i="2"/>
  <c r="BD155" i="2"/>
  <c r="BD154" i="2"/>
  <c r="BD153" i="2"/>
  <c r="BD152" i="2"/>
  <c r="BD151" i="2"/>
  <c r="BD150" i="2"/>
  <c r="BD149" i="2"/>
  <c r="BD148" i="2"/>
  <c r="BD147" i="2"/>
  <c r="BD146" i="2"/>
  <c r="BD145" i="2"/>
  <c r="BD144" i="2"/>
  <c r="BD143" i="2"/>
  <c r="BD142" i="2"/>
  <c r="AK142" i="2"/>
  <c r="AE142" i="2"/>
  <c r="BD141" i="2"/>
  <c r="AK141" i="2"/>
  <c r="AE141" i="2"/>
  <c r="BD140" i="2"/>
  <c r="AK140" i="2"/>
  <c r="AE140" i="2"/>
  <c r="BD139" i="2"/>
  <c r="AK139" i="2"/>
  <c r="AE139" i="2"/>
  <c r="BD138" i="2"/>
  <c r="AK138" i="2"/>
  <c r="AE138" i="2"/>
  <c r="BD137" i="2"/>
  <c r="AK137" i="2"/>
  <c r="AE137" i="2"/>
  <c r="BD136" i="2"/>
  <c r="AK136" i="2"/>
  <c r="AE136" i="2"/>
  <c r="BD135" i="2"/>
  <c r="AK135" i="2"/>
  <c r="AE135" i="2"/>
  <c r="BD134" i="2"/>
  <c r="AK134" i="2"/>
  <c r="AE134" i="2"/>
  <c r="BD133" i="2"/>
  <c r="AK133" i="2"/>
  <c r="AE133" i="2"/>
  <c r="BD132" i="2"/>
  <c r="AK132" i="2"/>
  <c r="AE132" i="2"/>
  <c r="BD131" i="2"/>
  <c r="AK131" i="2"/>
  <c r="AE131" i="2"/>
  <c r="BD130" i="2"/>
  <c r="AK130" i="2"/>
  <c r="AE130" i="2"/>
  <c r="BD129" i="2"/>
  <c r="AK129" i="2"/>
  <c r="AE129" i="2"/>
  <c r="BD128" i="2"/>
  <c r="AK128" i="2"/>
  <c r="AE128" i="2"/>
  <c r="BD127" i="2"/>
  <c r="AK127" i="2"/>
  <c r="AE127" i="2"/>
  <c r="BD126" i="2"/>
  <c r="AK126" i="2"/>
  <c r="AE126" i="2"/>
  <c r="BD125" i="2"/>
  <c r="AK125" i="2"/>
  <c r="AE125" i="2"/>
  <c r="BD124" i="2"/>
  <c r="AK124" i="2"/>
  <c r="AE124" i="2"/>
  <c r="BD123" i="2"/>
  <c r="AK123" i="2"/>
  <c r="AE123" i="2"/>
  <c r="BD122" i="2"/>
  <c r="AK122" i="2"/>
  <c r="AE122" i="2"/>
  <c r="BD121" i="2"/>
  <c r="AK121" i="2"/>
  <c r="AE121" i="2"/>
  <c r="BD120" i="2"/>
  <c r="AK120" i="2"/>
  <c r="AE120" i="2"/>
  <c r="BD119" i="2"/>
  <c r="AK119" i="2"/>
  <c r="AE119" i="2"/>
  <c r="BD118" i="2"/>
  <c r="AK118" i="2"/>
  <c r="AE118" i="2"/>
  <c r="BD117" i="2"/>
  <c r="AK117" i="2"/>
  <c r="AE117" i="2"/>
  <c r="BD116" i="2"/>
  <c r="AK116" i="2"/>
  <c r="AE116" i="2"/>
  <c r="BD115" i="2"/>
  <c r="AK115" i="2"/>
  <c r="AE115" i="2"/>
  <c r="BD114" i="2"/>
  <c r="AK114" i="2"/>
  <c r="AE114" i="2"/>
  <c r="BD113" i="2"/>
  <c r="AK113" i="2"/>
  <c r="AE113" i="2"/>
  <c r="BD112" i="2"/>
  <c r="AK112" i="2"/>
  <c r="AE112" i="2"/>
  <c r="BD111" i="2"/>
  <c r="AK111" i="2"/>
  <c r="AE111" i="2"/>
  <c r="BD110" i="2"/>
  <c r="AK110" i="2"/>
  <c r="AE110" i="2"/>
  <c r="BD109" i="2"/>
  <c r="AK109" i="2"/>
  <c r="AE109" i="2"/>
  <c r="BD108" i="2"/>
  <c r="AK108" i="2"/>
  <c r="AE108" i="2"/>
  <c r="BD107" i="2"/>
  <c r="AK107" i="2"/>
  <c r="AE107" i="2"/>
  <c r="BD106" i="2"/>
  <c r="AK106" i="2"/>
  <c r="AE106" i="2"/>
  <c r="BD105" i="2"/>
  <c r="AK105" i="2"/>
  <c r="AE105" i="2"/>
  <c r="BD104" i="2"/>
  <c r="AK104" i="2"/>
  <c r="AE104" i="2"/>
  <c r="BD103" i="2"/>
  <c r="AK103" i="2"/>
  <c r="AE103" i="2"/>
  <c r="BD102" i="2"/>
  <c r="AK102" i="2"/>
  <c r="AE102" i="2"/>
  <c r="BD101" i="2"/>
  <c r="AK101" i="2"/>
  <c r="AE101" i="2"/>
  <c r="BD100" i="2"/>
  <c r="AK100" i="2"/>
  <c r="AE100" i="2"/>
  <c r="BD99" i="2"/>
  <c r="AK99" i="2"/>
  <c r="AE99" i="2"/>
  <c r="BD98" i="2"/>
  <c r="AK98" i="2"/>
  <c r="AE98" i="2"/>
  <c r="BD97" i="2"/>
  <c r="AK97" i="2"/>
  <c r="AE97" i="2"/>
  <c r="BD96" i="2"/>
  <c r="AK96" i="2"/>
  <c r="AE96" i="2"/>
  <c r="BD95" i="2"/>
  <c r="AK95" i="2"/>
  <c r="AE95" i="2"/>
  <c r="BD94" i="2"/>
  <c r="AK94" i="2"/>
  <c r="AE94" i="2"/>
  <c r="BD93" i="2"/>
  <c r="AK93" i="2"/>
  <c r="AE93" i="2"/>
  <c r="BD92" i="2"/>
  <c r="AK92" i="2"/>
  <c r="AE92" i="2"/>
  <c r="BD91" i="2"/>
  <c r="AK91" i="2"/>
  <c r="AE91" i="2"/>
  <c r="BD90" i="2"/>
  <c r="AK90" i="2"/>
  <c r="AE90" i="2"/>
  <c r="BD89" i="2"/>
  <c r="AK89" i="2"/>
  <c r="AE89" i="2"/>
  <c r="BD88" i="2"/>
  <c r="AK88" i="2"/>
  <c r="AE88" i="2"/>
  <c r="BD87" i="2"/>
  <c r="AK87" i="2"/>
  <c r="AE87" i="2"/>
  <c r="BD86" i="2"/>
  <c r="AK86" i="2"/>
  <c r="AE86" i="2"/>
  <c r="BD85" i="2"/>
  <c r="AK85" i="2"/>
  <c r="AE85" i="2"/>
  <c r="BD84" i="2"/>
  <c r="AK84" i="2"/>
  <c r="AE84" i="2"/>
  <c r="BD83" i="2"/>
  <c r="AK83" i="2"/>
  <c r="AE83" i="2"/>
  <c r="BD82" i="2"/>
  <c r="AK82" i="2"/>
  <c r="AE82" i="2"/>
  <c r="BD81" i="2"/>
  <c r="AK81" i="2"/>
  <c r="AE81" i="2"/>
  <c r="BD80" i="2"/>
  <c r="AK80" i="2"/>
  <c r="AE80" i="2"/>
  <c r="BD79" i="2"/>
  <c r="AK79" i="2"/>
  <c r="AE79" i="2"/>
  <c r="BD78" i="2"/>
  <c r="AK78" i="2"/>
  <c r="AE78" i="2"/>
  <c r="BD77" i="2"/>
  <c r="AK77" i="2"/>
  <c r="AE77" i="2"/>
  <c r="BD76" i="2"/>
  <c r="AK76" i="2"/>
  <c r="AE76" i="2"/>
  <c r="BD75" i="2"/>
  <c r="AK75" i="2"/>
  <c r="AE75" i="2"/>
  <c r="BD74" i="2"/>
  <c r="AK74" i="2"/>
  <c r="AE74" i="2"/>
  <c r="BD73" i="2"/>
  <c r="AK73" i="2"/>
  <c r="AE73" i="2"/>
  <c r="BD72" i="2"/>
  <c r="AK72" i="2"/>
  <c r="AE72" i="2"/>
  <c r="BD71" i="2"/>
  <c r="AK71" i="2"/>
  <c r="AE71" i="2"/>
  <c r="BD70" i="2"/>
  <c r="AK70" i="2"/>
  <c r="AE70" i="2"/>
  <c r="CG69" i="2"/>
  <c r="BD69" i="2"/>
  <c r="AK69" i="2"/>
  <c r="AE69" i="2"/>
  <c r="BD68" i="2"/>
  <c r="AK68" i="2"/>
  <c r="AE68" i="2"/>
  <c r="BD67" i="2"/>
  <c r="AK67" i="2"/>
  <c r="AE67" i="2"/>
  <c r="BD66" i="2"/>
  <c r="AK66" i="2"/>
  <c r="AE66" i="2"/>
  <c r="OI65" i="2"/>
  <c r="OH65" i="2"/>
  <c r="OG65" i="2"/>
  <c r="OF65" i="2"/>
  <c r="OE65" i="2"/>
  <c r="OD65" i="2"/>
  <c r="OC65" i="2"/>
  <c r="OB65" i="2"/>
  <c r="OA65" i="2"/>
  <c r="NZ65" i="2"/>
  <c r="NY65" i="2"/>
  <c r="NX65" i="2"/>
  <c r="NW65" i="2"/>
  <c r="NV65" i="2"/>
  <c r="NU65" i="2"/>
  <c r="NT65" i="2"/>
  <c r="NS65" i="2"/>
  <c r="NR65" i="2"/>
  <c r="NQ65" i="2"/>
  <c r="NP65" i="2"/>
  <c r="NN65" i="2"/>
  <c r="NM65" i="2"/>
  <c r="NL65" i="2"/>
  <c r="NK65" i="2"/>
  <c r="NJ65" i="2"/>
  <c r="NI65" i="2"/>
  <c r="NH65" i="2"/>
  <c r="NG65" i="2"/>
  <c r="NF65" i="2"/>
  <c r="NE65" i="2"/>
  <c r="ND65" i="2"/>
  <c r="NC65" i="2"/>
  <c r="NB65" i="2"/>
  <c r="NA65" i="2"/>
  <c r="MZ65" i="2"/>
  <c r="MY65" i="2"/>
  <c r="MX65" i="2"/>
  <c r="MW65" i="2"/>
  <c r="MV65" i="2"/>
  <c r="MU65" i="2"/>
  <c r="MT65" i="2"/>
  <c r="MQ65" i="2"/>
  <c r="MP65" i="2"/>
  <c r="MO65" i="2"/>
  <c r="MN65" i="2"/>
  <c r="MM65" i="2"/>
  <c r="ML65" i="2"/>
  <c r="MK65" i="2"/>
  <c r="MJ65" i="2"/>
  <c r="MI65" i="2"/>
  <c r="MH65" i="2"/>
  <c r="MG65" i="2"/>
  <c r="MF65" i="2"/>
  <c r="ME65" i="2"/>
  <c r="MD65" i="2"/>
  <c r="MC65" i="2"/>
  <c r="MB65" i="2"/>
  <c r="MA65" i="2"/>
  <c r="LZ65" i="2"/>
  <c r="LY65" i="2"/>
  <c r="LX65" i="2"/>
  <c r="LV65" i="2"/>
  <c r="LU65" i="2"/>
  <c r="LT65" i="2"/>
  <c r="LS65" i="2"/>
  <c r="LR65" i="2"/>
  <c r="LQ65" i="2"/>
  <c r="LP65" i="2"/>
  <c r="LO65" i="2"/>
  <c r="LN65" i="2"/>
  <c r="LM65" i="2"/>
  <c r="LL65" i="2"/>
  <c r="LK65" i="2"/>
  <c r="LJ65" i="2"/>
  <c r="LI65" i="2"/>
  <c r="LH65" i="2"/>
  <c r="LG65" i="2"/>
  <c r="LF65" i="2"/>
  <c r="LE65" i="2"/>
  <c r="LD65" i="2"/>
  <c r="LC65" i="2"/>
  <c r="LB65" i="2"/>
  <c r="KZ65" i="2"/>
  <c r="OJ65" i="2" s="1"/>
  <c r="KD65" i="2"/>
  <c r="JH65" i="2"/>
  <c r="IL65" i="2"/>
  <c r="HO65" i="2"/>
  <c r="HN65" i="2"/>
  <c r="HM65" i="2"/>
  <c r="HL65" i="2"/>
  <c r="HK65" i="2"/>
  <c r="HJ65" i="2"/>
  <c r="HI65" i="2"/>
  <c r="HH65" i="2"/>
  <c r="HG65" i="2"/>
  <c r="HF65" i="2"/>
  <c r="HE65" i="2"/>
  <c r="HD65" i="2"/>
  <c r="HC65" i="2"/>
  <c r="HB65" i="2"/>
  <c r="HA65" i="2"/>
  <c r="GZ65" i="2"/>
  <c r="GY65" i="2"/>
  <c r="GX65" i="2"/>
  <c r="GW65" i="2"/>
  <c r="GV65" i="2"/>
  <c r="GT65" i="2"/>
  <c r="HP65" i="2" s="1"/>
  <c r="FX65" i="2"/>
  <c r="FW65" i="2"/>
  <c r="FV65" i="2"/>
  <c r="FU65" i="2"/>
  <c r="FT65" i="2"/>
  <c r="FS65" i="2"/>
  <c r="FR65" i="2"/>
  <c r="FQ65" i="2"/>
  <c r="FP65" i="2"/>
  <c r="FO65" i="2"/>
  <c r="FN65" i="2"/>
  <c r="FM65" i="2"/>
  <c r="FL65" i="2"/>
  <c r="FK65" i="2"/>
  <c r="FJ65" i="2"/>
  <c r="FI65" i="2"/>
  <c r="FH65" i="2"/>
  <c r="FG65" i="2"/>
  <c r="FF65" i="2"/>
  <c r="FE65" i="2"/>
  <c r="FD65" i="2"/>
  <c r="FB65" i="2"/>
  <c r="BD65" i="2"/>
  <c r="AK65" i="2"/>
  <c r="AE65" i="2"/>
  <c r="OI64" i="2"/>
  <c r="OH64" i="2"/>
  <c r="OG64" i="2"/>
  <c r="OF64" i="2"/>
  <c r="OE64" i="2"/>
  <c r="OD64" i="2"/>
  <c r="OC64" i="2"/>
  <c r="OB64" i="2"/>
  <c r="OA64" i="2"/>
  <c r="NZ64" i="2"/>
  <c r="NY64" i="2"/>
  <c r="NX64" i="2"/>
  <c r="NW64" i="2"/>
  <c r="NV64" i="2"/>
  <c r="NU64" i="2"/>
  <c r="NT64" i="2"/>
  <c r="NS64" i="2"/>
  <c r="NR64" i="2"/>
  <c r="NQ64" i="2"/>
  <c r="NP64" i="2"/>
  <c r="NM64" i="2"/>
  <c r="NL64" i="2"/>
  <c r="NK64" i="2"/>
  <c r="NJ64" i="2"/>
  <c r="NI64" i="2"/>
  <c r="NH64" i="2"/>
  <c r="NG64" i="2"/>
  <c r="NF64" i="2"/>
  <c r="NE64" i="2"/>
  <c r="ND64" i="2"/>
  <c r="NC64" i="2"/>
  <c r="NB64" i="2"/>
  <c r="NA64" i="2"/>
  <c r="MZ64" i="2"/>
  <c r="MY64" i="2"/>
  <c r="MX64" i="2"/>
  <c r="MW64" i="2"/>
  <c r="MV64" i="2"/>
  <c r="MU64" i="2"/>
  <c r="MT64" i="2"/>
  <c r="MQ64" i="2"/>
  <c r="MP64" i="2"/>
  <c r="MO64" i="2"/>
  <c r="MN64" i="2"/>
  <c r="MM64" i="2"/>
  <c r="ML64" i="2"/>
  <c r="MK64" i="2"/>
  <c r="MJ64" i="2"/>
  <c r="MI64" i="2"/>
  <c r="MH64" i="2"/>
  <c r="MG64" i="2"/>
  <c r="MF64" i="2"/>
  <c r="ME64" i="2"/>
  <c r="MD64" i="2"/>
  <c r="MC64" i="2"/>
  <c r="MB64" i="2"/>
  <c r="MA64" i="2"/>
  <c r="LZ64" i="2"/>
  <c r="LY64" i="2"/>
  <c r="LX64" i="2"/>
  <c r="LU64" i="2"/>
  <c r="LT64" i="2"/>
  <c r="LS64" i="2"/>
  <c r="LR64" i="2"/>
  <c r="LQ64" i="2"/>
  <c r="LP64" i="2"/>
  <c r="LO64" i="2"/>
  <c r="LN64" i="2"/>
  <c r="LM64" i="2"/>
  <c r="LL64" i="2"/>
  <c r="LK64" i="2"/>
  <c r="LJ64" i="2"/>
  <c r="LI64" i="2"/>
  <c r="LH64" i="2"/>
  <c r="LG64" i="2"/>
  <c r="LF64" i="2"/>
  <c r="LE64" i="2"/>
  <c r="LD64" i="2"/>
  <c r="LC64" i="2"/>
  <c r="LB64" i="2"/>
  <c r="KZ64" i="2"/>
  <c r="MR64" i="2" s="1"/>
  <c r="KD64" i="2"/>
  <c r="JH64" i="2"/>
  <c r="IL64" i="2"/>
  <c r="HO64" i="2"/>
  <c r="HN64" i="2"/>
  <c r="HM64" i="2"/>
  <c r="HL64" i="2"/>
  <c r="HK64" i="2"/>
  <c r="HJ64" i="2"/>
  <c r="HI64" i="2"/>
  <c r="HH64" i="2"/>
  <c r="HG64" i="2"/>
  <c r="HF64" i="2"/>
  <c r="HE64" i="2"/>
  <c r="HD64" i="2"/>
  <c r="HC64" i="2"/>
  <c r="HB64" i="2"/>
  <c r="HA64" i="2"/>
  <c r="GZ64" i="2"/>
  <c r="GY64" i="2"/>
  <c r="GX64" i="2"/>
  <c r="GW64" i="2"/>
  <c r="GV64" i="2"/>
  <c r="GT64" i="2"/>
  <c r="HP64" i="2" s="1"/>
  <c r="FX64" i="2"/>
  <c r="FW64" i="2"/>
  <c r="FV64" i="2"/>
  <c r="FU64" i="2"/>
  <c r="FT64" i="2"/>
  <c r="FS64" i="2"/>
  <c r="FR64" i="2"/>
  <c r="FQ64" i="2"/>
  <c r="FP64" i="2"/>
  <c r="FO64" i="2"/>
  <c r="FN64" i="2"/>
  <c r="FM64" i="2"/>
  <c r="FL64" i="2"/>
  <c r="FK64" i="2"/>
  <c r="FJ64" i="2"/>
  <c r="FI64" i="2"/>
  <c r="FH64" i="2"/>
  <c r="FG64" i="2"/>
  <c r="FF64" i="2"/>
  <c r="FE64" i="2"/>
  <c r="FD64" i="2"/>
  <c r="FB64" i="2"/>
  <c r="BD64" i="2"/>
  <c r="AK64" i="2"/>
  <c r="AE64" i="2"/>
  <c r="OI63" i="2"/>
  <c r="OH63" i="2"/>
  <c r="OG63" i="2"/>
  <c r="OF63" i="2"/>
  <c r="OE63" i="2"/>
  <c r="OD63" i="2"/>
  <c r="OC63" i="2"/>
  <c r="OB63" i="2"/>
  <c r="OA63" i="2"/>
  <c r="NZ63" i="2"/>
  <c r="NY63" i="2"/>
  <c r="NX63" i="2"/>
  <c r="NW63" i="2"/>
  <c r="NV63" i="2"/>
  <c r="NU63" i="2"/>
  <c r="NT63" i="2"/>
  <c r="NS63" i="2"/>
  <c r="NR63" i="2"/>
  <c r="NQ63" i="2"/>
  <c r="NP63" i="2"/>
  <c r="NN63" i="2"/>
  <c r="NM63" i="2"/>
  <c r="NL63" i="2"/>
  <c r="NK63" i="2"/>
  <c r="NJ63" i="2"/>
  <c r="NI63" i="2"/>
  <c r="NH63" i="2"/>
  <c r="NG63" i="2"/>
  <c r="NF63" i="2"/>
  <c r="NE63" i="2"/>
  <c r="ND63" i="2"/>
  <c r="NC63" i="2"/>
  <c r="NB63" i="2"/>
  <c r="NA63" i="2"/>
  <c r="MZ63" i="2"/>
  <c r="MY63" i="2"/>
  <c r="MX63" i="2"/>
  <c r="MW63" i="2"/>
  <c r="MV63" i="2"/>
  <c r="MU63" i="2"/>
  <c r="MT63" i="2"/>
  <c r="MQ63" i="2"/>
  <c r="MP63" i="2"/>
  <c r="MO63" i="2"/>
  <c r="MN63" i="2"/>
  <c r="MM63" i="2"/>
  <c r="ML63" i="2"/>
  <c r="MK63" i="2"/>
  <c r="MJ63" i="2"/>
  <c r="MI63" i="2"/>
  <c r="MH63" i="2"/>
  <c r="MG63" i="2"/>
  <c r="MF63" i="2"/>
  <c r="ME63" i="2"/>
  <c r="MD63" i="2"/>
  <c r="MC63" i="2"/>
  <c r="MB63" i="2"/>
  <c r="MA63" i="2"/>
  <c r="LZ63" i="2"/>
  <c r="LY63" i="2"/>
  <c r="LX63" i="2"/>
  <c r="LV63" i="2"/>
  <c r="LU63" i="2"/>
  <c r="LT63" i="2"/>
  <c r="LS63" i="2"/>
  <c r="LR63" i="2"/>
  <c r="LQ63" i="2"/>
  <c r="LP63" i="2"/>
  <c r="LO63" i="2"/>
  <c r="LN63" i="2"/>
  <c r="LM63" i="2"/>
  <c r="LL63" i="2"/>
  <c r="LK63" i="2"/>
  <c r="LJ63" i="2"/>
  <c r="LI63" i="2"/>
  <c r="LH63" i="2"/>
  <c r="LG63" i="2"/>
  <c r="LF63" i="2"/>
  <c r="LE63" i="2"/>
  <c r="LD63" i="2"/>
  <c r="LC63" i="2"/>
  <c r="LB63" i="2"/>
  <c r="KZ63" i="2"/>
  <c r="MR63" i="2" s="1"/>
  <c r="KD63" i="2"/>
  <c r="JH63" i="2"/>
  <c r="IL63" i="2"/>
  <c r="HP63" i="2"/>
  <c r="HO63" i="2"/>
  <c r="HN63" i="2"/>
  <c r="HM63" i="2"/>
  <c r="HL63" i="2"/>
  <c r="HK63" i="2"/>
  <c r="HJ63" i="2"/>
  <c r="HI63" i="2"/>
  <c r="HH63" i="2"/>
  <c r="HG63" i="2"/>
  <c r="HF63" i="2"/>
  <c r="HE63" i="2"/>
  <c r="HD63" i="2"/>
  <c r="HC63" i="2"/>
  <c r="HB63" i="2"/>
  <c r="HA63" i="2"/>
  <c r="GZ63" i="2"/>
  <c r="GY63" i="2"/>
  <c r="GX63" i="2"/>
  <c r="GW63" i="2"/>
  <c r="GV63" i="2"/>
  <c r="GT63" i="2"/>
  <c r="FW63" i="2"/>
  <c r="FV63" i="2"/>
  <c r="FU63" i="2"/>
  <c r="FT63" i="2"/>
  <c r="FS63" i="2"/>
  <c r="FR63" i="2"/>
  <c r="FQ63" i="2"/>
  <c r="FP63" i="2"/>
  <c r="FO63" i="2"/>
  <c r="FN63" i="2"/>
  <c r="FM63" i="2"/>
  <c r="FL63" i="2"/>
  <c r="FK63" i="2"/>
  <c r="FJ63" i="2"/>
  <c r="FI63" i="2"/>
  <c r="FH63" i="2"/>
  <c r="FG63" i="2"/>
  <c r="FF63" i="2"/>
  <c r="FE63" i="2"/>
  <c r="FD63" i="2"/>
  <c r="FB63" i="2"/>
  <c r="FX63" i="2" s="1"/>
  <c r="BD63" i="2"/>
  <c r="AK63" i="2"/>
  <c r="AE63" i="2"/>
  <c r="OI62" i="2"/>
  <c r="OH62" i="2"/>
  <c r="OG62" i="2"/>
  <c r="OF62" i="2"/>
  <c r="OE62" i="2"/>
  <c r="OD62" i="2"/>
  <c r="OC62" i="2"/>
  <c r="OB62" i="2"/>
  <c r="OA62" i="2"/>
  <c r="NZ62" i="2"/>
  <c r="NY62" i="2"/>
  <c r="NX62" i="2"/>
  <c r="NW62" i="2"/>
  <c r="NV62" i="2"/>
  <c r="NU62" i="2"/>
  <c r="NT62" i="2"/>
  <c r="NS62" i="2"/>
  <c r="NR62" i="2"/>
  <c r="NQ62" i="2"/>
  <c r="NP62" i="2"/>
  <c r="NM62" i="2"/>
  <c r="NL62" i="2"/>
  <c r="NK62" i="2"/>
  <c r="NJ62" i="2"/>
  <c r="NI62" i="2"/>
  <c r="NH62" i="2"/>
  <c r="NG62" i="2"/>
  <c r="NF62" i="2"/>
  <c r="NE62" i="2"/>
  <c r="ND62" i="2"/>
  <c r="NC62" i="2"/>
  <c r="NB62" i="2"/>
  <c r="NA62" i="2"/>
  <c r="MZ62" i="2"/>
  <c r="MY62" i="2"/>
  <c r="MX62" i="2"/>
  <c r="MW62" i="2"/>
  <c r="MV62" i="2"/>
  <c r="MU62" i="2"/>
  <c r="MT62" i="2"/>
  <c r="MR62" i="2"/>
  <c r="MQ62" i="2"/>
  <c r="MP62" i="2"/>
  <c r="MO62" i="2"/>
  <c r="MN62" i="2"/>
  <c r="MM62" i="2"/>
  <c r="ML62" i="2"/>
  <c r="MK62" i="2"/>
  <c r="MJ62" i="2"/>
  <c r="MI62" i="2"/>
  <c r="MH62" i="2"/>
  <c r="MG62" i="2"/>
  <c r="MF62" i="2"/>
  <c r="ME62" i="2"/>
  <c r="MD62" i="2"/>
  <c r="MC62" i="2"/>
  <c r="MB62" i="2"/>
  <c r="MA62" i="2"/>
  <c r="LZ62" i="2"/>
  <c r="LY62" i="2"/>
  <c r="LX62" i="2"/>
  <c r="LU62" i="2"/>
  <c r="LT62" i="2"/>
  <c r="LS62" i="2"/>
  <c r="LR62" i="2"/>
  <c r="LQ62" i="2"/>
  <c r="LP62" i="2"/>
  <c r="LO62" i="2"/>
  <c r="LN62" i="2"/>
  <c r="LM62" i="2"/>
  <c r="LL62" i="2"/>
  <c r="LK62" i="2"/>
  <c r="LJ62" i="2"/>
  <c r="LI62" i="2"/>
  <c r="LH62" i="2"/>
  <c r="LG62" i="2"/>
  <c r="LF62" i="2"/>
  <c r="LE62" i="2"/>
  <c r="LD62" i="2"/>
  <c r="LC62" i="2"/>
  <c r="LB62" i="2"/>
  <c r="KZ62" i="2"/>
  <c r="OJ62" i="2" s="1"/>
  <c r="KD62" i="2"/>
  <c r="JH62" i="2"/>
  <c r="IL62" i="2"/>
  <c r="HP62" i="2"/>
  <c r="HO62" i="2"/>
  <c r="HN62" i="2"/>
  <c r="HM62" i="2"/>
  <c r="HL62" i="2"/>
  <c r="HK62" i="2"/>
  <c r="HJ62" i="2"/>
  <c r="HI62" i="2"/>
  <c r="HH62" i="2"/>
  <c r="HG62" i="2"/>
  <c r="HF62" i="2"/>
  <c r="HE62" i="2"/>
  <c r="HD62" i="2"/>
  <c r="HC62" i="2"/>
  <c r="HB62" i="2"/>
  <c r="HA62" i="2"/>
  <c r="GZ62" i="2"/>
  <c r="GY62" i="2"/>
  <c r="GX62" i="2"/>
  <c r="GW62" i="2"/>
  <c r="GV62" i="2"/>
  <c r="GT62" i="2"/>
  <c r="FX62" i="2"/>
  <c r="FW62" i="2"/>
  <c r="FV62" i="2"/>
  <c r="FU62" i="2"/>
  <c r="FT62" i="2"/>
  <c r="FS62" i="2"/>
  <c r="FR62" i="2"/>
  <c r="FQ62" i="2"/>
  <c r="FP62" i="2"/>
  <c r="FO62" i="2"/>
  <c r="FN62" i="2"/>
  <c r="FM62" i="2"/>
  <c r="FL62" i="2"/>
  <c r="FK62" i="2"/>
  <c r="FJ62" i="2"/>
  <c r="FI62" i="2"/>
  <c r="FH62" i="2"/>
  <c r="FG62" i="2"/>
  <c r="FF62" i="2"/>
  <c r="FE62" i="2"/>
  <c r="FD62" i="2"/>
  <c r="FB62" i="2"/>
  <c r="BD62" i="2"/>
  <c r="AK62" i="2"/>
  <c r="AE62" i="2"/>
  <c r="OI61" i="2"/>
  <c r="OH61" i="2"/>
  <c r="OG61" i="2"/>
  <c r="OF61" i="2"/>
  <c r="OE61" i="2"/>
  <c r="OD61" i="2"/>
  <c r="OC61" i="2"/>
  <c r="OB61" i="2"/>
  <c r="OA61" i="2"/>
  <c r="NZ61" i="2"/>
  <c r="NY61" i="2"/>
  <c r="NX61" i="2"/>
  <c r="NW61" i="2"/>
  <c r="NV61" i="2"/>
  <c r="NU61" i="2"/>
  <c r="NT61" i="2"/>
  <c r="NS61" i="2"/>
  <c r="NR61" i="2"/>
  <c r="NQ61" i="2"/>
  <c r="NP61" i="2"/>
  <c r="NN61" i="2"/>
  <c r="NM61" i="2"/>
  <c r="NL61" i="2"/>
  <c r="NK61" i="2"/>
  <c r="NJ61" i="2"/>
  <c r="NI61" i="2"/>
  <c r="NH61" i="2"/>
  <c r="NG61" i="2"/>
  <c r="NF61" i="2"/>
  <c r="NE61" i="2"/>
  <c r="ND61" i="2"/>
  <c r="NC61" i="2"/>
  <c r="NB61" i="2"/>
  <c r="NA61" i="2"/>
  <c r="MZ61" i="2"/>
  <c r="MY61" i="2"/>
  <c r="MX61" i="2"/>
  <c r="MW61" i="2"/>
  <c r="MV61" i="2"/>
  <c r="MU61" i="2"/>
  <c r="MT61" i="2"/>
  <c r="MQ61" i="2"/>
  <c r="MP61" i="2"/>
  <c r="MO61" i="2"/>
  <c r="MN61" i="2"/>
  <c r="MM61" i="2"/>
  <c r="ML61" i="2"/>
  <c r="MK61" i="2"/>
  <c r="MJ61" i="2"/>
  <c r="MI61" i="2"/>
  <c r="MH61" i="2"/>
  <c r="MG61" i="2"/>
  <c r="MF61" i="2"/>
  <c r="ME61" i="2"/>
  <c r="MD61" i="2"/>
  <c r="MC61" i="2"/>
  <c r="MB61" i="2"/>
  <c r="MA61" i="2"/>
  <c r="LZ61" i="2"/>
  <c r="LY61" i="2"/>
  <c r="LX61" i="2"/>
  <c r="LV61" i="2"/>
  <c r="LU61" i="2"/>
  <c r="LT61" i="2"/>
  <c r="LS61" i="2"/>
  <c r="LR61" i="2"/>
  <c r="LQ61" i="2"/>
  <c r="LP61" i="2"/>
  <c r="LO61" i="2"/>
  <c r="LN61" i="2"/>
  <c r="LM61" i="2"/>
  <c r="LL61" i="2"/>
  <c r="LK61" i="2"/>
  <c r="LJ61" i="2"/>
  <c r="LI61" i="2"/>
  <c r="LH61" i="2"/>
  <c r="LG61" i="2"/>
  <c r="LF61" i="2"/>
  <c r="LE61" i="2"/>
  <c r="LD61" i="2"/>
  <c r="LC61" i="2"/>
  <c r="LB61" i="2"/>
  <c r="KZ61" i="2"/>
  <c r="OJ61" i="2" s="1"/>
  <c r="KD61" i="2"/>
  <c r="JH61" i="2"/>
  <c r="IL61" i="2"/>
  <c r="HO61" i="2"/>
  <c r="HN61" i="2"/>
  <c r="HM61" i="2"/>
  <c r="HL61" i="2"/>
  <c r="HK61" i="2"/>
  <c r="HJ61" i="2"/>
  <c r="HI61" i="2"/>
  <c r="HH61" i="2"/>
  <c r="HG61" i="2"/>
  <c r="HF61" i="2"/>
  <c r="HE61" i="2"/>
  <c r="HD61" i="2"/>
  <c r="HC61" i="2"/>
  <c r="HB61" i="2"/>
  <c r="HA61" i="2"/>
  <c r="GZ61" i="2"/>
  <c r="GY61" i="2"/>
  <c r="GX61" i="2"/>
  <c r="GW61" i="2"/>
  <c r="GV61" i="2"/>
  <c r="GT61" i="2"/>
  <c r="HP61" i="2" s="1"/>
  <c r="FX61" i="2"/>
  <c r="FW61" i="2"/>
  <c r="FV61" i="2"/>
  <c r="FU61" i="2"/>
  <c r="FT61" i="2"/>
  <c r="FS61" i="2"/>
  <c r="FR61" i="2"/>
  <c r="FQ61" i="2"/>
  <c r="FP61" i="2"/>
  <c r="FO61" i="2"/>
  <c r="FN61" i="2"/>
  <c r="FM61" i="2"/>
  <c r="FL61" i="2"/>
  <c r="FK61" i="2"/>
  <c r="FJ61" i="2"/>
  <c r="FI61" i="2"/>
  <c r="FH61" i="2"/>
  <c r="FG61" i="2"/>
  <c r="FF61" i="2"/>
  <c r="FE61" i="2"/>
  <c r="FD61" i="2"/>
  <c r="FB61" i="2"/>
  <c r="BD61" i="2"/>
  <c r="AK61" i="2"/>
  <c r="AE61" i="2"/>
  <c r="OI60" i="2"/>
  <c r="OH60" i="2"/>
  <c r="OG60" i="2"/>
  <c r="OF60" i="2"/>
  <c r="OE60" i="2"/>
  <c r="OD60" i="2"/>
  <c r="OC60" i="2"/>
  <c r="OB60" i="2"/>
  <c r="OA60" i="2"/>
  <c r="NZ60" i="2"/>
  <c r="NY60" i="2"/>
  <c r="NX60" i="2"/>
  <c r="NW60" i="2"/>
  <c r="NV60" i="2"/>
  <c r="NU60" i="2"/>
  <c r="NT60" i="2"/>
  <c r="NS60" i="2"/>
  <c r="NR60" i="2"/>
  <c r="NQ60" i="2"/>
  <c r="NP60" i="2"/>
  <c r="NM60" i="2"/>
  <c r="NL60" i="2"/>
  <c r="NK60" i="2"/>
  <c r="NJ60" i="2"/>
  <c r="NI60" i="2"/>
  <c r="NH60" i="2"/>
  <c r="NG60" i="2"/>
  <c r="NF60" i="2"/>
  <c r="NE60" i="2"/>
  <c r="ND60" i="2"/>
  <c r="NC60" i="2"/>
  <c r="NB60" i="2"/>
  <c r="NA60" i="2"/>
  <c r="MZ60" i="2"/>
  <c r="MY60" i="2"/>
  <c r="MX60" i="2"/>
  <c r="MW60" i="2"/>
  <c r="MV60" i="2"/>
  <c r="MU60" i="2"/>
  <c r="MT60" i="2"/>
  <c r="MQ60" i="2"/>
  <c r="MP60" i="2"/>
  <c r="MO60" i="2"/>
  <c r="MN60" i="2"/>
  <c r="MM60" i="2"/>
  <c r="ML60" i="2"/>
  <c r="MK60" i="2"/>
  <c r="MJ60" i="2"/>
  <c r="MI60" i="2"/>
  <c r="MH60" i="2"/>
  <c r="MG60" i="2"/>
  <c r="MF60" i="2"/>
  <c r="ME60" i="2"/>
  <c r="MD60" i="2"/>
  <c r="MC60" i="2"/>
  <c r="MB60" i="2"/>
  <c r="MA60" i="2"/>
  <c r="LZ60" i="2"/>
  <c r="LY60" i="2"/>
  <c r="LX60" i="2"/>
  <c r="LU60" i="2"/>
  <c r="LT60" i="2"/>
  <c r="LS60" i="2"/>
  <c r="LR60" i="2"/>
  <c r="LQ60" i="2"/>
  <c r="LP60" i="2"/>
  <c r="LO60" i="2"/>
  <c r="LN60" i="2"/>
  <c r="LM60" i="2"/>
  <c r="LL60" i="2"/>
  <c r="LK60" i="2"/>
  <c r="LJ60" i="2"/>
  <c r="LI60" i="2"/>
  <c r="LH60" i="2"/>
  <c r="LG60" i="2"/>
  <c r="LF60" i="2"/>
  <c r="LE60" i="2"/>
  <c r="LD60" i="2"/>
  <c r="LC60" i="2"/>
  <c r="LB60" i="2"/>
  <c r="KZ60" i="2"/>
  <c r="MR60" i="2" s="1"/>
  <c r="KD60" i="2"/>
  <c r="JH60" i="2"/>
  <c r="IL60" i="2"/>
  <c r="HO60" i="2"/>
  <c r="HN60" i="2"/>
  <c r="HM60" i="2"/>
  <c r="HL60" i="2"/>
  <c r="HK60" i="2"/>
  <c r="HJ60" i="2"/>
  <c r="HI60" i="2"/>
  <c r="HH60" i="2"/>
  <c r="HG60" i="2"/>
  <c r="HF60" i="2"/>
  <c r="HE60" i="2"/>
  <c r="HD60" i="2"/>
  <c r="HC60" i="2"/>
  <c r="HB60" i="2"/>
  <c r="HA60" i="2"/>
  <c r="GZ60" i="2"/>
  <c r="GY60" i="2"/>
  <c r="GX60" i="2"/>
  <c r="GW60" i="2"/>
  <c r="GV60" i="2"/>
  <c r="GT60" i="2"/>
  <c r="HP60" i="2" s="1"/>
  <c r="FX60" i="2"/>
  <c r="FW60" i="2"/>
  <c r="FV60" i="2"/>
  <c r="FU60" i="2"/>
  <c r="FT60" i="2"/>
  <c r="FS60" i="2"/>
  <c r="FR60" i="2"/>
  <c r="FQ60" i="2"/>
  <c r="FP60" i="2"/>
  <c r="FO60" i="2"/>
  <c r="FN60" i="2"/>
  <c r="FM60" i="2"/>
  <c r="FL60" i="2"/>
  <c r="FK60" i="2"/>
  <c r="FJ60" i="2"/>
  <c r="FI60" i="2"/>
  <c r="FH60" i="2"/>
  <c r="FG60" i="2"/>
  <c r="FF60" i="2"/>
  <c r="FE60" i="2"/>
  <c r="FD60" i="2"/>
  <c r="FB60" i="2"/>
  <c r="BD60" i="2"/>
  <c r="AK60" i="2"/>
  <c r="AE60" i="2"/>
  <c r="OI59" i="2"/>
  <c r="OH59" i="2"/>
  <c r="OG59" i="2"/>
  <c r="OF59" i="2"/>
  <c r="OE59" i="2"/>
  <c r="OD59" i="2"/>
  <c r="OC59" i="2"/>
  <c r="OB59" i="2"/>
  <c r="OA59" i="2"/>
  <c r="NZ59" i="2"/>
  <c r="NY59" i="2"/>
  <c r="NX59" i="2"/>
  <c r="NW59" i="2"/>
  <c r="NV59" i="2"/>
  <c r="NU59" i="2"/>
  <c r="NT59" i="2"/>
  <c r="NS59" i="2"/>
  <c r="NR59" i="2"/>
  <c r="NQ59" i="2"/>
  <c r="NP59" i="2"/>
  <c r="NN59" i="2"/>
  <c r="NM59" i="2"/>
  <c r="NL59" i="2"/>
  <c r="NK59" i="2"/>
  <c r="NJ59" i="2"/>
  <c r="NI59" i="2"/>
  <c r="NH59" i="2"/>
  <c r="NG59" i="2"/>
  <c r="NF59" i="2"/>
  <c r="NE59" i="2"/>
  <c r="ND59" i="2"/>
  <c r="NC59" i="2"/>
  <c r="NB59" i="2"/>
  <c r="NA59" i="2"/>
  <c r="MZ59" i="2"/>
  <c r="MY59" i="2"/>
  <c r="MX59" i="2"/>
  <c r="MW59" i="2"/>
  <c r="MV59" i="2"/>
  <c r="MU59" i="2"/>
  <c r="MT59" i="2"/>
  <c r="MQ59" i="2"/>
  <c r="MP59" i="2"/>
  <c r="MO59" i="2"/>
  <c r="MN59" i="2"/>
  <c r="MM59" i="2"/>
  <c r="ML59" i="2"/>
  <c r="MK59" i="2"/>
  <c r="MJ59" i="2"/>
  <c r="MI59" i="2"/>
  <c r="MH59" i="2"/>
  <c r="MG59" i="2"/>
  <c r="MF59" i="2"/>
  <c r="ME59" i="2"/>
  <c r="MD59" i="2"/>
  <c r="MC59" i="2"/>
  <c r="MB59" i="2"/>
  <c r="MA59" i="2"/>
  <c r="LZ59" i="2"/>
  <c r="LY59" i="2"/>
  <c r="LX59" i="2"/>
  <c r="LV59" i="2"/>
  <c r="LU59" i="2"/>
  <c r="LT59" i="2"/>
  <c r="LS59" i="2"/>
  <c r="LR59" i="2"/>
  <c r="LQ59" i="2"/>
  <c r="LP59" i="2"/>
  <c r="LO59" i="2"/>
  <c r="LN59" i="2"/>
  <c r="LM59" i="2"/>
  <c r="LL59" i="2"/>
  <c r="LK59" i="2"/>
  <c r="LJ59" i="2"/>
  <c r="LI59" i="2"/>
  <c r="LH59" i="2"/>
  <c r="LG59" i="2"/>
  <c r="LF59" i="2"/>
  <c r="LE59" i="2"/>
  <c r="LD59" i="2"/>
  <c r="LC59" i="2"/>
  <c r="LB59" i="2"/>
  <c r="KZ59" i="2"/>
  <c r="MR59" i="2" s="1"/>
  <c r="KD59" i="2"/>
  <c r="JH59" i="2"/>
  <c r="IL59" i="2"/>
  <c r="HO59" i="2"/>
  <c r="HN59" i="2"/>
  <c r="HM59" i="2"/>
  <c r="HL59" i="2"/>
  <c r="HK59" i="2"/>
  <c r="HJ59" i="2"/>
  <c r="HI59" i="2"/>
  <c r="HH59" i="2"/>
  <c r="HG59" i="2"/>
  <c r="HF59" i="2"/>
  <c r="HE59" i="2"/>
  <c r="HD59" i="2"/>
  <c r="HC59" i="2"/>
  <c r="HB59" i="2"/>
  <c r="HA59" i="2"/>
  <c r="GZ59" i="2"/>
  <c r="GY59" i="2"/>
  <c r="GX59" i="2"/>
  <c r="GW59" i="2"/>
  <c r="GV59" i="2"/>
  <c r="GT59" i="2"/>
  <c r="HP59" i="2" s="1"/>
  <c r="FW59" i="2"/>
  <c r="FV59" i="2"/>
  <c r="FU59" i="2"/>
  <c r="FT59" i="2"/>
  <c r="FS59" i="2"/>
  <c r="FR59" i="2"/>
  <c r="FQ59" i="2"/>
  <c r="FP59" i="2"/>
  <c r="FO59" i="2"/>
  <c r="FN59" i="2"/>
  <c r="FM59" i="2"/>
  <c r="FL59" i="2"/>
  <c r="FK59" i="2"/>
  <c r="FJ59" i="2"/>
  <c r="FI59" i="2"/>
  <c r="FH59" i="2"/>
  <c r="FG59" i="2"/>
  <c r="FF59" i="2"/>
  <c r="FE59" i="2"/>
  <c r="FD59" i="2"/>
  <c r="FB59" i="2"/>
  <c r="FX59" i="2" s="1"/>
  <c r="BD59" i="2"/>
  <c r="AK59" i="2"/>
  <c r="AE59" i="2"/>
  <c r="OI58" i="2"/>
  <c r="OH58" i="2"/>
  <c r="OG58" i="2"/>
  <c r="OF58" i="2"/>
  <c r="OE58" i="2"/>
  <c r="OD58" i="2"/>
  <c r="OC58" i="2"/>
  <c r="OB58" i="2"/>
  <c r="OA58" i="2"/>
  <c r="NZ58" i="2"/>
  <c r="NY58" i="2"/>
  <c r="NX58" i="2"/>
  <c r="NW58" i="2"/>
  <c r="NV58" i="2"/>
  <c r="NU58" i="2"/>
  <c r="NT58" i="2"/>
  <c r="NS58" i="2"/>
  <c r="NR58" i="2"/>
  <c r="NQ58" i="2"/>
  <c r="NP58" i="2"/>
  <c r="NM58" i="2"/>
  <c r="NL58" i="2"/>
  <c r="NK58" i="2"/>
  <c r="NJ58" i="2"/>
  <c r="NI58" i="2"/>
  <c r="NH58" i="2"/>
  <c r="NG58" i="2"/>
  <c r="NF58" i="2"/>
  <c r="NE58" i="2"/>
  <c r="ND58" i="2"/>
  <c r="NC58" i="2"/>
  <c r="NB58" i="2"/>
  <c r="NA58" i="2"/>
  <c r="MZ58" i="2"/>
  <c r="MY58" i="2"/>
  <c r="MX58" i="2"/>
  <c r="MW58" i="2"/>
  <c r="MV58" i="2"/>
  <c r="MU58" i="2"/>
  <c r="MT58" i="2"/>
  <c r="MR58" i="2"/>
  <c r="MQ58" i="2"/>
  <c r="MP58" i="2"/>
  <c r="MO58" i="2"/>
  <c r="MN58" i="2"/>
  <c r="MM58" i="2"/>
  <c r="ML58" i="2"/>
  <c r="MK58" i="2"/>
  <c r="MJ58" i="2"/>
  <c r="MI58" i="2"/>
  <c r="MH58" i="2"/>
  <c r="MG58" i="2"/>
  <c r="MF58" i="2"/>
  <c r="ME58" i="2"/>
  <c r="MD58" i="2"/>
  <c r="MC58" i="2"/>
  <c r="MB58" i="2"/>
  <c r="MA58" i="2"/>
  <c r="LZ58" i="2"/>
  <c r="LY58" i="2"/>
  <c r="LX58" i="2"/>
  <c r="LU58" i="2"/>
  <c r="LT58" i="2"/>
  <c r="LS58" i="2"/>
  <c r="LR58" i="2"/>
  <c r="LQ58" i="2"/>
  <c r="LP58" i="2"/>
  <c r="LO58" i="2"/>
  <c r="LN58" i="2"/>
  <c r="LM58" i="2"/>
  <c r="LL58" i="2"/>
  <c r="LK58" i="2"/>
  <c r="LJ58" i="2"/>
  <c r="LI58" i="2"/>
  <c r="LH58" i="2"/>
  <c r="LG58" i="2"/>
  <c r="LF58" i="2"/>
  <c r="LE58" i="2"/>
  <c r="LD58" i="2"/>
  <c r="LC58" i="2"/>
  <c r="LB58" i="2"/>
  <c r="KZ58" i="2"/>
  <c r="OJ58" i="2" s="1"/>
  <c r="KD58" i="2"/>
  <c r="JH58" i="2"/>
  <c r="IL58" i="2"/>
  <c r="HP58" i="2"/>
  <c r="HO58" i="2"/>
  <c r="HN58" i="2"/>
  <c r="HM58" i="2"/>
  <c r="HL58" i="2"/>
  <c r="HK58" i="2"/>
  <c r="HJ58" i="2"/>
  <c r="HI58" i="2"/>
  <c r="HH58" i="2"/>
  <c r="HG58" i="2"/>
  <c r="HF58" i="2"/>
  <c r="HE58" i="2"/>
  <c r="HD58" i="2"/>
  <c r="HC58" i="2"/>
  <c r="HB58" i="2"/>
  <c r="HA58" i="2"/>
  <c r="GZ58" i="2"/>
  <c r="GY58" i="2"/>
  <c r="GX58" i="2"/>
  <c r="GW58" i="2"/>
  <c r="GV58" i="2"/>
  <c r="GT58" i="2"/>
  <c r="FX58" i="2"/>
  <c r="FW58" i="2"/>
  <c r="FV58" i="2"/>
  <c r="FU58" i="2"/>
  <c r="FT58" i="2"/>
  <c r="FS58" i="2"/>
  <c r="FR58" i="2"/>
  <c r="FQ58" i="2"/>
  <c r="FP58" i="2"/>
  <c r="FO58" i="2"/>
  <c r="FN58" i="2"/>
  <c r="FM58" i="2"/>
  <c r="FL58" i="2"/>
  <c r="FK58" i="2"/>
  <c r="FJ58" i="2"/>
  <c r="FI58" i="2"/>
  <c r="FH58" i="2"/>
  <c r="FG58" i="2"/>
  <c r="FF58" i="2"/>
  <c r="FE58" i="2"/>
  <c r="FD58" i="2"/>
  <c r="FB58" i="2"/>
  <c r="BD58" i="2"/>
  <c r="AK58" i="2"/>
  <c r="AE58" i="2"/>
  <c r="OI57" i="2"/>
  <c r="OH57" i="2"/>
  <c r="OG57" i="2"/>
  <c r="OF57" i="2"/>
  <c r="OE57" i="2"/>
  <c r="OD57" i="2"/>
  <c r="OC57" i="2"/>
  <c r="OB57" i="2"/>
  <c r="OA57" i="2"/>
  <c r="NZ57" i="2"/>
  <c r="NY57" i="2"/>
  <c r="NX57" i="2"/>
  <c r="NW57" i="2"/>
  <c r="NV57" i="2"/>
  <c r="NU57" i="2"/>
  <c r="NT57" i="2"/>
  <c r="NS57" i="2"/>
  <c r="NR57" i="2"/>
  <c r="NQ57" i="2"/>
  <c r="NP57" i="2"/>
  <c r="NN57" i="2"/>
  <c r="NM57" i="2"/>
  <c r="NL57" i="2"/>
  <c r="NK57" i="2"/>
  <c r="NJ57" i="2"/>
  <c r="NI57" i="2"/>
  <c r="NH57" i="2"/>
  <c r="NG57" i="2"/>
  <c r="NF57" i="2"/>
  <c r="NE57" i="2"/>
  <c r="ND57" i="2"/>
  <c r="NC57" i="2"/>
  <c r="NB57" i="2"/>
  <c r="NA57" i="2"/>
  <c r="MZ57" i="2"/>
  <c r="MY57" i="2"/>
  <c r="MX57" i="2"/>
  <c r="MW57" i="2"/>
  <c r="MV57" i="2"/>
  <c r="MU57" i="2"/>
  <c r="MT57" i="2"/>
  <c r="MQ57" i="2"/>
  <c r="MP57" i="2"/>
  <c r="MO57" i="2"/>
  <c r="MN57" i="2"/>
  <c r="MM57" i="2"/>
  <c r="ML57" i="2"/>
  <c r="MK57" i="2"/>
  <c r="MJ57" i="2"/>
  <c r="MI57" i="2"/>
  <c r="MH57" i="2"/>
  <c r="MG57" i="2"/>
  <c r="MF57" i="2"/>
  <c r="ME57" i="2"/>
  <c r="MD57" i="2"/>
  <c r="MC57" i="2"/>
  <c r="MB57" i="2"/>
  <c r="MA57" i="2"/>
  <c r="LZ57" i="2"/>
  <c r="LY57" i="2"/>
  <c r="LX57" i="2"/>
  <c r="LV57" i="2"/>
  <c r="LU57" i="2"/>
  <c r="LT57" i="2"/>
  <c r="LS57" i="2"/>
  <c r="LR57" i="2"/>
  <c r="LQ57" i="2"/>
  <c r="LP57" i="2"/>
  <c r="LO57" i="2"/>
  <c r="LN57" i="2"/>
  <c r="LM57" i="2"/>
  <c r="LL57" i="2"/>
  <c r="LK57" i="2"/>
  <c r="LJ57" i="2"/>
  <c r="LI57" i="2"/>
  <c r="LH57" i="2"/>
  <c r="LG57" i="2"/>
  <c r="LF57" i="2"/>
  <c r="LE57" i="2"/>
  <c r="LD57" i="2"/>
  <c r="LC57" i="2"/>
  <c r="LB57" i="2"/>
  <c r="KZ57" i="2"/>
  <c r="OJ57" i="2" s="1"/>
  <c r="KD57" i="2"/>
  <c r="JH57" i="2"/>
  <c r="IL57" i="2"/>
  <c r="HO57" i="2"/>
  <c r="HN57" i="2"/>
  <c r="HM57" i="2"/>
  <c r="HL57" i="2"/>
  <c r="HK57" i="2"/>
  <c r="HJ57" i="2"/>
  <c r="HI57" i="2"/>
  <c r="HH57" i="2"/>
  <c r="HG57" i="2"/>
  <c r="HF57" i="2"/>
  <c r="HE57" i="2"/>
  <c r="HD57" i="2"/>
  <c r="HC57" i="2"/>
  <c r="HB57" i="2"/>
  <c r="HA57" i="2"/>
  <c r="GZ57" i="2"/>
  <c r="GY57" i="2"/>
  <c r="GX57" i="2"/>
  <c r="GW57" i="2"/>
  <c r="GV57" i="2"/>
  <c r="GT57" i="2"/>
  <c r="HP57" i="2" s="1"/>
  <c r="FX57" i="2"/>
  <c r="FW57" i="2"/>
  <c r="FV57" i="2"/>
  <c r="FU57" i="2"/>
  <c r="FT57" i="2"/>
  <c r="FS57" i="2"/>
  <c r="FR57" i="2"/>
  <c r="FQ57" i="2"/>
  <c r="FP57" i="2"/>
  <c r="FO57" i="2"/>
  <c r="FN57" i="2"/>
  <c r="FM57" i="2"/>
  <c r="FL57" i="2"/>
  <c r="FK57" i="2"/>
  <c r="FJ57" i="2"/>
  <c r="FI57" i="2"/>
  <c r="FH57" i="2"/>
  <c r="FG57" i="2"/>
  <c r="FF57" i="2"/>
  <c r="FE57" i="2"/>
  <c r="FD57" i="2"/>
  <c r="FB57" i="2"/>
  <c r="BD57" i="2"/>
  <c r="AK57" i="2"/>
  <c r="AE57" i="2"/>
  <c r="OI56" i="2"/>
  <c r="OH56" i="2"/>
  <c r="OG56" i="2"/>
  <c r="OF56" i="2"/>
  <c r="OE56" i="2"/>
  <c r="OD56" i="2"/>
  <c r="OC56" i="2"/>
  <c r="OB56" i="2"/>
  <c r="OA56" i="2"/>
  <c r="NZ56" i="2"/>
  <c r="NY56" i="2"/>
  <c r="NX56" i="2"/>
  <c r="NW56" i="2"/>
  <c r="NV56" i="2"/>
  <c r="NU56" i="2"/>
  <c r="NT56" i="2"/>
  <c r="NS56" i="2"/>
  <c r="NR56" i="2"/>
  <c r="NQ56" i="2"/>
  <c r="NP56" i="2"/>
  <c r="NM56" i="2"/>
  <c r="NL56" i="2"/>
  <c r="NK56" i="2"/>
  <c r="NJ56" i="2"/>
  <c r="NI56" i="2"/>
  <c r="NH56" i="2"/>
  <c r="NG56" i="2"/>
  <c r="NF56" i="2"/>
  <c r="NE56" i="2"/>
  <c r="ND56" i="2"/>
  <c r="NC56" i="2"/>
  <c r="NB56" i="2"/>
  <c r="NA56" i="2"/>
  <c r="MZ56" i="2"/>
  <c r="MY56" i="2"/>
  <c r="MX56" i="2"/>
  <c r="MW56" i="2"/>
  <c r="MV56" i="2"/>
  <c r="MU56" i="2"/>
  <c r="MT56" i="2"/>
  <c r="MQ56" i="2"/>
  <c r="MP56" i="2"/>
  <c r="MO56" i="2"/>
  <c r="MN56" i="2"/>
  <c r="MM56" i="2"/>
  <c r="ML56" i="2"/>
  <c r="MK56" i="2"/>
  <c r="MJ56" i="2"/>
  <c r="MI56" i="2"/>
  <c r="MH56" i="2"/>
  <c r="MG56" i="2"/>
  <c r="MF56" i="2"/>
  <c r="ME56" i="2"/>
  <c r="MD56" i="2"/>
  <c r="MC56" i="2"/>
  <c r="MB56" i="2"/>
  <c r="MA56" i="2"/>
  <c r="LZ56" i="2"/>
  <c r="LY56" i="2"/>
  <c r="LX56" i="2"/>
  <c r="LU56" i="2"/>
  <c r="LT56" i="2"/>
  <c r="LS56" i="2"/>
  <c r="LR56" i="2"/>
  <c r="LQ56" i="2"/>
  <c r="LP56" i="2"/>
  <c r="LO56" i="2"/>
  <c r="LN56" i="2"/>
  <c r="LM56" i="2"/>
  <c r="LL56" i="2"/>
  <c r="LK56" i="2"/>
  <c r="LJ56" i="2"/>
  <c r="LI56" i="2"/>
  <c r="LH56" i="2"/>
  <c r="LG56" i="2"/>
  <c r="LF56" i="2"/>
  <c r="LE56" i="2"/>
  <c r="LD56" i="2"/>
  <c r="LC56" i="2"/>
  <c r="LB56" i="2"/>
  <c r="KZ56" i="2"/>
  <c r="MR56" i="2" s="1"/>
  <c r="KD56" i="2"/>
  <c r="JH56" i="2"/>
  <c r="IL56" i="2"/>
  <c r="HO56" i="2"/>
  <c r="HN56" i="2"/>
  <c r="HM56" i="2"/>
  <c r="HL56" i="2"/>
  <c r="HK56" i="2"/>
  <c r="HJ56" i="2"/>
  <c r="HI56" i="2"/>
  <c r="HH56" i="2"/>
  <c r="HG56" i="2"/>
  <c r="HF56" i="2"/>
  <c r="HE56" i="2"/>
  <c r="HD56" i="2"/>
  <c r="HC56" i="2"/>
  <c r="HB56" i="2"/>
  <c r="HA56" i="2"/>
  <c r="GZ56" i="2"/>
  <c r="GY56" i="2"/>
  <c r="GX56" i="2"/>
  <c r="GW56" i="2"/>
  <c r="GV56" i="2"/>
  <c r="GT56" i="2"/>
  <c r="HP56" i="2" s="1"/>
  <c r="FX56" i="2"/>
  <c r="FW56" i="2"/>
  <c r="FV56" i="2"/>
  <c r="FU56" i="2"/>
  <c r="FT56" i="2"/>
  <c r="FS56" i="2"/>
  <c r="FR56" i="2"/>
  <c r="FQ56" i="2"/>
  <c r="FP56" i="2"/>
  <c r="FO56" i="2"/>
  <c r="FN56" i="2"/>
  <c r="FM56" i="2"/>
  <c r="FL56" i="2"/>
  <c r="FK56" i="2"/>
  <c r="FJ56" i="2"/>
  <c r="FI56" i="2"/>
  <c r="FH56" i="2"/>
  <c r="FG56" i="2"/>
  <c r="FF56" i="2"/>
  <c r="FE56" i="2"/>
  <c r="FD56" i="2"/>
  <c r="FB56" i="2"/>
  <c r="BD56" i="2"/>
  <c r="AK56" i="2"/>
  <c r="AE56" i="2"/>
  <c r="OI55" i="2"/>
  <c r="OH55" i="2"/>
  <c r="OG55" i="2"/>
  <c r="OF55" i="2"/>
  <c r="OE55" i="2"/>
  <c r="OD55" i="2"/>
  <c r="OC55" i="2"/>
  <c r="OB55" i="2"/>
  <c r="OA55" i="2"/>
  <c r="NZ55" i="2"/>
  <c r="NY55" i="2"/>
  <c r="NX55" i="2"/>
  <c r="NW55" i="2"/>
  <c r="NV55" i="2"/>
  <c r="NU55" i="2"/>
  <c r="NT55" i="2"/>
  <c r="NS55" i="2"/>
  <c r="NR55" i="2"/>
  <c r="NQ55" i="2"/>
  <c r="NP55" i="2"/>
  <c r="NN55" i="2"/>
  <c r="NM55" i="2"/>
  <c r="NL55" i="2"/>
  <c r="NK55" i="2"/>
  <c r="NJ55" i="2"/>
  <c r="NI55" i="2"/>
  <c r="NH55" i="2"/>
  <c r="NG55" i="2"/>
  <c r="NF55" i="2"/>
  <c r="NE55" i="2"/>
  <c r="ND55" i="2"/>
  <c r="NC55" i="2"/>
  <c r="NB55" i="2"/>
  <c r="NA55" i="2"/>
  <c r="MZ55" i="2"/>
  <c r="MY55" i="2"/>
  <c r="MX55" i="2"/>
  <c r="MW55" i="2"/>
  <c r="MV55" i="2"/>
  <c r="MU55" i="2"/>
  <c r="MT55" i="2"/>
  <c r="MQ55" i="2"/>
  <c r="MP55" i="2"/>
  <c r="MO55" i="2"/>
  <c r="MN55" i="2"/>
  <c r="MM55" i="2"/>
  <c r="ML55" i="2"/>
  <c r="MK55" i="2"/>
  <c r="MJ55" i="2"/>
  <c r="MI55" i="2"/>
  <c r="MH55" i="2"/>
  <c r="MG55" i="2"/>
  <c r="MF55" i="2"/>
  <c r="ME55" i="2"/>
  <c r="MD55" i="2"/>
  <c r="MC55" i="2"/>
  <c r="MB55" i="2"/>
  <c r="MA55" i="2"/>
  <c r="LZ55" i="2"/>
  <c r="LY55" i="2"/>
  <c r="LX55" i="2"/>
  <c r="LV55" i="2"/>
  <c r="LU55" i="2"/>
  <c r="LT55" i="2"/>
  <c r="LS55" i="2"/>
  <c r="LR55" i="2"/>
  <c r="LQ55" i="2"/>
  <c r="LP55" i="2"/>
  <c r="LO55" i="2"/>
  <c r="LN55" i="2"/>
  <c r="LM55" i="2"/>
  <c r="LL55" i="2"/>
  <c r="LK55" i="2"/>
  <c r="LJ55" i="2"/>
  <c r="LI55" i="2"/>
  <c r="LH55" i="2"/>
  <c r="LG55" i="2"/>
  <c r="LF55" i="2"/>
  <c r="LE55" i="2"/>
  <c r="LD55" i="2"/>
  <c r="LC55" i="2"/>
  <c r="LB55" i="2"/>
  <c r="KZ55" i="2"/>
  <c r="MR55" i="2" s="1"/>
  <c r="KD55" i="2"/>
  <c r="JH55" i="2"/>
  <c r="IL55" i="2"/>
  <c r="HO55" i="2"/>
  <c r="HN55" i="2"/>
  <c r="HM55" i="2"/>
  <c r="HL55" i="2"/>
  <c r="HK55" i="2"/>
  <c r="HJ55" i="2"/>
  <c r="HI55" i="2"/>
  <c r="HH55" i="2"/>
  <c r="HG55" i="2"/>
  <c r="HF55" i="2"/>
  <c r="HE55" i="2"/>
  <c r="HD55" i="2"/>
  <c r="HC55" i="2"/>
  <c r="HB55" i="2"/>
  <c r="HA55" i="2"/>
  <c r="GZ55" i="2"/>
  <c r="GY55" i="2"/>
  <c r="GX55" i="2"/>
  <c r="GW55" i="2"/>
  <c r="GV55" i="2"/>
  <c r="GT55" i="2"/>
  <c r="HP55" i="2" s="1"/>
  <c r="FW55" i="2"/>
  <c r="FV55" i="2"/>
  <c r="FU55" i="2"/>
  <c r="FT55" i="2"/>
  <c r="FS55" i="2"/>
  <c r="FR55" i="2"/>
  <c r="FQ55" i="2"/>
  <c r="FP55" i="2"/>
  <c r="FO55" i="2"/>
  <c r="FN55" i="2"/>
  <c r="FM55" i="2"/>
  <c r="FL55" i="2"/>
  <c r="FK55" i="2"/>
  <c r="FJ55" i="2"/>
  <c r="FI55" i="2"/>
  <c r="FH55" i="2"/>
  <c r="FG55" i="2"/>
  <c r="FF55" i="2"/>
  <c r="FE55" i="2"/>
  <c r="FD55" i="2"/>
  <c r="FB55" i="2"/>
  <c r="FX55" i="2" s="1"/>
  <c r="BD55" i="2"/>
  <c r="AK55" i="2"/>
  <c r="AE55" i="2"/>
  <c r="OI54" i="2"/>
  <c r="OH54" i="2"/>
  <c r="OG54" i="2"/>
  <c r="OF54" i="2"/>
  <c r="OE54" i="2"/>
  <c r="OD54" i="2"/>
  <c r="OC54" i="2"/>
  <c r="OB54" i="2"/>
  <c r="OA54" i="2"/>
  <c r="NZ54" i="2"/>
  <c r="NY54" i="2"/>
  <c r="NX54" i="2"/>
  <c r="NW54" i="2"/>
  <c r="NV54" i="2"/>
  <c r="NU54" i="2"/>
  <c r="NT54" i="2"/>
  <c r="NS54" i="2"/>
  <c r="NR54" i="2"/>
  <c r="NQ54" i="2"/>
  <c r="NP54" i="2"/>
  <c r="NM54" i="2"/>
  <c r="NL54" i="2"/>
  <c r="NK54" i="2"/>
  <c r="NJ54" i="2"/>
  <c r="NI54" i="2"/>
  <c r="NH54" i="2"/>
  <c r="NG54" i="2"/>
  <c r="NF54" i="2"/>
  <c r="NE54" i="2"/>
  <c r="ND54" i="2"/>
  <c r="NC54" i="2"/>
  <c r="NB54" i="2"/>
  <c r="NA54" i="2"/>
  <c r="MZ54" i="2"/>
  <c r="MY54" i="2"/>
  <c r="MX54" i="2"/>
  <c r="MW54" i="2"/>
  <c r="MV54" i="2"/>
  <c r="MU54" i="2"/>
  <c r="MT54" i="2"/>
  <c r="MR54" i="2"/>
  <c r="MQ54" i="2"/>
  <c r="MP54" i="2"/>
  <c r="MO54" i="2"/>
  <c r="MN54" i="2"/>
  <c r="MM54" i="2"/>
  <c r="ML54" i="2"/>
  <c r="MK54" i="2"/>
  <c r="MJ54" i="2"/>
  <c r="MI54" i="2"/>
  <c r="MH54" i="2"/>
  <c r="MG54" i="2"/>
  <c r="MF54" i="2"/>
  <c r="ME54" i="2"/>
  <c r="MD54" i="2"/>
  <c r="MC54" i="2"/>
  <c r="MB54" i="2"/>
  <c r="MA54" i="2"/>
  <c r="LZ54" i="2"/>
  <c r="LY54" i="2"/>
  <c r="LX54" i="2"/>
  <c r="LU54" i="2"/>
  <c r="LT54" i="2"/>
  <c r="LS54" i="2"/>
  <c r="LR54" i="2"/>
  <c r="LQ54" i="2"/>
  <c r="LP54" i="2"/>
  <c r="LO54" i="2"/>
  <c r="LN54" i="2"/>
  <c r="LM54" i="2"/>
  <c r="LL54" i="2"/>
  <c r="LK54" i="2"/>
  <c r="LJ54" i="2"/>
  <c r="LI54" i="2"/>
  <c r="LH54" i="2"/>
  <c r="LG54" i="2"/>
  <c r="LF54" i="2"/>
  <c r="LE54" i="2"/>
  <c r="LD54" i="2"/>
  <c r="LC54" i="2"/>
  <c r="LB54" i="2"/>
  <c r="KZ54" i="2"/>
  <c r="OJ54" i="2" s="1"/>
  <c r="KD54" i="2"/>
  <c r="JH54" i="2"/>
  <c r="IL54" i="2"/>
  <c r="HO54" i="2"/>
  <c r="HN54" i="2"/>
  <c r="HM54" i="2"/>
  <c r="HL54" i="2"/>
  <c r="HK54" i="2"/>
  <c r="HJ54" i="2"/>
  <c r="HI54" i="2"/>
  <c r="HH54" i="2"/>
  <c r="HG54" i="2"/>
  <c r="HF54" i="2"/>
  <c r="HE54" i="2"/>
  <c r="HD54" i="2"/>
  <c r="HC54" i="2"/>
  <c r="HB54" i="2"/>
  <c r="HA54" i="2"/>
  <c r="GZ54" i="2"/>
  <c r="GY54" i="2"/>
  <c r="GX54" i="2"/>
  <c r="GW54" i="2"/>
  <c r="GV54" i="2"/>
  <c r="GT54" i="2"/>
  <c r="HP54" i="2" s="1"/>
  <c r="FX54" i="2"/>
  <c r="FW54" i="2"/>
  <c r="FV54" i="2"/>
  <c r="FU54" i="2"/>
  <c r="FT54" i="2"/>
  <c r="FS54" i="2"/>
  <c r="FR54" i="2"/>
  <c r="FQ54" i="2"/>
  <c r="FP54" i="2"/>
  <c r="FO54" i="2"/>
  <c r="FN54" i="2"/>
  <c r="FM54" i="2"/>
  <c r="FL54" i="2"/>
  <c r="FK54" i="2"/>
  <c r="FJ54" i="2"/>
  <c r="FI54" i="2"/>
  <c r="FH54" i="2"/>
  <c r="FG54" i="2"/>
  <c r="FF54" i="2"/>
  <c r="FE54" i="2"/>
  <c r="FD54" i="2"/>
  <c r="FB54" i="2"/>
  <c r="BD54" i="2"/>
  <c r="AK54" i="2"/>
  <c r="AE54" i="2"/>
  <c r="OI53" i="2"/>
  <c r="OH53" i="2"/>
  <c r="OG53" i="2"/>
  <c r="OF53" i="2"/>
  <c r="OE53" i="2"/>
  <c r="OD53" i="2"/>
  <c r="OC53" i="2"/>
  <c r="OB53" i="2"/>
  <c r="OA53" i="2"/>
  <c r="NZ53" i="2"/>
  <c r="NY53" i="2"/>
  <c r="NX53" i="2"/>
  <c r="NW53" i="2"/>
  <c r="NV53" i="2"/>
  <c r="NU53" i="2"/>
  <c r="NT53" i="2"/>
  <c r="NS53" i="2"/>
  <c r="NR53" i="2"/>
  <c r="NQ53" i="2"/>
  <c r="NP53" i="2"/>
  <c r="NN53" i="2"/>
  <c r="NM53" i="2"/>
  <c r="NL53" i="2"/>
  <c r="NK53" i="2"/>
  <c r="NJ53" i="2"/>
  <c r="NI53" i="2"/>
  <c r="NH53" i="2"/>
  <c r="NG53" i="2"/>
  <c r="NF53" i="2"/>
  <c r="NE53" i="2"/>
  <c r="ND53" i="2"/>
  <c r="NC53" i="2"/>
  <c r="NB53" i="2"/>
  <c r="NA53" i="2"/>
  <c r="MZ53" i="2"/>
  <c r="MY53" i="2"/>
  <c r="MX53" i="2"/>
  <c r="MW53" i="2"/>
  <c r="MV53" i="2"/>
  <c r="MU53" i="2"/>
  <c r="MT53" i="2"/>
  <c r="MQ53" i="2"/>
  <c r="MP53" i="2"/>
  <c r="MO53" i="2"/>
  <c r="MN53" i="2"/>
  <c r="MM53" i="2"/>
  <c r="ML53" i="2"/>
  <c r="MK53" i="2"/>
  <c r="MJ53" i="2"/>
  <c r="MI53" i="2"/>
  <c r="MH53" i="2"/>
  <c r="MG53" i="2"/>
  <c r="MF53" i="2"/>
  <c r="ME53" i="2"/>
  <c r="MD53" i="2"/>
  <c r="MC53" i="2"/>
  <c r="MB53" i="2"/>
  <c r="MA53" i="2"/>
  <c r="LZ53" i="2"/>
  <c r="LY53" i="2"/>
  <c r="LX53" i="2"/>
  <c r="LV53" i="2"/>
  <c r="LU53" i="2"/>
  <c r="LT53" i="2"/>
  <c r="LS53" i="2"/>
  <c r="LR53" i="2"/>
  <c r="LQ53" i="2"/>
  <c r="LP53" i="2"/>
  <c r="LO53" i="2"/>
  <c r="LN53" i="2"/>
  <c r="LM53" i="2"/>
  <c r="LL53" i="2"/>
  <c r="LK53" i="2"/>
  <c r="LJ53" i="2"/>
  <c r="LI53" i="2"/>
  <c r="LH53" i="2"/>
  <c r="LG53" i="2"/>
  <c r="LF53" i="2"/>
  <c r="LE53" i="2"/>
  <c r="LD53" i="2"/>
  <c r="LC53" i="2"/>
  <c r="LB53" i="2"/>
  <c r="KZ53" i="2"/>
  <c r="OJ53" i="2" s="1"/>
  <c r="KD53" i="2"/>
  <c r="JH53" i="2"/>
  <c r="IL53" i="2"/>
  <c r="HO53" i="2"/>
  <c r="HN53" i="2"/>
  <c r="HM53" i="2"/>
  <c r="HL53" i="2"/>
  <c r="HK53" i="2"/>
  <c r="HJ53" i="2"/>
  <c r="HI53" i="2"/>
  <c r="HH53" i="2"/>
  <c r="HG53" i="2"/>
  <c r="HF53" i="2"/>
  <c r="HE53" i="2"/>
  <c r="HD53" i="2"/>
  <c r="HC53" i="2"/>
  <c r="HB53" i="2"/>
  <c r="HA53" i="2"/>
  <c r="GZ53" i="2"/>
  <c r="GY53" i="2"/>
  <c r="GX53" i="2"/>
  <c r="GW53" i="2"/>
  <c r="GV53" i="2"/>
  <c r="GT53" i="2"/>
  <c r="HP53" i="2" s="1"/>
  <c r="FX53" i="2"/>
  <c r="FW53" i="2"/>
  <c r="FV53" i="2"/>
  <c r="FU53" i="2"/>
  <c r="FT53" i="2"/>
  <c r="FS53" i="2"/>
  <c r="FR53" i="2"/>
  <c r="FQ53" i="2"/>
  <c r="FP53" i="2"/>
  <c r="FO53" i="2"/>
  <c r="FN53" i="2"/>
  <c r="FM53" i="2"/>
  <c r="FL53" i="2"/>
  <c r="FK53" i="2"/>
  <c r="FJ53" i="2"/>
  <c r="FI53" i="2"/>
  <c r="FH53" i="2"/>
  <c r="FG53" i="2"/>
  <c r="FF53" i="2"/>
  <c r="FE53" i="2"/>
  <c r="FD53" i="2"/>
  <c r="FB53" i="2"/>
  <c r="BD53" i="2"/>
  <c r="AK53" i="2"/>
  <c r="AE53" i="2"/>
  <c r="OI52" i="2"/>
  <c r="OH52" i="2"/>
  <c r="OG52" i="2"/>
  <c r="OF52" i="2"/>
  <c r="OE52" i="2"/>
  <c r="OD52" i="2"/>
  <c r="OC52" i="2"/>
  <c r="OB52" i="2"/>
  <c r="OA52" i="2"/>
  <c r="NZ52" i="2"/>
  <c r="NY52" i="2"/>
  <c r="NX52" i="2"/>
  <c r="NW52" i="2"/>
  <c r="NV52" i="2"/>
  <c r="NU52" i="2"/>
  <c r="NT52" i="2"/>
  <c r="NS52" i="2"/>
  <c r="NR52" i="2"/>
  <c r="NQ52" i="2"/>
  <c r="NP52" i="2"/>
  <c r="NM52" i="2"/>
  <c r="NL52" i="2"/>
  <c r="NK52" i="2"/>
  <c r="NJ52" i="2"/>
  <c r="NI52" i="2"/>
  <c r="NH52" i="2"/>
  <c r="NG52" i="2"/>
  <c r="NF52" i="2"/>
  <c r="NE52" i="2"/>
  <c r="ND52" i="2"/>
  <c r="NC52" i="2"/>
  <c r="NB52" i="2"/>
  <c r="NA52" i="2"/>
  <c r="MZ52" i="2"/>
  <c r="MY52" i="2"/>
  <c r="MX52" i="2"/>
  <c r="MW52" i="2"/>
  <c r="MV52" i="2"/>
  <c r="MU52" i="2"/>
  <c r="MT52" i="2"/>
  <c r="MQ52" i="2"/>
  <c r="MP52" i="2"/>
  <c r="MO52" i="2"/>
  <c r="MN52" i="2"/>
  <c r="MM52" i="2"/>
  <c r="ML52" i="2"/>
  <c r="MK52" i="2"/>
  <c r="MJ52" i="2"/>
  <c r="MI52" i="2"/>
  <c r="MH52" i="2"/>
  <c r="MG52" i="2"/>
  <c r="MF52" i="2"/>
  <c r="ME52" i="2"/>
  <c r="MD52" i="2"/>
  <c r="MC52" i="2"/>
  <c r="MB52" i="2"/>
  <c r="MA52" i="2"/>
  <c r="LZ52" i="2"/>
  <c r="LY52" i="2"/>
  <c r="LX52" i="2"/>
  <c r="LU52" i="2"/>
  <c r="LT52" i="2"/>
  <c r="LS52" i="2"/>
  <c r="LR52" i="2"/>
  <c r="LQ52" i="2"/>
  <c r="LP52" i="2"/>
  <c r="LO52" i="2"/>
  <c r="LN52" i="2"/>
  <c r="LM52" i="2"/>
  <c r="LL52" i="2"/>
  <c r="LK52" i="2"/>
  <c r="LJ52" i="2"/>
  <c r="LI52" i="2"/>
  <c r="LH52" i="2"/>
  <c r="LG52" i="2"/>
  <c r="LF52" i="2"/>
  <c r="LE52" i="2"/>
  <c r="LD52" i="2"/>
  <c r="LC52" i="2"/>
  <c r="LB52" i="2"/>
  <c r="KZ52" i="2"/>
  <c r="MR52" i="2" s="1"/>
  <c r="KD52" i="2"/>
  <c r="JH52" i="2"/>
  <c r="IL52" i="2"/>
  <c r="HO52" i="2"/>
  <c r="HN52" i="2"/>
  <c r="HM52" i="2"/>
  <c r="HL52" i="2"/>
  <c r="HK52" i="2"/>
  <c r="HJ52" i="2"/>
  <c r="HI52" i="2"/>
  <c r="HH52" i="2"/>
  <c r="HG52" i="2"/>
  <c r="HF52" i="2"/>
  <c r="HE52" i="2"/>
  <c r="HD52" i="2"/>
  <c r="HC52" i="2"/>
  <c r="HB52" i="2"/>
  <c r="HA52" i="2"/>
  <c r="GZ52" i="2"/>
  <c r="GY52" i="2"/>
  <c r="GX52" i="2"/>
  <c r="GW52" i="2"/>
  <c r="GV52" i="2"/>
  <c r="GT52" i="2"/>
  <c r="HP52" i="2" s="1"/>
  <c r="FX52" i="2"/>
  <c r="FW52" i="2"/>
  <c r="FV52" i="2"/>
  <c r="FU52" i="2"/>
  <c r="FT52" i="2"/>
  <c r="FS52" i="2"/>
  <c r="FR52" i="2"/>
  <c r="FQ52" i="2"/>
  <c r="FP52" i="2"/>
  <c r="FO52" i="2"/>
  <c r="FN52" i="2"/>
  <c r="FM52" i="2"/>
  <c r="FL52" i="2"/>
  <c r="FK52" i="2"/>
  <c r="FJ52" i="2"/>
  <c r="FI52" i="2"/>
  <c r="FH52" i="2"/>
  <c r="FG52" i="2"/>
  <c r="FF52" i="2"/>
  <c r="FE52" i="2"/>
  <c r="FD52" i="2"/>
  <c r="FB52" i="2"/>
  <c r="BD52" i="2"/>
  <c r="AK52" i="2"/>
  <c r="AE52" i="2"/>
  <c r="OI51" i="2"/>
  <c r="OH51" i="2"/>
  <c r="OG51" i="2"/>
  <c r="OF51" i="2"/>
  <c r="OE51" i="2"/>
  <c r="OD51" i="2"/>
  <c r="OC51" i="2"/>
  <c r="OB51" i="2"/>
  <c r="OA51" i="2"/>
  <c r="NZ51" i="2"/>
  <c r="NY51" i="2"/>
  <c r="NX51" i="2"/>
  <c r="NW51" i="2"/>
  <c r="NV51" i="2"/>
  <c r="NU51" i="2"/>
  <c r="NT51" i="2"/>
  <c r="NS51" i="2"/>
  <c r="NR51" i="2"/>
  <c r="NQ51" i="2"/>
  <c r="NP51" i="2"/>
  <c r="NN51" i="2"/>
  <c r="NM51" i="2"/>
  <c r="NL51" i="2"/>
  <c r="NK51" i="2"/>
  <c r="NJ51" i="2"/>
  <c r="NI51" i="2"/>
  <c r="NH51" i="2"/>
  <c r="NG51" i="2"/>
  <c r="NF51" i="2"/>
  <c r="NE51" i="2"/>
  <c r="ND51" i="2"/>
  <c r="NC51" i="2"/>
  <c r="NB51" i="2"/>
  <c r="NA51" i="2"/>
  <c r="MZ51" i="2"/>
  <c r="MY51" i="2"/>
  <c r="MX51" i="2"/>
  <c r="MW51" i="2"/>
  <c r="MV51" i="2"/>
  <c r="MU51" i="2"/>
  <c r="MT51" i="2"/>
  <c r="MQ51" i="2"/>
  <c r="MP51" i="2"/>
  <c r="MO51" i="2"/>
  <c r="MN51" i="2"/>
  <c r="MM51" i="2"/>
  <c r="ML51" i="2"/>
  <c r="MK51" i="2"/>
  <c r="MJ51" i="2"/>
  <c r="MI51" i="2"/>
  <c r="MH51" i="2"/>
  <c r="MG51" i="2"/>
  <c r="MF51" i="2"/>
  <c r="ME51" i="2"/>
  <c r="MD51" i="2"/>
  <c r="MC51" i="2"/>
  <c r="MB51" i="2"/>
  <c r="MA51" i="2"/>
  <c r="LZ51" i="2"/>
  <c r="LY51" i="2"/>
  <c r="LX51" i="2"/>
  <c r="LV51" i="2"/>
  <c r="LU51" i="2"/>
  <c r="LT51" i="2"/>
  <c r="LS51" i="2"/>
  <c r="LR51" i="2"/>
  <c r="LQ51" i="2"/>
  <c r="LP51" i="2"/>
  <c r="LO51" i="2"/>
  <c r="LN51" i="2"/>
  <c r="LM51" i="2"/>
  <c r="LL51" i="2"/>
  <c r="LK51" i="2"/>
  <c r="LJ51" i="2"/>
  <c r="LI51" i="2"/>
  <c r="LH51" i="2"/>
  <c r="LG51" i="2"/>
  <c r="LF51" i="2"/>
  <c r="LE51" i="2"/>
  <c r="LD51" i="2"/>
  <c r="LC51" i="2"/>
  <c r="LB51" i="2"/>
  <c r="KZ51" i="2"/>
  <c r="MR51" i="2" s="1"/>
  <c r="KD51" i="2"/>
  <c r="JH51" i="2"/>
  <c r="IL51" i="2"/>
  <c r="HO51" i="2"/>
  <c r="HN51" i="2"/>
  <c r="HM51" i="2"/>
  <c r="HL51" i="2"/>
  <c r="HK51" i="2"/>
  <c r="HJ51" i="2"/>
  <c r="HI51" i="2"/>
  <c r="HH51" i="2"/>
  <c r="HG51" i="2"/>
  <c r="HF51" i="2"/>
  <c r="HE51" i="2"/>
  <c r="HD51" i="2"/>
  <c r="HC51" i="2"/>
  <c r="HB51" i="2"/>
  <c r="HA51" i="2"/>
  <c r="GZ51" i="2"/>
  <c r="GY51" i="2"/>
  <c r="GX51" i="2"/>
  <c r="GW51" i="2"/>
  <c r="GV51" i="2"/>
  <c r="GT51" i="2"/>
  <c r="HP51" i="2" s="1"/>
  <c r="FW51" i="2"/>
  <c r="FV51" i="2"/>
  <c r="FU51" i="2"/>
  <c r="FT51" i="2"/>
  <c r="FS51" i="2"/>
  <c r="FR51" i="2"/>
  <c r="FQ51" i="2"/>
  <c r="FP51" i="2"/>
  <c r="FO51" i="2"/>
  <c r="FN51" i="2"/>
  <c r="FM51" i="2"/>
  <c r="FL51" i="2"/>
  <c r="FK51" i="2"/>
  <c r="FJ51" i="2"/>
  <c r="FI51" i="2"/>
  <c r="FH51" i="2"/>
  <c r="FG51" i="2"/>
  <c r="FF51" i="2"/>
  <c r="FE51" i="2"/>
  <c r="FD51" i="2"/>
  <c r="FB51" i="2"/>
  <c r="FX51" i="2" s="1"/>
  <c r="BD51" i="2"/>
  <c r="AK51" i="2"/>
  <c r="AE51" i="2"/>
  <c r="OI50" i="2"/>
  <c r="OH50" i="2"/>
  <c r="OG50" i="2"/>
  <c r="OF50" i="2"/>
  <c r="OE50" i="2"/>
  <c r="OD50" i="2"/>
  <c r="OC50" i="2"/>
  <c r="OB50" i="2"/>
  <c r="OA50" i="2"/>
  <c r="NZ50" i="2"/>
  <c r="NY50" i="2"/>
  <c r="NX50" i="2"/>
  <c r="NW50" i="2"/>
  <c r="NV50" i="2"/>
  <c r="NU50" i="2"/>
  <c r="NT50" i="2"/>
  <c r="NS50" i="2"/>
  <c r="NR50" i="2"/>
  <c r="NQ50" i="2"/>
  <c r="NP50" i="2"/>
  <c r="NM50" i="2"/>
  <c r="NL50" i="2"/>
  <c r="NK50" i="2"/>
  <c r="NJ50" i="2"/>
  <c r="NI50" i="2"/>
  <c r="NH50" i="2"/>
  <c r="NG50" i="2"/>
  <c r="NF50" i="2"/>
  <c r="NE50" i="2"/>
  <c r="ND50" i="2"/>
  <c r="NC50" i="2"/>
  <c r="NB50" i="2"/>
  <c r="NA50" i="2"/>
  <c r="MZ50" i="2"/>
  <c r="MY50" i="2"/>
  <c r="MX50" i="2"/>
  <c r="MW50" i="2"/>
  <c r="MV50" i="2"/>
  <c r="MU50" i="2"/>
  <c r="MT50" i="2"/>
  <c r="MR50" i="2"/>
  <c r="MQ50" i="2"/>
  <c r="MP50" i="2"/>
  <c r="MO50" i="2"/>
  <c r="MN50" i="2"/>
  <c r="MM50" i="2"/>
  <c r="ML50" i="2"/>
  <c r="MK50" i="2"/>
  <c r="MJ50" i="2"/>
  <c r="MI50" i="2"/>
  <c r="MH50" i="2"/>
  <c r="MG50" i="2"/>
  <c r="MF50" i="2"/>
  <c r="ME50" i="2"/>
  <c r="MD50" i="2"/>
  <c r="MC50" i="2"/>
  <c r="MB50" i="2"/>
  <c r="MA50" i="2"/>
  <c r="LZ50" i="2"/>
  <c r="LY50" i="2"/>
  <c r="LX50" i="2"/>
  <c r="LU50" i="2"/>
  <c r="LT50" i="2"/>
  <c r="LS50" i="2"/>
  <c r="LR50" i="2"/>
  <c r="LQ50" i="2"/>
  <c r="LP50" i="2"/>
  <c r="LO50" i="2"/>
  <c r="LN50" i="2"/>
  <c r="LM50" i="2"/>
  <c r="LL50" i="2"/>
  <c r="LK50" i="2"/>
  <c r="LJ50" i="2"/>
  <c r="LI50" i="2"/>
  <c r="LH50" i="2"/>
  <c r="LG50" i="2"/>
  <c r="LF50" i="2"/>
  <c r="LE50" i="2"/>
  <c r="LD50" i="2"/>
  <c r="LC50" i="2"/>
  <c r="LB50" i="2"/>
  <c r="KZ50" i="2"/>
  <c r="OJ50" i="2" s="1"/>
  <c r="KD50" i="2"/>
  <c r="JH50" i="2"/>
  <c r="IL50" i="2"/>
  <c r="HO50" i="2"/>
  <c r="HN50" i="2"/>
  <c r="HM50" i="2"/>
  <c r="HL50" i="2"/>
  <c r="HK50" i="2"/>
  <c r="HJ50" i="2"/>
  <c r="HI50" i="2"/>
  <c r="HH50" i="2"/>
  <c r="HG50" i="2"/>
  <c r="HF50" i="2"/>
  <c r="HE50" i="2"/>
  <c r="HD50" i="2"/>
  <c r="HC50" i="2"/>
  <c r="HB50" i="2"/>
  <c r="HA50" i="2"/>
  <c r="GZ50" i="2"/>
  <c r="GY50" i="2"/>
  <c r="GX50" i="2"/>
  <c r="GW50" i="2"/>
  <c r="GV50" i="2"/>
  <c r="GT50" i="2"/>
  <c r="HP50" i="2" s="1"/>
  <c r="FX50" i="2"/>
  <c r="FW50" i="2"/>
  <c r="FV50" i="2"/>
  <c r="FU50" i="2"/>
  <c r="FT50" i="2"/>
  <c r="FS50" i="2"/>
  <c r="FR50" i="2"/>
  <c r="FQ50" i="2"/>
  <c r="FP50" i="2"/>
  <c r="FO50" i="2"/>
  <c r="FN50" i="2"/>
  <c r="FM50" i="2"/>
  <c r="FL50" i="2"/>
  <c r="FK50" i="2"/>
  <c r="FJ50" i="2"/>
  <c r="FI50" i="2"/>
  <c r="FH50" i="2"/>
  <c r="FG50" i="2"/>
  <c r="FF50" i="2"/>
  <c r="FE50" i="2"/>
  <c r="FD50" i="2"/>
  <c r="FB50" i="2"/>
  <c r="BD50" i="2"/>
  <c r="AK50" i="2"/>
  <c r="AE50" i="2"/>
  <c r="OI49" i="2"/>
  <c r="OH49" i="2"/>
  <c r="OG49" i="2"/>
  <c r="OF49" i="2"/>
  <c r="OE49" i="2"/>
  <c r="OD49" i="2"/>
  <c r="OC49" i="2"/>
  <c r="OB49" i="2"/>
  <c r="OA49" i="2"/>
  <c r="NZ49" i="2"/>
  <c r="NY49" i="2"/>
  <c r="NX49" i="2"/>
  <c r="NW49" i="2"/>
  <c r="NV49" i="2"/>
  <c r="NU49" i="2"/>
  <c r="NT49" i="2"/>
  <c r="NS49" i="2"/>
  <c r="NR49" i="2"/>
  <c r="NQ49" i="2"/>
  <c r="NP49" i="2"/>
  <c r="NN49" i="2"/>
  <c r="NM49" i="2"/>
  <c r="NL49" i="2"/>
  <c r="NK49" i="2"/>
  <c r="NJ49" i="2"/>
  <c r="NI49" i="2"/>
  <c r="NH49" i="2"/>
  <c r="NG49" i="2"/>
  <c r="NF49" i="2"/>
  <c r="NE49" i="2"/>
  <c r="ND49" i="2"/>
  <c r="NC49" i="2"/>
  <c r="NB49" i="2"/>
  <c r="NA49" i="2"/>
  <c r="MZ49" i="2"/>
  <c r="MY49" i="2"/>
  <c r="MX49" i="2"/>
  <c r="MW49" i="2"/>
  <c r="MV49" i="2"/>
  <c r="MU49" i="2"/>
  <c r="MT49" i="2"/>
  <c r="MQ49" i="2"/>
  <c r="MP49" i="2"/>
  <c r="MO49" i="2"/>
  <c r="MN49" i="2"/>
  <c r="MM49" i="2"/>
  <c r="ML49" i="2"/>
  <c r="MK49" i="2"/>
  <c r="MJ49" i="2"/>
  <c r="MI49" i="2"/>
  <c r="MH49" i="2"/>
  <c r="MG49" i="2"/>
  <c r="MF49" i="2"/>
  <c r="ME49" i="2"/>
  <c r="MD49" i="2"/>
  <c r="MC49" i="2"/>
  <c r="MB49" i="2"/>
  <c r="MA49" i="2"/>
  <c r="LZ49" i="2"/>
  <c r="LY49" i="2"/>
  <c r="LX49" i="2"/>
  <c r="LV49" i="2"/>
  <c r="LU49" i="2"/>
  <c r="LT49" i="2"/>
  <c r="LS49" i="2"/>
  <c r="LR49" i="2"/>
  <c r="LQ49" i="2"/>
  <c r="LP49" i="2"/>
  <c r="LO49" i="2"/>
  <c r="LN49" i="2"/>
  <c r="LM49" i="2"/>
  <c r="LL49" i="2"/>
  <c r="LK49" i="2"/>
  <c r="LJ49" i="2"/>
  <c r="LI49" i="2"/>
  <c r="LH49" i="2"/>
  <c r="LG49" i="2"/>
  <c r="LF49" i="2"/>
  <c r="LE49" i="2"/>
  <c r="LD49" i="2"/>
  <c r="LC49" i="2"/>
  <c r="LB49" i="2"/>
  <c r="KZ49" i="2"/>
  <c r="OJ49" i="2" s="1"/>
  <c r="KD49" i="2"/>
  <c r="JH49" i="2"/>
  <c r="IL49" i="2"/>
  <c r="HO49" i="2"/>
  <c r="HN49" i="2"/>
  <c r="HM49" i="2"/>
  <c r="HL49" i="2"/>
  <c r="HK49" i="2"/>
  <c r="HJ49" i="2"/>
  <c r="HI49" i="2"/>
  <c r="HH49" i="2"/>
  <c r="HG49" i="2"/>
  <c r="HF49" i="2"/>
  <c r="HE49" i="2"/>
  <c r="HD49" i="2"/>
  <c r="HC49" i="2"/>
  <c r="HB49" i="2"/>
  <c r="HA49" i="2"/>
  <c r="GZ49" i="2"/>
  <c r="GY49" i="2"/>
  <c r="GX49" i="2"/>
  <c r="GW49" i="2"/>
  <c r="GV49" i="2"/>
  <c r="GT49" i="2"/>
  <c r="HP49" i="2" s="1"/>
  <c r="FX49" i="2"/>
  <c r="FW49" i="2"/>
  <c r="FV49" i="2"/>
  <c r="FU49" i="2"/>
  <c r="FT49" i="2"/>
  <c r="FS49" i="2"/>
  <c r="FR49" i="2"/>
  <c r="FQ49" i="2"/>
  <c r="FP49" i="2"/>
  <c r="FO49" i="2"/>
  <c r="FN49" i="2"/>
  <c r="FM49" i="2"/>
  <c r="FL49" i="2"/>
  <c r="FK49" i="2"/>
  <c r="FJ49" i="2"/>
  <c r="FI49" i="2"/>
  <c r="FH49" i="2"/>
  <c r="FG49" i="2"/>
  <c r="FF49" i="2"/>
  <c r="FE49" i="2"/>
  <c r="FD49" i="2"/>
  <c r="FB49" i="2"/>
  <c r="BD49" i="2"/>
  <c r="AK49" i="2"/>
  <c r="AE49" i="2"/>
  <c r="OI48" i="2"/>
  <c r="OH48" i="2"/>
  <c r="OG48" i="2"/>
  <c r="OF48" i="2"/>
  <c r="OE48" i="2"/>
  <c r="OD48" i="2"/>
  <c r="OC48" i="2"/>
  <c r="OB48" i="2"/>
  <c r="OA48" i="2"/>
  <c r="NZ48" i="2"/>
  <c r="NY48" i="2"/>
  <c r="NX48" i="2"/>
  <c r="NW48" i="2"/>
  <c r="NV48" i="2"/>
  <c r="NU48" i="2"/>
  <c r="NT48" i="2"/>
  <c r="NS48" i="2"/>
  <c r="NR48" i="2"/>
  <c r="NQ48" i="2"/>
  <c r="NP48" i="2"/>
  <c r="NM48" i="2"/>
  <c r="NL48" i="2"/>
  <c r="NK48" i="2"/>
  <c r="NJ48" i="2"/>
  <c r="NI48" i="2"/>
  <c r="NH48" i="2"/>
  <c r="NG48" i="2"/>
  <c r="NF48" i="2"/>
  <c r="NE48" i="2"/>
  <c r="ND48" i="2"/>
  <c r="NC48" i="2"/>
  <c r="NB48" i="2"/>
  <c r="NA48" i="2"/>
  <c r="MZ48" i="2"/>
  <c r="MY48" i="2"/>
  <c r="MX48" i="2"/>
  <c r="MW48" i="2"/>
  <c r="MV48" i="2"/>
  <c r="MU48" i="2"/>
  <c r="MT48" i="2"/>
  <c r="MQ48" i="2"/>
  <c r="MP48" i="2"/>
  <c r="MO48" i="2"/>
  <c r="MN48" i="2"/>
  <c r="MM48" i="2"/>
  <c r="ML48" i="2"/>
  <c r="MK48" i="2"/>
  <c r="MJ48" i="2"/>
  <c r="MI48" i="2"/>
  <c r="MH48" i="2"/>
  <c r="MG48" i="2"/>
  <c r="MF48" i="2"/>
  <c r="ME48" i="2"/>
  <c r="MD48" i="2"/>
  <c r="MC48" i="2"/>
  <c r="MB48" i="2"/>
  <c r="MA48" i="2"/>
  <c r="LZ48" i="2"/>
  <c r="LY48" i="2"/>
  <c r="LX48" i="2"/>
  <c r="LU48" i="2"/>
  <c r="LT48" i="2"/>
  <c r="LS48" i="2"/>
  <c r="LR48" i="2"/>
  <c r="LQ48" i="2"/>
  <c r="LP48" i="2"/>
  <c r="LO48" i="2"/>
  <c r="LN48" i="2"/>
  <c r="LM48" i="2"/>
  <c r="LL48" i="2"/>
  <c r="LK48" i="2"/>
  <c r="LJ48" i="2"/>
  <c r="LI48" i="2"/>
  <c r="LH48" i="2"/>
  <c r="LG48" i="2"/>
  <c r="LF48" i="2"/>
  <c r="LE48" i="2"/>
  <c r="LD48" i="2"/>
  <c r="LC48" i="2"/>
  <c r="LB48" i="2"/>
  <c r="KZ48" i="2"/>
  <c r="MR48" i="2" s="1"/>
  <c r="KD48" i="2"/>
  <c r="JH48" i="2"/>
  <c r="IL48" i="2"/>
  <c r="HP48" i="2"/>
  <c r="HO48" i="2"/>
  <c r="HN48" i="2"/>
  <c r="HM48" i="2"/>
  <c r="HL48" i="2"/>
  <c r="HK48" i="2"/>
  <c r="HJ48" i="2"/>
  <c r="HI48" i="2"/>
  <c r="HH48" i="2"/>
  <c r="HG48" i="2"/>
  <c r="HF48" i="2"/>
  <c r="HE48" i="2"/>
  <c r="HD48" i="2"/>
  <c r="HC48" i="2"/>
  <c r="HB48" i="2"/>
  <c r="HA48" i="2"/>
  <c r="GZ48" i="2"/>
  <c r="GY48" i="2"/>
  <c r="GX48" i="2"/>
  <c r="GW48" i="2"/>
  <c r="GV48" i="2"/>
  <c r="GT48" i="2"/>
  <c r="FX48" i="2"/>
  <c r="FW48" i="2"/>
  <c r="FV48" i="2"/>
  <c r="FU48" i="2"/>
  <c r="FT48" i="2"/>
  <c r="FS48" i="2"/>
  <c r="FR48" i="2"/>
  <c r="FQ48" i="2"/>
  <c r="FP48" i="2"/>
  <c r="FO48" i="2"/>
  <c r="FN48" i="2"/>
  <c r="FM48" i="2"/>
  <c r="FL48" i="2"/>
  <c r="FK48" i="2"/>
  <c r="FJ48" i="2"/>
  <c r="FI48" i="2"/>
  <c r="FH48" i="2"/>
  <c r="FG48" i="2"/>
  <c r="FF48" i="2"/>
  <c r="FE48" i="2"/>
  <c r="FD48" i="2"/>
  <c r="FB48" i="2"/>
  <c r="BD48" i="2"/>
  <c r="AK48" i="2"/>
  <c r="AE48" i="2"/>
  <c r="OI47" i="2"/>
  <c r="OH47" i="2"/>
  <c r="OG47" i="2"/>
  <c r="OF47" i="2"/>
  <c r="OE47" i="2"/>
  <c r="OD47" i="2"/>
  <c r="OC47" i="2"/>
  <c r="OB47" i="2"/>
  <c r="OA47" i="2"/>
  <c r="NZ47" i="2"/>
  <c r="NY47" i="2"/>
  <c r="NX47" i="2"/>
  <c r="NW47" i="2"/>
  <c r="NV47" i="2"/>
  <c r="NU47" i="2"/>
  <c r="NT47" i="2"/>
  <c r="NS47" i="2"/>
  <c r="NR47" i="2"/>
  <c r="NQ47" i="2"/>
  <c r="NP47" i="2"/>
  <c r="NN47" i="2"/>
  <c r="NM47" i="2"/>
  <c r="NL47" i="2"/>
  <c r="NK47" i="2"/>
  <c r="NJ47" i="2"/>
  <c r="NI47" i="2"/>
  <c r="NH47" i="2"/>
  <c r="NG47" i="2"/>
  <c r="NF47" i="2"/>
  <c r="NE47" i="2"/>
  <c r="ND47" i="2"/>
  <c r="NC47" i="2"/>
  <c r="NB47" i="2"/>
  <c r="NA47" i="2"/>
  <c r="MZ47" i="2"/>
  <c r="MY47" i="2"/>
  <c r="MX47" i="2"/>
  <c r="MW47" i="2"/>
  <c r="MV47" i="2"/>
  <c r="MU47" i="2"/>
  <c r="MT47" i="2"/>
  <c r="MQ47" i="2"/>
  <c r="MP47" i="2"/>
  <c r="MO47" i="2"/>
  <c r="MN47" i="2"/>
  <c r="MM47" i="2"/>
  <c r="ML47" i="2"/>
  <c r="MK47" i="2"/>
  <c r="MJ47" i="2"/>
  <c r="MI47" i="2"/>
  <c r="MH47" i="2"/>
  <c r="MG47" i="2"/>
  <c r="MF47" i="2"/>
  <c r="ME47" i="2"/>
  <c r="MD47" i="2"/>
  <c r="MC47" i="2"/>
  <c r="MB47" i="2"/>
  <c r="MA47" i="2"/>
  <c r="LZ47" i="2"/>
  <c r="LY47" i="2"/>
  <c r="LX47" i="2"/>
  <c r="LV47" i="2"/>
  <c r="LU47" i="2"/>
  <c r="LT47" i="2"/>
  <c r="LS47" i="2"/>
  <c r="LR47" i="2"/>
  <c r="LQ47" i="2"/>
  <c r="LP47" i="2"/>
  <c r="LO47" i="2"/>
  <c r="LN47" i="2"/>
  <c r="LM47" i="2"/>
  <c r="LL47" i="2"/>
  <c r="LK47" i="2"/>
  <c r="LJ47" i="2"/>
  <c r="LI47" i="2"/>
  <c r="LH47" i="2"/>
  <c r="LG47" i="2"/>
  <c r="LF47" i="2"/>
  <c r="LE47" i="2"/>
  <c r="LD47" i="2"/>
  <c r="LC47" i="2"/>
  <c r="LB47" i="2"/>
  <c r="KZ47" i="2"/>
  <c r="MR47" i="2" s="1"/>
  <c r="KD47" i="2"/>
  <c r="JH47" i="2"/>
  <c r="IL47" i="2"/>
  <c r="HO47" i="2"/>
  <c r="HN47" i="2"/>
  <c r="HM47" i="2"/>
  <c r="HL47" i="2"/>
  <c r="HK47" i="2"/>
  <c r="HJ47" i="2"/>
  <c r="HI47" i="2"/>
  <c r="HH47" i="2"/>
  <c r="HG47" i="2"/>
  <c r="HF47" i="2"/>
  <c r="HE47" i="2"/>
  <c r="HD47" i="2"/>
  <c r="HC47" i="2"/>
  <c r="HB47" i="2"/>
  <c r="HA47" i="2"/>
  <c r="GZ47" i="2"/>
  <c r="GY47" i="2"/>
  <c r="GX47" i="2"/>
  <c r="GW47" i="2"/>
  <c r="GV47" i="2"/>
  <c r="GT47" i="2"/>
  <c r="HP47" i="2" s="1"/>
  <c r="FW47" i="2"/>
  <c r="FV47" i="2"/>
  <c r="FU47" i="2"/>
  <c r="FT47" i="2"/>
  <c r="FS47" i="2"/>
  <c r="FR47" i="2"/>
  <c r="FQ47" i="2"/>
  <c r="FP47" i="2"/>
  <c r="FO47" i="2"/>
  <c r="FN47" i="2"/>
  <c r="FM47" i="2"/>
  <c r="FL47" i="2"/>
  <c r="FK47" i="2"/>
  <c r="FJ47" i="2"/>
  <c r="FI47" i="2"/>
  <c r="FH47" i="2"/>
  <c r="FG47" i="2"/>
  <c r="FF47" i="2"/>
  <c r="FE47" i="2"/>
  <c r="FD47" i="2"/>
  <c r="FB47" i="2"/>
  <c r="FX47" i="2" s="1"/>
  <c r="BD47" i="2"/>
  <c r="AK47" i="2"/>
  <c r="AE47" i="2"/>
  <c r="OI46" i="2"/>
  <c r="OH46" i="2"/>
  <c r="OG46" i="2"/>
  <c r="OF46" i="2"/>
  <c r="OE46" i="2"/>
  <c r="OD46" i="2"/>
  <c r="OC46" i="2"/>
  <c r="OB46" i="2"/>
  <c r="OA46" i="2"/>
  <c r="NZ46" i="2"/>
  <c r="NY46" i="2"/>
  <c r="NX46" i="2"/>
  <c r="NW46" i="2"/>
  <c r="NV46" i="2"/>
  <c r="NU46" i="2"/>
  <c r="NT46" i="2"/>
  <c r="NS46" i="2"/>
  <c r="NR46" i="2"/>
  <c r="NQ46" i="2"/>
  <c r="NP46" i="2"/>
  <c r="NM46" i="2"/>
  <c r="NL46" i="2"/>
  <c r="NK46" i="2"/>
  <c r="NJ46" i="2"/>
  <c r="NI46" i="2"/>
  <c r="NH46" i="2"/>
  <c r="NG46" i="2"/>
  <c r="NF46" i="2"/>
  <c r="NE46" i="2"/>
  <c r="ND46" i="2"/>
  <c r="NC46" i="2"/>
  <c r="NB46" i="2"/>
  <c r="NA46" i="2"/>
  <c r="MZ46" i="2"/>
  <c r="MY46" i="2"/>
  <c r="MX46" i="2"/>
  <c r="MW46" i="2"/>
  <c r="MV46" i="2"/>
  <c r="MU46" i="2"/>
  <c r="MT46" i="2"/>
  <c r="MR46" i="2"/>
  <c r="MQ46" i="2"/>
  <c r="MP46" i="2"/>
  <c r="MO46" i="2"/>
  <c r="MN46" i="2"/>
  <c r="MM46" i="2"/>
  <c r="ML46" i="2"/>
  <c r="MK46" i="2"/>
  <c r="MJ46" i="2"/>
  <c r="MI46" i="2"/>
  <c r="MH46" i="2"/>
  <c r="MG46" i="2"/>
  <c r="MF46" i="2"/>
  <c r="ME46" i="2"/>
  <c r="MD46" i="2"/>
  <c r="MC46" i="2"/>
  <c r="MB46" i="2"/>
  <c r="MA46" i="2"/>
  <c r="LZ46" i="2"/>
  <c r="LY46" i="2"/>
  <c r="LX46" i="2"/>
  <c r="LU46" i="2"/>
  <c r="LT46" i="2"/>
  <c r="LS46" i="2"/>
  <c r="LR46" i="2"/>
  <c r="LQ46" i="2"/>
  <c r="LP46" i="2"/>
  <c r="LO46" i="2"/>
  <c r="LN46" i="2"/>
  <c r="LM46" i="2"/>
  <c r="LL46" i="2"/>
  <c r="LK46" i="2"/>
  <c r="LJ46" i="2"/>
  <c r="LI46" i="2"/>
  <c r="LH46" i="2"/>
  <c r="LG46" i="2"/>
  <c r="LF46" i="2"/>
  <c r="LE46" i="2"/>
  <c r="LD46" i="2"/>
  <c r="LC46" i="2"/>
  <c r="LB46" i="2"/>
  <c r="KZ46" i="2"/>
  <c r="OJ46" i="2" s="1"/>
  <c r="KD46" i="2"/>
  <c r="JH46" i="2"/>
  <c r="IL46" i="2"/>
  <c r="HO46" i="2"/>
  <c r="HN46" i="2"/>
  <c r="HM46" i="2"/>
  <c r="HL46" i="2"/>
  <c r="HK46" i="2"/>
  <c r="HJ46" i="2"/>
  <c r="HI46" i="2"/>
  <c r="HH46" i="2"/>
  <c r="HG46" i="2"/>
  <c r="HF46" i="2"/>
  <c r="HE46" i="2"/>
  <c r="HD46" i="2"/>
  <c r="HC46" i="2"/>
  <c r="HB46" i="2"/>
  <c r="HA46" i="2"/>
  <c r="GZ46" i="2"/>
  <c r="GY46" i="2"/>
  <c r="GX46" i="2"/>
  <c r="GW46" i="2"/>
  <c r="GV46" i="2"/>
  <c r="GT46" i="2"/>
  <c r="HP46" i="2" s="1"/>
  <c r="FX46" i="2"/>
  <c r="FW46" i="2"/>
  <c r="FV46" i="2"/>
  <c r="FU46" i="2"/>
  <c r="FT46" i="2"/>
  <c r="FS46" i="2"/>
  <c r="FR46" i="2"/>
  <c r="FQ46" i="2"/>
  <c r="FP46" i="2"/>
  <c r="FO46" i="2"/>
  <c r="FN46" i="2"/>
  <c r="FM46" i="2"/>
  <c r="FL46" i="2"/>
  <c r="FK46" i="2"/>
  <c r="FJ46" i="2"/>
  <c r="FI46" i="2"/>
  <c r="FH46" i="2"/>
  <c r="FG46" i="2"/>
  <c r="FF46" i="2"/>
  <c r="FE46" i="2"/>
  <c r="FD46" i="2"/>
  <c r="FB46" i="2"/>
  <c r="BD46" i="2"/>
  <c r="AK46" i="2"/>
  <c r="AE46" i="2"/>
  <c r="OI45" i="2"/>
  <c r="OH45" i="2"/>
  <c r="OG45" i="2"/>
  <c r="OF45" i="2"/>
  <c r="OE45" i="2"/>
  <c r="OD45" i="2"/>
  <c r="OC45" i="2"/>
  <c r="OB45" i="2"/>
  <c r="OA45" i="2"/>
  <c r="NZ45" i="2"/>
  <c r="NY45" i="2"/>
  <c r="NX45" i="2"/>
  <c r="NW45" i="2"/>
  <c r="NV45" i="2"/>
  <c r="NU45" i="2"/>
  <c r="NT45" i="2"/>
  <c r="NS45" i="2"/>
  <c r="NR45" i="2"/>
  <c r="NQ45" i="2"/>
  <c r="NP45" i="2"/>
  <c r="NN45" i="2"/>
  <c r="NM45" i="2"/>
  <c r="NL45" i="2"/>
  <c r="NK45" i="2"/>
  <c r="NJ45" i="2"/>
  <c r="NI45" i="2"/>
  <c r="NH45" i="2"/>
  <c r="NG45" i="2"/>
  <c r="NF45" i="2"/>
  <c r="NE45" i="2"/>
  <c r="ND45" i="2"/>
  <c r="NC45" i="2"/>
  <c r="NB45" i="2"/>
  <c r="NA45" i="2"/>
  <c r="MZ45" i="2"/>
  <c r="MY45" i="2"/>
  <c r="MX45" i="2"/>
  <c r="MW45" i="2"/>
  <c r="MV45" i="2"/>
  <c r="MU45" i="2"/>
  <c r="MT45" i="2"/>
  <c r="MQ45" i="2"/>
  <c r="MP45" i="2"/>
  <c r="MO45" i="2"/>
  <c r="MN45" i="2"/>
  <c r="MM45" i="2"/>
  <c r="ML45" i="2"/>
  <c r="MK45" i="2"/>
  <c r="MJ45" i="2"/>
  <c r="MI45" i="2"/>
  <c r="MH45" i="2"/>
  <c r="MG45" i="2"/>
  <c r="MF45" i="2"/>
  <c r="ME45" i="2"/>
  <c r="MD45" i="2"/>
  <c r="MC45" i="2"/>
  <c r="MB45" i="2"/>
  <c r="MA45" i="2"/>
  <c r="LZ45" i="2"/>
  <c r="LY45" i="2"/>
  <c r="LX45" i="2"/>
  <c r="LV45" i="2"/>
  <c r="LU45" i="2"/>
  <c r="LT45" i="2"/>
  <c r="LS45" i="2"/>
  <c r="LR45" i="2"/>
  <c r="LQ45" i="2"/>
  <c r="LP45" i="2"/>
  <c r="LO45" i="2"/>
  <c r="LN45" i="2"/>
  <c r="LM45" i="2"/>
  <c r="LL45" i="2"/>
  <c r="LK45" i="2"/>
  <c r="LJ45" i="2"/>
  <c r="LI45" i="2"/>
  <c r="LH45" i="2"/>
  <c r="LG45" i="2"/>
  <c r="LF45" i="2"/>
  <c r="LE45" i="2"/>
  <c r="LD45" i="2"/>
  <c r="LC45" i="2"/>
  <c r="LB45" i="2"/>
  <c r="KZ45" i="2"/>
  <c r="OJ45" i="2" s="1"/>
  <c r="KD45" i="2"/>
  <c r="JH45" i="2"/>
  <c r="IL45" i="2"/>
  <c r="HO45" i="2"/>
  <c r="HN45" i="2"/>
  <c r="HM45" i="2"/>
  <c r="HL45" i="2"/>
  <c r="HK45" i="2"/>
  <c r="HJ45" i="2"/>
  <c r="HI45" i="2"/>
  <c r="HH45" i="2"/>
  <c r="HG45" i="2"/>
  <c r="HF45" i="2"/>
  <c r="HE45" i="2"/>
  <c r="HD45" i="2"/>
  <c r="HC45" i="2"/>
  <c r="HB45" i="2"/>
  <c r="HA45" i="2"/>
  <c r="GZ45" i="2"/>
  <c r="GY45" i="2"/>
  <c r="GX45" i="2"/>
  <c r="GW45" i="2"/>
  <c r="GV45" i="2"/>
  <c r="GT45" i="2"/>
  <c r="HP45" i="2" s="1"/>
  <c r="FX45" i="2"/>
  <c r="FW45" i="2"/>
  <c r="FV45" i="2"/>
  <c r="FU45" i="2"/>
  <c r="FT45" i="2"/>
  <c r="FS45" i="2"/>
  <c r="FR45" i="2"/>
  <c r="FQ45" i="2"/>
  <c r="FP45" i="2"/>
  <c r="FO45" i="2"/>
  <c r="FN45" i="2"/>
  <c r="FM45" i="2"/>
  <c r="FL45" i="2"/>
  <c r="FK45" i="2"/>
  <c r="FJ45" i="2"/>
  <c r="FI45" i="2"/>
  <c r="FH45" i="2"/>
  <c r="FG45" i="2"/>
  <c r="FF45" i="2"/>
  <c r="FE45" i="2"/>
  <c r="FD45" i="2"/>
  <c r="FB45" i="2"/>
  <c r="BD45" i="2"/>
  <c r="AK45" i="2"/>
  <c r="AE45" i="2"/>
  <c r="OI44" i="2"/>
  <c r="OH44" i="2"/>
  <c r="OG44" i="2"/>
  <c r="OF44" i="2"/>
  <c r="OE44" i="2"/>
  <c r="OD44" i="2"/>
  <c r="OC44" i="2"/>
  <c r="OB44" i="2"/>
  <c r="OA44" i="2"/>
  <c r="NZ44" i="2"/>
  <c r="NY44" i="2"/>
  <c r="NX44" i="2"/>
  <c r="NW44" i="2"/>
  <c r="NV44" i="2"/>
  <c r="NU44" i="2"/>
  <c r="NT44" i="2"/>
  <c r="NS44" i="2"/>
  <c r="NR44" i="2"/>
  <c r="NQ44" i="2"/>
  <c r="NP44" i="2"/>
  <c r="NM44" i="2"/>
  <c r="NL44" i="2"/>
  <c r="NK44" i="2"/>
  <c r="NJ44" i="2"/>
  <c r="NI44" i="2"/>
  <c r="NH44" i="2"/>
  <c r="NG44" i="2"/>
  <c r="NF44" i="2"/>
  <c r="NE44" i="2"/>
  <c r="ND44" i="2"/>
  <c r="NC44" i="2"/>
  <c r="NB44" i="2"/>
  <c r="NA44" i="2"/>
  <c r="MZ44" i="2"/>
  <c r="MY44" i="2"/>
  <c r="MX44" i="2"/>
  <c r="MW44" i="2"/>
  <c r="MV44" i="2"/>
  <c r="MU44" i="2"/>
  <c r="MT44" i="2"/>
  <c r="MQ44" i="2"/>
  <c r="MP44" i="2"/>
  <c r="MO44" i="2"/>
  <c r="MN44" i="2"/>
  <c r="MM44" i="2"/>
  <c r="ML44" i="2"/>
  <c r="MK44" i="2"/>
  <c r="MJ44" i="2"/>
  <c r="MI44" i="2"/>
  <c r="MH44" i="2"/>
  <c r="MG44" i="2"/>
  <c r="MF44" i="2"/>
  <c r="ME44" i="2"/>
  <c r="MD44" i="2"/>
  <c r="MC44" i="2"/>
  <c r="MB44" i="2"/>
  <c r="MA44" i="2"/>
  <c r="LZ44" i="2"/>
  <c r="LY44" i="2"/>
  <c r="LX44" i="2"/>
  <c r="LU44" i="2"/>
  <c r="LT44" i="2"/>
  <c r="LS44" i="2"/>
  <c r="LR44" i="2"/>
  <c r="LQ44" i="2"/>
  <c r="LP44" i="2"/>
  <c r="LO44" i="2"/>
  <c r="LN44" i="2"/>
  <c r="LM44" i="2"/>
  <c r="LL44" i="2"/>
  <c r="LK44" i="2"/>
  <c r="LJ44" i="2"/>
  <c r="LI44" i="2"/>
  <c r="LH44" i="2"/>
  <c r="LG44" i="2"/>
  <c r="LF44" i="2"/>
  <c r="LE44" i="2"/>
  <c r="LD44" i="2"/>
  <c r="LC44" i="2"/>
  <c r="LB44" i="2"/>
  <c r="KZ44" i="2"/>
  <c r="MR44" i="2" s="1"/>
  <c r="KD44" i="2"/>
  <c r="JH44" i="2"/>
  <c r="IL44" i="2"/>
  <c r="HP44" i="2"/>
  <c r="HO44" i="2"/>
  <c r="HN44" i="2"/>
  <c r="HM44" i="2"/>
  <c r="HL44" i="2"/>
  <c r="HK44" i="2"/>
  <c r="HJ44" i="2"/>
  <c r="HI44" i="2"/>
  <c r="HH44" i="2"/>
  <c r="HG44" i="2"/>
  <c r="HF44" i="2"/>
  <c r="HE44" i="2"/>
  <c r="HD44" i="2"/>
  <c r="HC44" i="2"/>
  <c r="HB44" i="2"/>
  <c r="HA44" i="2"/>
  <c r="GZ44" i="2"/>
  <c r="GY44" i="2"/>
  <c r="GX44" i="2"/>
  <c r="GW44" i="2"/>
  <c r="GV44" i="2"/>
  <c r="GT44" i="2"/>
  <c r="FX44" i="2"/>
  <c r="FW44" i="2"/>
  <c r="FV44" i="2"/>
  <c r="FU44" i="2"/>
  <c r="FT44" i="2"/>
  <c r="FS44" i="2"/>
  <c r="FR44" i="2"/>
  <c r="FQ44" i="2"/>
  <c r="FP44" i="2"/>
  <c r="FO44" i="2"/>
  <c r="FN44" i="2"/>
  <c r="FM44" i="2"/>
  <c r="FL44" i="2"/>
  <c r="FK44" i="2"/>
  <c r="FJ44" i="2"/>
  <c r="FI44" i="2"/>
  <c r="FH44" i="2"/>
  <c r="FG44" i="2"/>
  <c r="FF44" i="2"/>
  <c r="FE44" i="2"/>
  <c r="FD44" i="2"/>
  <c r="FB44" i="2"/>
  <c r="BD44" i="2"/>
  <c r="AK44" i="2"/>
  <c r="AE44" i="2"/>
  <c r="OI43" i="2"/>
  <c r="OH43" i="2"/>
  <c r="OG43" i="2"/>
  <c r="OF43" i="2"/>
  <c r="OE43" i="2"/>
  <c r="OD43" i="2"/>
  <c r="OC43" i="2"/>
  <c r="OB43" i="2"/>
  <c r="OA43" i="2"/>
  <c r="NZ43" i="2"/>
  <c r="NY43" i="2"/>
  <c r="NX43" i="2"/>
  <c r="NW43" i="2"/>
  <c r="NV43" i="2"/>
  <c r="NU43" i="2"/>
  <c r="NT43" i="2"/>
  <c r="NS43" i="2"/>
  <c r="NR43" i="2"/>
  <c r="NQ43" i="2"/>
  <c r="NP43" i="2"/>
  <c r="NN43" i="2"/>
  <c r="NM43" i="2"/>
  <c r="NL43" i="2"/>
  <c r="NK43" i="2"/>
  <c r="NJ43" i="2"/>
  <c r="NI43" i="2"/>
  <c r="NH43" i="2"/>
  <c r="NG43" i="2"/>
  <c r="NF43" i="2"/>
  <c r="NE43" i="2"/>
  <c r="ND43" i="2"/>
  <c r="NC43" i="2"/>
  <c r="NB43" i="2"/>
  <c r="NA43" i="2"/>
  <c r="MZ43" i="2"/>
  <c r="MY43" i="2"/>
  <c r="MX43" i="2"/>
  <c r="MW43" i="2"/>
  <c r="MV43" i="2"/>
  <c r="MU43" i="2"/>
  <c r="MT43" i="2"/>
  <c r="MQ43" i="2"/>
  <c r="MP43" i="2"/>
  <c r="MO43" i="2"/>
  <c r="MN43" i="2"/>
  <c r="MM43" i="2"/>
  <c r="ML43" i="2"/>
  <c r="MK43" i="2"/>
  <c r="MJ43" i="2"/>
  <c r="MI43" i="2"/>
  <c r="MH43" i="2"/>
  <c r="MG43" i="2"/>
  <c r="MF43" i="2"/>
  <c r="ME43" i="2"/>
  <c r="MD43" i="2"/>
  <c r="MC43" i="2"/>
  <c r="MB43" i="2"/>
  <c r="MA43" i="2"/>
  <c r="LZ43" i="2"/>
  <c r="LY43" i="2"/>
  <c r="LX43" i="2"/>
  <c r="LV43" i="2"/>
  <c r="LU43" i="2"/>
  <c r="LT43" i="2"/>
  <c r="LS43" i="2"/>
  <c r="LR43" i="2"/>
  <c r="LQ43" i="2"/>
  <c r="LP43" i="2"/>
  <c r="LO43" i="2"/>
  <c r="LN43" i="2"/>
  <c r="LM43" i="2"/>
  <c r="LL43" i="2"/>
  <c r="LK43" i="2"/>
  <c r="LJ43" i="2"/>
  <c r="LI43" i="2"/>
  <c r="LH43" i="2"/>
  <c r="LG43" i="2"/>
  <c r="LF43" i="2"/>
  <c r="LE43" i="2"/>
  <c r="LD43" i="2"/>
  <c r="LC43" i="2"/>
  <c r="LB43" i="2"/>
  <c r="KZ43" i="2"/>
  <c r="MR43" i="2" s="1"/>
  <c r="KD43" i="2"/>
  <c r="JH43" i="2"/>
  <c r="IL43" i="2"/>
  <c r="HO43" i="2"/>
  <c r="HN43" i="2"/>
  <c r="HM43" i="2"/>
  <c r="HL43" i="2"/>
  <c r="HK43" i="2"/>
  <c r="HJ43" i="2"/>
  <c r="HI43" i="2"/>
  <c r="HH43" i="2"/>
  <c r="HG43" i="2"/>
  <c r="HF43" i="2"/>
  <c r="HE43" i="2"/>
  <c r="HD43" i="2"/>
  <c r="HC43" i="2"/>
  <c r="HB43" i="2"/>
  <c r="HA43" i="2"/>
  <c r="GZ43" i="2"/>
  <c r="GY43" i="2"/>
  <c r="GX43" i="2"/>
  <c r="GW43" i="2"/>
  <c r="GV43" i="2"/>
  <c r="GT43" i="2"/>
  <c r="HP43" i="2" s="1"/>
  <c r="FW43" i="2"/>
  <c r="FV43" i="2"/>
  <c r="FU43" i="2"/>
  <c r="FT43" i="2"/>
  <c r="FS43" i="2"/>
  <c r="FR43" i="2"/>
  <c r="FQ43" i="2"/>
  <c r="FP43" i="2"/>
  <c r="FO43" i="2"/>
  <c r="FN43" i="2"/>
  <c r="FM43" i="2"/>
  <c r="FL43" i="2"/>
  <c r="FK43" i="2"/>
  <c r="FJ43" i="2"/>
  <c r="FI43" i="2"/>
  <c r="FH43" i="2"/>
  <c r="FG43" i="2"/>
  <c r="FF43" i="2"/>
  <c r="FE43" i="2"/>
  <c r="FD43" i="2"/>
  <c r="FB43" i="2"/>
  <c r="FX43" i="2" s="1"/>
  <c r="BD43" i="2"/>
  <c r="AK43" i="2"/>
  <c r="AE43" i="2"/>
  <c r="OI42" i="2"/>
  <c r="OH42" i="2"/>
  <c r="OG42" i="2"/>
  <c r="OF42" i="2"/>
  <c r="OE42" i="2"/>
  <c r="OD42" i="2"/>
  <c r="OC42" i="2"/>
  <c r="OB42" i="2"/>
  <c r="OA42" i="2"/>
  <c r="NZ42" i="2"/>
  <c r="NY42" i="2"/>
  <c r="NX42" i="2"/>
  <c r="NW42" i="2"/>
  <c r="NV42" i="2"/>
  <c r="NU42" i="2"/>
  <c r="NT42" i="2"/>
  <c r="NS42" i="2"/>
  <c r="NR42" i="2"/>
  <c r="NQ42" i="2"/>
  <c r="NP42" i="2"/>
  <c r="NM42" i="2"/>
  <c r="NL42" i="2"/>
  <c r="NK42" i="2"/>
  <c r="NJ42" i="2"/>
  <c r="NI42" i="2"/>
  <c r="NH42" i="2"/>
  <c r="NG42" i="2"/>
  <c r="NF42" i="2"/>
  <c r="NE42" i="2"/>
  <c r="ND42" i="2"/>
  <c r="NC42" i="2"/>
  <c r="NB42" i="2"/>
  <c r="NA42" i="2"/>
  <c r="MZ42" i="2"/>
  <c r="MY42" i="2"/>
  <c r="MX42" i="2"/>
  <c r="MW42" i="2"/>
  <c r="MV42" i="2"/>
  <c r="MU42" i="2"/>
  <c r="MT42" i="2"/>
  <c r="MR42" i="2"/>
  <c r="MQ42" i="2"/>
  <c r="MP42" i="2"/>
  <c r="MO42" i="2"/>
  <c r="MN42" i="2"/>
  <c r="MM42" i="2"/>
  <c r="ML42" i="2"/>
  <c r="MK42" i="2"/>
  <c r="MJ42" i="2"/>
  <c r="MI42" i="2"/>
  <c r="MH42" i="2"/>
  <c r="MG42" i="2"/>
  <c r="MF42" i="2"/>
  <c r="ME42" i="2"/>
  <c r="MD42" i="2"/>
  <c r="MC42" i="2"/>
  <c r="MB42" i="2"/>
  <c r="MA42" i="2"/>
  <c r="LZ42" i="2"/>
  <c r="LY42" i="2"/>
  <c r="LX42" i="2"/>
  <c r="LU42" i="2"/>
  <c r="LT42" i="2"/>
  <c r="LS42" i="2"/>
  <c r="LR42" i="2"/>
  <c r="LQ42" i="2"/>
  <c r="LP42" i="2"/>
  <c r="LO42" i="2"/>
  <c r="LN42" i="2"/>
  <c r="LM42" i="2"/>
  <c r="LL42" i="2"/>
  <c r="LK42" i="2"/>
  <c r="LJ42" i="2"/>
  <c r="LI42" i="2"/>
  <c r="LH42" i="2"/>
  <c r="LG42" i="2"/>
  <c r="LF42" i="2"/>
  <c r="LE42" i="2"/>
  <c r="LD42" i="2"/>
  <c r="LC42" i="2"/>
  <c r="LB42" i="2"/>
  <c r="KZ42" i="2"/>
  <c r="OJ42" i="2" s="1"/>
  <c r="KD42" i="2"/>
  <c r="JH42" i="2"/>
  <c r="IL42" i="2"/>
  <c r="HO42" i="2"/>
  <c r="HN42" i="2"/>
  <c r="HM42" i="2"/>
  <c r="HL42" i="2"/>
  <c r="HK42" i="2"/>
  <c r="HJ42" i="2"/>
  <c r="HI42" i="2"/>
  <c r="HH42" i="2"/>
  <c r="HG42" i="2"/>
  <c r="HF42" i="2"/>
  <c r="HE42" i="2"/>
  <c r="HD42" i="2"/>
  <c r="HC42" i="2"/>
  <c r="HB42" i="2"/>
  <c r="HA42" i="2"/>
  <c r="GZ42" i="2"/>
  <c r="GY42" i="2"/>
  <c r="GX42" i="2"/>
  <c r="GW42" i="2"/>
  <c r="GV42" i="2"/>
  <c r="GT42" i="2"/>
  <c r="HP42" i="2" s="1"/>
  <c r="FX42" i="2"/>
  <c r="FW42" i="2"/>
  <c r="FV42" i="2"/>
  <c r="FU42" i="2"/>
  <c r="FT42" i="2"/>
  <c r="FS42" i="2"/>
  <c r="FR42" i="2"/>
  <c r="FQ42" i="2"/>
  <c r="FP42" i="2"/>
  <c r="FO42" i="2"/>
  <c r="FN42" i="2"/>
  <c r="FM42" i="2"/>
  <c r="FL42" i="2"/>
  <c r="FK42" i="2"/>
  <c r="FJ42" i="2"/>
  <c r="FI42" i="2"/>
  <c r="FH42" i="2"/>
  <c r="FG42" i="2"/>
  <c r="FF42" i="2"/>
  <c r="FE42" i="2"/>
  <c r="FD42" i="2"/>
  <c r="FB42" i="2"/>
  <c r="BD42" i="2"/>
  <c r="AK42" i="2"/>
  <c r="AE42" i="2"/>
  <c r="OI41" i="2"/>
  <c r="OH41" i="2"/>
  <c r="OG41" i="2"/>
  <c r="OF41" i="2"/>
  <c r="OE41" i="2"/>
  <c r="OD41" i="2"/>
  <c r="OC41" i="2"/>
  <c r="OB41" i="2"/>
  <c r="OA41" i="2"/>
  <c r="NZ41" i="2"/>
  <c r="NY41" i="2"/>
  <c r="NX41" i="2"/>
  <c r="NW41" i="2"/>
  <c r="NV41" i="2"/>
  <c r="NU41" i="2"/>
  <c r="NT41" i="2"/>
  <c r="NS41" i="2"/>
  <c r="NR41" i="2"/>
  <c r="NQ41" i="2"/>
  <c r="NP41" i="2"/>
  <c r="NN41" i="2"/>
  <c r="NM41" i="2"/>
  <c r="NL41" i="2"/>
  <c r="NK41" i="2"/>
  <c r="NJ41" i="2"/>
  <c r="NI41" i="2"/>
  <c r="NH41" i="2"/>
  <c r="NG41" i="2"/>
  <c r="NF41" i="2"/>
  <c r="NE41" i="2"/>
  <c r="ND41" i="2"/>
  <c r="NC41" i="2"/>
  <c r="NB41" i="2"/>
  <c r="NA41" i="2"/>
  <c r="MZ41" i="2"/>
  <c r="MY41" i="2"/>
  <c r="MX41" i="2"/>
  <c r="MW41" i="2"/>
  <c r="MV41" i="2"/>
  <c r="MU41" i="2"/>
  <c r="MT41" i="2"/>
  <c r="MQ41" i="2"/>
  <c r="MP41" i="2"/>
  <c r="MO41" i="2"/>
  <c r="MN41" i="2"/>
  <c r="MM41" i="2"/>
  <c r="ML41" i="2"/>
  <c r="MK41" i="2"/>
  <c r="MJ41" i="2"/>
  <c r="MI41" i="2"/>
  <c r="MH41" i="2"/>
  <c r="MG41" i="2"/>
  <c r="MF41" i="2"/>
  <c r="ME41" i="2"/>
  <c r="MD41" i="2"/>
  <c r="MC41" i="2"/>
  <c r="MB41" i="2"/>
  <c r="MA41" i="2"/>
  <c r="LZ41" i="2"/>
  <c r="LY41" i="2"/>
  <c r="LX41" i="2"/>
  <c r="LV41" i="2"/>
  <c r="LU41" i="2"/>
  <c r="LT41" i="2"/>
  <c r="LS41" i="2"/>
  <c r="LR41" i="2"/>
  <c r="LQ41" i="2"/>
  <c r="LP41" i="2"/>
  <c r="LO41" i="2"/>
  <c r="LN41" i="2"/>
  <c r="LM41" i="2"/>
  <c r="LL41" i="2"/>
  <c r="LK41" i="2"/>
  <c r="LJ41" i="2"/>
  <c r="LI41" i="2"/>
  <c r="LH41" i="2"/>
  <c r="LG41" i="2"/>
  <c r="LF41" i="2"/>
  <c r="LE41" i="2"/>
  <c r="LD41" i="2"/>
  <c r="LC41" i="2"/>
  <c r="LB41" i="2"/>
  <c r="KZ41" i="2"/>
  <c r="OJ41" i="2" s="1"/>
  <c r="KD41" i="2"/>
  <c r="JH41" i="2"/>
  <c r="IL41" i="2"/>
  <c r="HO41" i="2"/>
  <c r="HN41" i="2"/>
  <c r="HM41" i="2"/>
  <c r="HL41" i="2"/>
  <c r="HK41" i="2"/>
  <c r="HJ41" i="2"/>
  <c r="HI41" i="2"/>
  <c r="HH41" i="2"/>
  <c r="HG41" i="2"/>
  <c r="HF41" i="2"/>
  <c r="HE41" i="2"/>
  <c r="HD41" i="2"/>
  <c r="HC41" i="2"/>
  <c r="HB41" i="2"/>
  <c r="HA41" i="2"/>
  <c r="GZ41" i="2"/>
  <c r="GY41" i="2"/>
  <c r="GX41" i="2"/>
  <c r="GW41" i="2"/>
  <c r="GV41" i="2"/>
  <c r="GT41" i="2"/>
  <c r="HP41" i="2" s="1"/>
  <c r="FX41" i="2"/>
  <c r="FW41" i="2"/>
  <c r="FV41" i="2"/>
  <c r="FU41" i="2"/>
  <c r="FT41" i="2"/>
  <c r="FS41" i="2"/>
  <c r="FR41" i="2"/>
  <c r="FQ41" i="2"/>
  <c r="FP41" i="2"/>
  <c r="FO41" i="2"/>
  <c r="FN41" i="2"/>
  <c r="FM41" i="2"/>
  <c r="FL41" i="2"/>
  <c r="FK41" i="2"/>
  <c r="FJ41" i="2"/>
  <c r="FI41" i="2"/>
  <c r="FH41" i="2"/>
  <c r="FG41" i="2"/>
  <c r="FF41" i="2"/>
  <c r="FE41" i="2"/>
  <c r="FD41" i="2"/>
  <c r="FB41" i="2"/>
  <c r="BD41" i="2"/>
  <c r="AK41" i="2"/>
  <c r="AE41" i="2"/>
  <c r="OI40" i="2"/>
  <c r="OH40" i="2"/>
  <c r="OG40" i="2"/>
  <c r="OF40" i="2"/>
  <c r="OE40" i="2"/>
  <c r="OD40" i="2"/>
  <c r="OC40" i="2"/>
  <c r="OB40" i="2"/>
  <c r="OA40" i="2"/>
  <c r="NZ40" i="2"/>
  <c r="NY40" i="2"/>
  <c r="NX40" i="2"/>
  <c r="NW40" i="2"/>
  <c r="NV40" i="2"/>
  <c r="NU40" i="2"/>
  <c r="NT40" i="2"/>
  <c r="NS40" i="2"/>
  <c r="NR40" i="2"/>
  <c r="NQ40" i="2"/>
  <c r="NP40" i="2"/>
  <c r="NM40" i="2"/>
  <c r="NL40" i="2"/>
  <c r="NK40" i="2"/>
  <c r="NJ40" i="2"/>
  <c r="NI40" i="2"/>
  <c r="NH40" i="2"/>
  <c r="NG40" i="2"/>
  <c r="NF40" i="2"/>
  <c r="NE40" i="2"/>
  <c r="ND40" i="2"/>
  <c r="NC40" i="2"/>
  <c r="NB40" i="2"/>
  <c r="NA40" i="2"/>
  <c r="MZ40" i="2"/>
  <c r="MY40" i="2"/>
  <c r="MX40" i="2"/>
  <c r="MW40" i="2"/>
  <c r="MV40" i="2"/>
  <c r="MU40" i="2"/>
  <c r="MT40" i="2"/>
  <c r="MQ40" i="2"/>
  <c r="MP40" i="2"/>
  <c r="MO40" i="2"/>
  <c r="MN40" i="2"/>
  <c r="MM40" i="2"/>
  <c r="ML40" i="2"/>
  <c r="MK40" i="2"/>
  <c r="MJ40" i="2"/>
  <c r="MI40" i="2"/>
  <c r="MH40" i="2"/>
  <c r="MG40" i="2"/>
  <c r="MF40" i="2"/>
  <c r="ME40" i="2"/>
  <c r="MD40" i="2"/>
  <c r="MC40" i="2"/>
  <c r="MB40" i="2"/>
  <c r="MA40" i="2"/>
  <c r="LZ40" i="2"/>
  <c r="LY40" i="2"/>
  <c r="LX40" i="2"/>
  <c r="LU40" i="2"/>
  <c r="LT40" i="2"/>
  <c r="LS40" i="2"/>
  <c r="LR40" i="2"/>
  <c r="LQ40" i="2"/>
  <c r="LP40" i="2"/>
  <c r="LO40" i="2"/>
  <c r="LN40" i="2"/>
  <c r="LM40" i="2"/>
  <c r="LL40" i="2"/>
  <c r="LK40" i="2"/>
  <c r="LJ40" i="2"/>
  <c r="LI40" i="2"/>
  <c r="LH40" i="2"/>
  <c r="LG40" i="2"/>
  <c r="LF40" i="2"/>
  <c r="LE40" i="2"/>
  <c r="LD40" i="2"/>
  <c r="LC40" i="2"/>
  <c r="LB40" i="2"/>
  <c r="KZ40" i="2"/>
  <c r="MR40" i="2" s="1"/>
  <c r="KD40" i="2"/>
  <c r="JH40" i="2"/>
  <c r="IL40" i="2"/>
  <c r="HO40" i="2"/>
  <c r="HN40" i="2"/>
  <c r="HM40" i="2"/>
  <c r="HL40" i="2"/>
  <c r="HK40" i="2"/>
  <c r="HJ40" i="2"/>
  <c r="HI40" i="2"/>
  <c r="HH40" i="2"/>
  <c r="HG40" i="2"/>
  <c r="HF40" i="2"/>
  <c r="HE40" i="2"/>
  <c r="HD40" i="2"/>
  <c r="HC40" i="2"/>
  <c r="HB40" i="2"/>
  <c r="HA40" i="2"/>
  <c r="GZ40" i="2"/>
  <c r="GY40" i="2"/>
  <c r="GX40" i="2"/>
  <c r="GW40" i="2"/>
  <c r="GV40" i="2"/>
  <c r="GT40" i="2"/>
  <c r="HP40" i="2" s="1"/>
  <c r="FX40" i="2"/>
  <c r="FW40" i="2"/>
  <c r="FV40" i="2"/>
  <c r="FU40" i="2"/>
  <c r="FT40" i="2"/>
  <c r="FS40" i="2"/>
  <c r="FR40" i="2"/>
  <c r="FQ40" i="2"/>
  <c r="FP40" i="2"/>
  <c r="FO40" i="2"/>
  <c r="FN40" i="2"/>
  <c r="FM40" i="2"/>
  <c r="FL40" i="2"/>
  <c r="FK40" i="2"/>
  <c r="FJ40" i="2"/>
  <c r="FI40" i="2"/>
  <c r="FH40" i="2"/>
  <c r="FG40" i="2"/>
  <c r="FF40" i="2"/>
  <c r="FE40" i="2"/>
  <c r="FD40" i="2"/>
  <c r="FB40" i="2"/>
  <c r="BD40" i="2"/>
  <c r="AK40" i="2"/>
  <c r="AE40" i="2"/>
  <c r="OI39" i="2"/>
  <c r="OH39" i="2"/>
  <c r="OG39" i="2"/>
  <c r="OF39" i="2"/>
  <c r="OE39" i="2"/>
  <c r="OD39" i="2"/>
  <c r="OC39" i="2"/>
  <c r="OB39" i="2"/>
  <c r="OA39" i="2"/>
  <c r="NZ39" i="2"/>
  <c r="NY39" i="2"/>
  <c r="NX39" i="2"/>
  <c r="NW39" i="2"/>
  <c r="NV39" i="2"/>
  <c r="NU39" i="2"/>
  <c r="NT39" i="2"/>
  <c r="NS39" i="2"/>
  <c r="NR39" i="2"/>
  <c r="NQ39" i="2"/>
  <c r="NP39" i="2"/>
  <c r="NN39" i="2"/>
  <c r="NM39" i="2"/>
  <c r="NL39" i="2"/>
  <c r="NK39" i="2"/>
  <c r="NJ39" i="2"/>
  <c r="NI39" i="2"/>
  <c r="NH39" i="2"/>
  <c r="NG39" i="2"/>
  <c r="NF39" i="2"/>
  <c r="NE39" i="2"/>
  <c r="ND39" i="2"/>
  <c r="NC39" i="2"/>
  <c r="NB39" i="2"/>
  <c r="NA39" i="2"/>
  <c r="MZ39" i="2"/>
  <c r="MY39" i="2"/>
  <c r="MX39" i="2"/>
  <c r="MW39" i="2"/>
  <c r="MV39" i="2"/>
  <c r="MU39" i="2"/>
  <c r="MT39" i="2"/>
  <c r="MQ39" i="2"/>
  <c r="MP39" i="2"/>
  <c r="MO39" i="2"/>
  <c r="MN39" i="2"/>
  <c r="MM39" i="2"/>
  <c r="ML39" i="2"/>
  <c r="MK39" i="2"/>
  <c r="MJ39" i="2"/>
  <c r="MI39" i="2"/>
  <c r="MH39" i="2"/>
  <c r="MG39" i="2"/>
  <c r="MF39" i="2"/>
  <c r="ME39" i="2"/>
  <c r="MD39" i="2"/>
  <c r="MC39" i="2"/>
  <c r="MB39" i="2"/>
  <c r="MA39" i="2"/>
  <c r="LZ39" i="2"/>
  <c r="LY39" i="2"/>
  <c r="LX39" i="2"/>
  <c r="LV39" i="2"/>
  <c r="LU39" i="2"/>
  <c r="LT39" i="2"/>
  <c r="LS39" i="2"/>
  <c r="LR39" i="2"/>
  <c r="LQ39" i="2"/>
  <c r="LP39" i="2"/>
  <c r="LO39" i="2"/>
  <c r="LN39" i="2"/>
  <c r="LM39" i="2"/>
  <c r="LL39" i="2"/>
  <c r="LK39" i="2"/>
  <c r="LJ39" i="2"/>
  <c r="LI39" i="2"/>
  <c r="LH39" i="2"/>
  <c r="LG39" i="2"/>
  <c r="LF39" i="2"/>
  <c r="LE39" i="2"/>
  <c r="LD39" i="2"/>
  <c r="LC39" i="2"/>
  <c r="LB39" i="2"/>
  <c r="KZ39" i="2"/>
  <c r="MR39" i="2" s="1"/>
  <c r="KD39" i="2"/>
  <c r="JH39" i="2"/>
  <c r="IL39" i="2"/>
  <c r="HO39" i="2"/>
  <c r="HN39" i="2"/>
  <c r="HM39" i="2"/>
  <c r="HL39" i="2"/>
  <c r="HK39" i="2"/>
  <c r="HJ39" i="2"/>
  <c r="HI39" i="2"/>
  <c r="HH39" i="2"/>
  <c r="HG39" i="2"/>
  <c r="HF39" i="2"/>
  <c r="HE39" i="2"/>
  <c r="HD39" i="2"/>
  <c r="HC39" i="2"/>
  <c r="HB39" i="2"/>
  <c r="HA39" i="2"/>
  <c r="GZ39" i="2"/>
  <c r="GY39" i="2"/>
  <c r="GX39" i="2"/>
  <c r="GW39" i="2"/>
  <c r="GV39" i="2"/>
  <c r="GT39" i="2"/>
  <c r="HP39" i="2" s="1"/>
  <c r="FW39" i="2"/>
  <c r="FV39" i="2"/>
  <c r="FU39" i="2"/>
  <c r="FT39" i="2"/>
  <c r="FS39" i="2"/>
  <c r="FR39" i="2"/>
  <c r="FQ39" i="2"/>
  <c r="FP39" i="2"/>
  <c r="FO39" i="2"/>
  <c r="FN39" i="2"/>
  <c r="FM39" i="2"/>
  <c r="FL39" i="2"/>
  <c r="FK39" i="2"/>
  <c r="FJ39" i="2"/>
  <c r="FI39" i="2"/>
  <c r="FH39" i="2"/>
  <c r="FG39" i="2"/>
  <c r="FF39" i="2"/>
  <c r="FE39" i="2"/>
  <c r="FD39" i="2"/>
  <c r="FB39" i="2"/>
  <c r="FX39" i="2" s="1"/>
  <c r="BD39" i="2"/>
  <c r="AK39" i="2"/>
  <c r="AE39" i="2"/>
  <c r="OI38" i="2"/>
  <c r="OH38" i="2"/>
  <c r="OG38" i="2"/>
  <c r="OF38" i="2"/>
  <c r="OE38" i="2"/>
  <c r="OD38" i="2"/>
  <c r="OC38" i="2"/>
  <c r="OB38" i="2"/>
  <c r="OA38" i="2"/>
  <c r="NZ38" i="2"/>
  <c r="NY38" i="2"/>
  <c r="NX38" i="2"/>
  <c r="NW38" i="2"/>
  <c r="NV38" i="2"/>
  <c r="NU38" i="2"/>
  <c r="NT38" i="2"/>
  <c r="NS38" i="2"/>
  <c r="NR38" i="2"/>
  <c r="NQ38" i="2"/>
  <c r="NP38" i="2"/>
  <c r="NM38" i="2"/>
  <c r="NL38" i="2"/>
  <c r="NK38" i="2"/>
  <c r="NJ38" i="2"/>
  <c r="NI38" i="2"/>
  <c r="NH38" i="2"/>
  <c r="NG38" i="2"/>
  <c r="NF38" i="2"/>
  <c r="NE38" i="2"/>
  <c r="ND38" i="2"/>
  <c r="NC38" i="2"/>
  <c r="NB38" i="2"/>
  <c r="NA38" i="2"/>
  <c r="MZ38" i="2"/>
  <c r="MY38" i="2"/>
  <c r="MX38" i="2"/>
  <c r="MW38" i="2"/>
  <c r="MV38" i="2"/>
  <c r="MU38" i="2"/>
  <c r="MT38" i="2"/>
  <c r="MR38" i="2"/>
  <c r="MQ38" i="2"/>
  <c r="MP38" i="2"/>
  <c r="MO38" i="2"/>
  <c r="MN38" i="2"/>
  <c r="MM38" i="2"/>
  <c r="ML38" i="2"/>
  <c r="MK38" i="2"/>
  <c r="MJ38" i="2"/>
  <c r="MI38" i="2"/>
  <c r="MH38" i="2"/>
  <c r="MG38" i="2"/>
  <c r="MF38" i="2"/>
  <c r="ME38" i="2"/>
  <c r="MD38" i="2"/>
  <c r="MC38" i="2"/>
  <c r="MB38" i="2"/>
  <c r="MA38" i="2"/>
  <c r="LZ38" i="2"/>
  <c r="LY38" i="2"/>
  <c r="LX38" i="2"/>
  <c r="LU38" i="2"/>
  <c r="LT38" i="2"/>
  <c r="LS38" i="2"/>
  <c r="LR38" i="2"/>
  <c r="LQ38" i="2"/>
  <c r="LP38" i="2"/>
  <c r="LO38" i="2"/>
  <c r="LN38" i="2"/>
  <c r="LM38" i="2"/>
  <c r="LL38" i="2"/>
  <c r="LK38" i="2"/>
  <c r="LJ38" i="2"/>
  <c r="LI38" i="2"/>
  <c r="LH38" i="2"/>
  <c r="LG38" i="2"/>
  <c r="LF38" i="2"/>
  <c r="LE38" i="2"/>
  <c r="LD38" i="2"/>
  <c r="LC38" i="2"/>
  <c r="LB38" i="2"/>
  <c r="KZ38" i="2"/>
  <c r="OJ38" i="2" s="1"/>
  <c r="KD38" i="2"/>
  <c r="JH38" i="2"/>
  <c r="IL38" i="2"/>
  <c r="HO38" i="2"/>
  <c r="HN38" i="2"/>
  <c r="HM38" i="2"/>
  <c r="HL38" i="2"/>
  <c r="HK38" i="2"/>
  <c r="HJ38" i="2"/>
  <c r="HI38" i="2"/>
  <c r="HH38" i="2"/>
  <c r="HG38" i="2"/>
  <c r="HF38" i="2"/>
  <c r="HE38" i="2"/>
  <c r="HD38" i="2"/>
  <c r="HC38" i="2"/>
  <c r="HB38" i="2"/>
  <c r="HA38" i="2"/>
  <c r="GZ38" i="2"/>
  <c r="GY38" i="2"/>
  <c r="GX38" i="2"/>
  <c r="GW38" i="2"/>
  <c r="GV38" i="2"/>
  <c r="GT38" i="2"/>
  <c r="HP38" i="2" s="1"/>
  <c r="FX38" i="2"/>
  <c r="FW38" i="2"/>
  <c r="FV38" i="2"/>
  <c r="FU38" i="2"/>
  <c r="FT38" i="2"/>
  <c r="FS38" i="2"/>
  <c r="FR38" i="2"/>
  <c r="FQ38" i="2"/>
  <c r="FP38" i="2"/>
  <c r="FO38" i="2"/>
  <c r="FN38" i="2"/>
  <c r="FM38" i="2"/>
  <c r="FL38" i="2"/>
  <c r="FK38" i="2"/>
  <c r="FJ38" i="2"/>
  <c r="FI38" i="2"/>
  <c r="FH38" i="2"/>
  <c r="FG38" i="2"/>
  <c r="FF38" i="2"/>
  <c r="FE38" i="2"/>
  <c r="FD38" i="2"/>
  <c r="FB38" i="2"/>
  <c r="BD38" i="2"/>
  <c r="AK38" i="2"/>
  <c r="AE38" i="2"/>
  <c r="OI37" i="2"/>
  <c r="OH37" i="2"/>
  <c r="OG37" i="2"/>
  <c r="OF37" i="2"/>
  <c r="OE37" i="2"/>
  <c r="OD37" i="2"/>
  <c r="OC37" i="2"/>
  <c r="OB37" i="2"/>
  <c r="OA37" i="2"/>
  <c r="NZ37" i="2"/>
  <c r="NY37" i="2"/>
  <c r="NX37" i="2"/>
  <c r="NW37" i="2"/>
  <c r="NV37" i="2"/>
  <c r="NU37" i="2"/>
  <c r="NT37" i="2"/>
  <c r="NS37" i="2"/>
  <c r="NR37" i="2"/>
  <c r="NQ37" i="2"/>
  <c r="NP37" i="2"/>
  <c r="NN37" i="2"/>
  <c r="NM37" i="2"/>
  <c r="NL37" i="2"/>
  <c r="NK37" i="2"/>
  <c r="NJ37" i="2"/>
  <c r="NI37" i="2"/>
  <c r="NH37" i="2"/>
  <c r="NG37" i="2"/>
  <c r="NF37" i="2"/>
  <c r="NE37" i="2"/>
  <c r="ND37" i="2"/>
  <c r="NC37" i="2"/>
  <c r="NB37" i="2"/>
  <c r="NA37" i="2"/>
  <c r="MZ37" i="2"/>
  <c r="MY37" i="2"/>
  <c r="MX37" i="2"/>
  <c r="MW37" i="2"/>
  <c r="MV37" i="2"/>
  <c r="MU37" i="2"/>
  <c r="MT37" i="2"/>
  <c r="MQ37" i="2"/>
  <c r="MP37" i="2"/>
  <c r="MO37" i="2"/>
  <c r="MN37" i="2"/>
  <c r="MM37" i="2"/>
  <c r="ML37" i="2"/>
  <c r="MK37" i="2"/>
  <c r="MJ37" i="2"/>
  <c r="MI37" i="2"/>
  <c r="MH37" i="2"/>
  <c r="MG37" i="2"/>
  <c r="MF37" i="2"/>
  <c r="ME37" i="2"/>
  <c r="MD37" i="2"/>
  <c r="MC37" i="2"/>
  <c r="MB37" i="2"/>
  <c r="MA37" i="2"/>
  <c r="LZ37" i="2"/>
  <c r="LY37" i="2"/>
  <c r="LX37" i="2"/>
  <c r="LV37" i="2"/>
  <c r="LU37" i="2"/>
  <c r="LT37" i="2"/>
  <c r="LS37" i="2"/>
  <c r="LR37" i="2"/>
  <c r="LQ37" i="2"/>
  <c r="LP37" i="2"/>
  <c r="LO37" i="2"/>
  <c r="LN37" i="2"/>
  <c r="LM37" i="2"/>
  <c r="LL37" i="2"/>
  <c r="LK37" i="2"/>
  <c r="LJ37" i="2"/>
  <c r="LI37" i="2"/>
  <c r="LH37" i="2"/>
  <c r="LG37" i="2"/>
  <c r="LF37" i="2"/>
  <c r="LE37" i="2"/>
  <c r="LD37" i="2"/>
  <c r="LC37" i="2"/>
  <c r="LB37" i="2"/>
  <c r="KZ37" i="2"/>
  <c r="OJ37" i="2" s="1"/>
  <c r="KD37" i="2"/>
  <c r="JH37" i="2"/>
  <c r="IL37" i="2"/>
  <c r="HO37" i="2"/>
  <c r="HN37" i="2"/>
  <c r="HM37" i="2"/>
  <c r="HL37" i="2"/>
  <c r="HK37" i="2"/>
  <c r="HJ37" i="2"/>
  <c r="HI37" i="2"/>
  <c r="HH37" i="2"/>
  <c r="HG37" i="2"/>
  <c r="HF37" i="2"/>
  <c r="HE37" i="2"/>
  <c r="HD37" i="2"/>
  <c r="HC37" i="2"/>
  <c r="HB37" i="2"/>
  <c r="HA37" i="2"/>
  <c r="GZ37" i="2"/>
  <c r="GY37" i="2"/>
  <c r="GX37" i="2"/>
  <c r="GW37" i="2"/>
  <c r="GV37" i="2"/>
  <c r="GT37" i="2"/>
  <c r="HP37" i="2" s="1"/>
  <c r="FX37" i="2"/>
  <c r="FW37" i="2"/>
  <c r="FV37" i="2"/>
  <c r="FU37" i="2"/>
  <c r="FT37" i="2"/>
  <c r="FS37" i="2"/>
  <c r="FR37" i="2"/>
  <c r="FQ37" i="2"/>
  <c r="FP37" i="2"/>
  <c r="FO37" i="2"/>
  <c r="FN37" i="2"/>
  <c r="FM37" i="2"/>
  <c r="FL37" i="2"/>
  <c r="FK37" i="2"/>
  <c r="FJ37" i="2"/>
  <c r="FI37" i="2"/>
  <c r="FH37" i="2"/>
  <c r="FG37" i="2"/>
  <c r="FF37" i="2"/>
  <c r="FE37" i="2"/>
  <c r="FD37" i="2"/>
  <c r="FB37" i="2"/>
  <c r="BD37" i="2"/>
  <c r="AK37" i="2"/>
  <c r="AE37" i="2"/>
  <c r="OI36" i="2"/>
  <c r="OH36" i="2"/>
  <c r="OG36" i="2"/>
  <c r="OF36" i="2"/>
  <c r="OE36" i="2"/>
  <c r="OD36" i="2"/>
  <c r="OC36" i="2"/>
  <c r="OB36" i="2"/>
  <c r="OA36" i="2"/>
  <c r="NZ36" i="2"/>
  <c r="NY36" i="2"/>
  <c r="NX36" i="2"/>
  <c r="NW36" i="2"/>
  <c r="NV36" i="2"/>
  <c r="NU36" i="2"/>
  <c r="NT36" i="2"/>
  <c r="NS36" i="2"/>
  <c r="NR36" i="2"/>
  <c r="NQ36" i="2"/>
  <c r="NP36" i="2"/>
  <c r="NM36" i="2"/>
  <c r="NL36" i="2"/>
  <c r="NK36" i="2"/>
  <c r="NJ36" i="2"/>
  <c r="NI36" i="2"/>
  <c r="NH36" i="2"/>
  <c r="NG36" i="2"/>
  <c r="NF36" i="2"/>
  <c r="NE36" i="2"/>
  <c r="ND36" i="2"/>
  <c r="NC36" i="2"/>
  <c r="NB36" i="2"/>
  <c r="NA36" i="2"/>
  <c r="MZ36" i="2"/>
  <c r="MY36" i="2"/>
  <c r="MX36" i="2"/>
  <c r="MW36" i="2"/>
  <c r="MV36" i="2"/>
  <c r="MU36" i="2"/>
  <c r="MT36" i="2"/>
  <c r="MQ36" i="2"/>
  <c r="MP36" i="2"/>
  <c r="MO36" i="2"/>
  <c r="MN36" i="2"/>
  <c r="MM36" i="2"/>
  <c r="ML36" i="2"/>
  <c r="MK36" i="2"/>
  <c r="MJ36" i="2"/>
  <c r="MI36" i="2"/>
  <c r="MH36" i="2"/>
  <c r="MG36" i="2"/>
  <c r="MF36" i="2"/>
  <c r="ME36" i="2"/>
  <c r="MD36" i="2"/>
  <c r="MC36" i="2"/>
  <c r="MB36" i="2"/>
  <c r="MA36" i="2"/>
  <c r="LZ36" i="2"/>
  <c r="LY36" i="2"/>
  <c r="LX36" i="2"/>
  <c r="LU36" i="2"/>
  <c r="LT36" i="2"/>
  <c r="LS36" i="2"/>
  <c r="LR36" i="2"/>
  <c r="LQ36" i="2"/>
  <c r="LP36" i="2"/>
  <c r="LO36" i="2"/>
  <c r="LN36" i="2"/>
  <c r="LM36" i="2"/>
  <c r="LL36" i="2"/>
  <c r="LK36" i="2"/>
  <c r="LJ36" i="2"/>
  <c r="LI36" i="2"/>
  <c r="LH36" i="2"/>
  <c r="LG36" i="2"/>
  <c r="LF36" i="2"/>
  <c r="LE36" i="2"/>
  <c r="LD36" i="2"/>
  <c r="LC36" i="2"/>
  <c r="LB36" i="2"/>
  <c r="KZ36" i="2"/>
  <c r="MR36" i="2" s="1"/>
  <c r="KD36" i="2"/>
  <c r="JH36" i="2"/>
  <c r="IL36" i="2"/>
  <c r="HO36" i="2"/>
  <c r="HN36" i="2"/>
  <c r="HM36" i="2"/>
  <c r="HL36" i="2"/>
  <c r="HK36" i="2"/>
  <c r="HJ36" i="2"/>
  <c r="HI36" i="2"/>
  <c r="HH36" i="2"/>
  <c r="HG36" i="2"/>
  <c r="HF36" i="2"/>
  <c r="HE36" i="2"/>
  <c r="HD36" i="2"/>
  <c r="HC36" i="2"/>
  <c r="HB36" i="2"/>
  <c r="HA36" i="2"/>
  <c r="GZ36" i="2"/>
  <c r="GY36" i="2"/>
  <c r="GX36" i="2"/>
  <c r="GW36" i="2"/>
  <c r="GV36" i="2"/>
  <c r="GT36" i="2"/>
  <c r="HP36" i="2" s="1"/>
  <c r="FX36" i="2"/>
  <c r="FW36" i="2"/>
  <c r="FV36" i="2"/>
  <c r="FU36" i="2"/>
  <c r="FT36" i="2"/>
  <c r="FS36" i="2"/>
  <c r="FR36" i="2"/>
  <c r="FQ36" i="2"/>
  <c r="FP36" i="2"/>
  <c r="FO36" i="2"/>
  <c r="FN36" i="2"/>
  <c r="FM36" i="2"/>
  <c r="FL36" i="2"/>
  <c r="FK36" i="2"/>
  <c r="FJ36" i="2"/>
  <c r="FI36" i="2"/>
  <c r="FH36" i="2"/>
  <c r="FG36" i="2"/>
  <c r="FF36" i="2"/>
  <c r="FE36" i="2"/>
  <c r="FD36" i="2"/>
  <c r="FB36" i="2"/>
  <c r="BD36" i="2"/>
  <c r="AK36" i="2"/>
  <c r="AE36" i="2"/>
  <c r="OI35" i="2"/>
  <c r="OH35" i="2"/>
  <c r="OG35" i="2"/>
  <c r="OF35" i="2"/>
  <c r="OE35" i="2"/>
  <c r="OD35" i="2"/>
  <c r="OC35" i="2"/>
  <c r="OB35" i="2"/>
  <c r="OA35" i="2"/>
  <c r="NZ35" i="2"/>
  <c r="NY35" i="2"/>
  <c r="NX35" i="2"/>
  <c r="NW35" i="2"/>
  <c r="NV35" i="2"/>
  <c r="NU35" i="2"/>
  <c r="NT35" i="2"/>
  <c r="NS35" i="2"/>
  <c r="NR35" i="2"/>
  <c r="NQ35" i="2"/>
  <c r="NP35" i="2"/>
  <c r="NN35" i="2"/>
  <c r="NM35" i="2"/>
  <c r="NL35" i="2"/>
  <c r="NK35" i="2"/>
  <c r="NJ35" i="2"/>
  <c r="NI35" i="2"/>
  <c r="NH35" i="2"/>
  <c r="NG35" i="2"/>
  <c r="NF35" i="2"/>
  <c r="NE35" i="2"/>
  <c r="ND35" i="2"/>
  <c r="NC35" i="2"/>
  <c r="NB35" i="2"/>
  <c r="NA35" i="2"/>
  <c r="MZ35" i="2"/>
  <c r="MY35" i="2"/>
  <c r="MX35" i="2"/>
  <c r="MW35" i="2"/>
  <c r="MV35" i="2"/>
  <c r="MU35" i="2"/>
  <c r="MT35" i="2"/>
  <c r="MQ35" i="2"/>
  <c r="MP35" i="2"/>
  <c r="MO35" i="2"/>
  <c r="MN35" i="2"/>
  <c r="MM35" i="2"/>
  <c r="ML35" i="2"/>
  <c r="MK35" i="2"/>
  <c r="MJ35" i="2"/>
  <c r="MI35" i="2"/>
  <c r="MH35" i="2"/>
  <c r="MG35" i="2"/>
  <c r="MF35" i="2"/>
  <c r="ME35" i="2"/>
  <c r="MD35" i="2"/>
  <c r="MC35" i="2"/>
  <c r="MB35" i="2"/>
  <c r="MA35" i="2"/>
  <c r="LZ35" i="2"/>
  <c r="LY35" i="2"/>
  <c r="LX35" i="2"/>
  <c r="LV35" i="2"/>
  <c r="LU35" i="2"/>
  <c r="LT35" i="2"/>
  <c r="LS35" i="2"/>
  <c r="LR35" i="2"/>
  <c r="LQ35" i="2"/>
  <c r="LP35" i="2"/>
  <c r="LO35" i="2"/>
  <c r="LN35" i="2"/>
  <c r="LM35" i="2"/>
  <c r="LL35" i="2"/>
  <c r="LK35" i="2"/>
  <c r="LJ35" i="2"/>
  <c r="LI35" i="2"/>
  <c r="LH35" i="2"/>
  <c r="LG35" i="2"/>
  <c r="LF35" i="2"/>
  <c r="LE35" i="2"/>
  <c r="LD35" i="2"/>
  <c r="LC35" i="2"/>
  <c r="LB35" i="2"/>
  <c r="KZ35" i="2"/>
  <c r="MR35" i="2" s="1"/>
  <c r="KD35" i="2"/>
  <c r="JH35" i="2"/>
  <c r="IL35" i="2"/>
  <c r="HO35" i="2"/>
  <c r="HN35" i="2"/>
  <c r="HM35" i="2"/>
  <c r="HL35" i="2"/>
  <c r="HK35" i="2"/>
  <c r="HJ35" i="2"/>
  <c r="HI35" i="2"/>
  <c r="HH35" i="2"/>
  <c r="HG35" i="2"/>
  <c r="HF35" i="2"/>
  <c r="HE35" i="2"/>
  <c r="HD35" i="2"/>
  <c r="HC35" i="2"/>
  <c r="HB35" i="2"/>
  <c r="HA35" i="2"/>
  <c r="GZ35" i="2"/>
  <c r="GY35" i="2"/>
  <c r="GX35" i="2"/>
  <c r="GW35" i="2"/>
  <c r="GV35" i="2"/>
  <c r="GT35" i="2"/>
  <c r="HP35" i="2" s="1"/>
  <c r="FW35" i="2"/>
  <c r="FV35" i="2"/>
  <c r="FU35" i="2"/>
  <c r="FT35" i="2"/>
  <c r="FS35" i="2"/>
  <c r="FR35" i="2"/>
  <c r="FQ35" i="2"/>
  <c r="FP35" i="2"/>
  <c r="FO35" i="2"/>
  <c r="FN35" i="2"/>
  <c r="FM35" i="2"/>
  <c r="FL35" i="2"/>
  <c r="FK35" i="2"/>
  <c r="FJ35" i="2"/>
  <c r="FI35" i="2"/>
  <c r="FH35" i="2"/>
  <c r="FG35" i="2"/>
  <c r="FF35" i="2"/>
  <c r="FE35" i="2"/>
  <c r="FD35" i="2"/>
  <c r="FB35" i="2"/>
  <c r="FX35" i="2" s="1"/>
  <c r="BD35" i="2"/>
  <c r="AK35" i="2"/>
  <c r="AE35" i="2"/>
  <c r="OI34" i="2"/>
  <c r="OH34" i="2"/>
  <c r="OG34" i="2"/>
  <c r="OF34" i="2"/>
  <c r="OE34" i="2"/>
  <c r="OD34" i="2"/>
  <c r="OC34" i="2"/>
  <c r="OB34" i="2"/>
  <c r="OA34" i="2"/>
  <c r="NZ34" i="2"/>
  <c r="NY34" i="2"/>
  <c r="NX34" i="2"/>
  <c r="NW34" i="2"/>
  <c r="NV34" i="2"/>
  <c r="NU34" i="2"/>
  <c r="NT34" i="2"/>
  <c r="NS34" i="2"/>
  <c r="NR34" i="2"/>
  <c r="NQ34" i="2"/>
  <c r="NP34" i="2"/>
  <c r="NM34" i="2"/>
  <c r="NL34" i="2"/>
  <c r="NK34" i="2"/>
  <c r="NJ34" i="2"/>
  <c r="NI34" i="2"/>
  <c r="NH34" i="2"/>
  <c r="NG34" i="2"/>
  <c r="NF34" i="2"/>
  <c r="NE34" i="2"/>
  <c r="ND34" i="2"/>
  <c r="NC34" i="2"/>
  <c r="NB34" i="2"/>
  <c r="NA34" i="2"/>
  <c r="MZ34" i="2"/>
  <c r="MY34" i="2"/>
  <c r="MX34" i="2"/>
  <c r="MW34" i="2"/>
  <c r="MV34" i="2"/>
  <c r="MU34" i="2"/>
  <c r="MT34" i="2"/>
  <c r="MR34" i="2"/>
  <c r="MQ34" i="2"/>
  <c r="MP34" i="2"/>
  <c r="MO34" i="2"/>
  <c r="MN34" i="2"/>
  <c r="MM34" i="2"/>
  <c r="ML34" i="2"/>
  <c r="MK34" i="2"/>
  <c r="MJ34" i="2"/>
  <c r="MI34" i="2"/>
  <c r="MH34" i="2"/>
  <c r="MG34" i="2"/>
  <c r="MF34" i="2"/>
  <c r="ME34" i="2"/>
  <c r="MD34" i="2"/>
  <c r="MC34" i="2"/>
  <c r="MB34" i="2"/>
  <c r="MA34" i="2"/>
  <c r="LZ34" i="2"/>
  <c r="LY34" i="2"/>
  <c r="LX34" i="2"/>
  <c r="LU34" i="2"/>
  <c r="LT34" i="2"/>
  <c r="LS34" i="2"/>
  <c r="LR34" i="2"/>
  <c r="LQ34" i="2"/>
  <c r="LP34" i="2"/>
  <c r="LO34" i="2"/>
  <c r="LN34" i="2"/>
  <c r="LM34" i="2"/>
  <c r="LL34" i="2"/>
  <c r="LK34" i="2"/>
  <c r="LJ34" i="2"/>
  <c r="LI34" i="2"/>
  <c r="LH34" i="2"/>
  <c r="LG34" i="2"/>
  <c r="LF34" i="2"/>
  <c r="LE34" i="2"/>
  <c r="LD34" i="2"/>
  <c r="LC34" i="2"/>
  <c r="LB34" i="2"/>
  <c r="KZ34" i="2"/>
  <c r="OJ34" i="2" s="1"/>
  <c r="KD34" i="2"/>
  <c r="JH34" i="2"/>
  <c r="IL34" i="2"/>
  <c r="HO34" i="2"/>
  <c r="HN34" i="2"/>
  <c r="HM34" i="2"/>
  <c r="HL34" i="2"/>
  <c r="HK34" i="2"/>
  <c r="HJ34" i="2"/>
  <c r="HI34" i="2"/>
  <c r="HH34" i="2"/>
  <c r="HG34" i="2"/>
  <c r="HF34" i="2"/>
  <c r="HE34" i="2"/>
  <c r="HD34" i="2"/>
  <c r="HC34" i="2"/>
  <c r="HB34" i="2"/>
  <c r="HA34" i="2"/>
  <c r="GZ34" i="2"/>
  <c r="GY34" i="2"/>
  <c r="GX34" i="2"/>
  <c r="GW34" i="2"/>
  <c r="GV34" i="2"/>
  <c r="GT34" i="2"/>
  <c r="HP34" i="2" s="1"/>
  <c r="FX34" i="2"/>
  <c r="FW34" i="2"/>
  <c r="FV34" i="2"/>
  <c r="FU34" i="2"/>
  <c r="FT34" i="2"/>
  <c r="FS34" i="2"/>
  <c r="FR34" i="2"/>
  <c r="FQ34" i="2"/>
  <c r="FP34" i="2"/>
  <c r="FO34" i="2"/>
  <c r="FN34" i="2"/>
  <c r="FM34" i="2"/>
  <c r="FL34" i="2"/>
  <c r="FK34" i="2"/>
  <c r="FJ34" i="2"/>
  <c r="FI34" i="2"/>
  <c r="FH34" i="2"/>
  <c r="FG34" i="2"/>
  <c r="FF34" i="2"/>
  <c r="FE34" i="2"/>
  <c r="FD34" i="2"/>
  <c r="FB34" i="2"/>
  <c r="BD34" i="2"/>
  <c r="AZ34" i="2"/>
  <c r="AP34" i="2"/>
  <c r="AK34" i="2"/>
  <c r="AE34" i="2"/>
  <c r="OI33" i="2"/>
  <c r="OH33" i="2"/>
  <c r="OG33" i="2"/>
  <c r="OF33" i="2"/>
  <c r="OE33" i="2"/>
  <c r="OD33" i="2"/>
  <c r="OC33" i="2"/>
  <c r="OB33" i="2"/>
  <c r="OA33" i="2"/>
  <c r="NZ33" i="2"/>
  <c r="NY33" i="2"/>
  <c r="NX33" i="2"/>
  <c r="NW33" i="2"/>
  <c r="NV33" i="2"/>
  <c r="NU33" i="2"/>
  <c r="NT33" i="2"/>
  <c r="NS33" i="2"/>
  <c r="NR33" i="2"/>
  <c r="NQ33" i="2"/>
  <c r="NP33" i="2"/>
  <c r="NM33" i="2"/>
  <c r="NL33" i="2"/>
  <c r="NK33" i="2"/>
  <c r="NJ33" i="2"/>
  <c r="NI33" i="2"/>
  <c r="NH33" i="2"/>
  <c r="NG33" i="2"/>
  <c r="NF33" i="2"/>
  <c r="NE33" i="2"/>
  <c r="ND33" i="2"/>
  <c r="NC33" i="2"/>
  <c r="NB33" i="2"/>
  <c r="NA33" i="2"/>
  <c r="MZ33" i="2"/>
  <c r="MY33" i="2"/>
  <c r="MX33" i="2"/>
  <c r="MW33" i="2"/>
  <c r="MV33" i="2"/>
  <c r="MU33" i="2"/>
  <c r="MT33" i="2"/>
  <c r="MQ33" i="2"/>
  <c r="MP33" i="2"/>
  <c r="MO33" i="2"/>
  <c r="MN33" i="2"/>
  <c r="MM33" i="2"/>
  <c r="ML33" i="2"/>
  <c r="MK33" i="2"/>
  <c r="MJ33" i="2"/>
  <c r="MI33" i="2"/>
  <c r="MH33" i="2"/>
  <c r="MG33" i="2"/>
  <c r="MF33" i="2"/>
  <c r="ME33" i="2"/>
  <c r="MD33" i="2"/>
  <c r="MC33" i="2"/>
  <c r="MB33" i="2"/>
  <c r="MA33" i="2"/>
  <c r="LZ33" i="2"/>
  <c r="LY33" i="2"/>
  <c r="LX33" i="2"/>
  <c r="LV33" i="2"/>
  <c r="LU33" i="2"/>
  <c r="LT33" i="2"/>
  <c r="LS33" i="2"/>
  <c r="LR33" i="2"/>
  <c r="LQ33" i="2"/>
  <c r="LP33" i="2"/>
  <c r="LO33" i="2"/>
  <c r="LN33" i="2"/>
  <c r="LM33" i="2"/>
  <c r="LL33" i="2"/>
  <c r="LK33" i="2"/>
  <c r="LJ33" i="2"/>
  <c r="LI33" i="2"/>
  <c r="LH33" i="2"/>
  <c r="LG33" i="2"/>
  <c r="LF33" i="2"/>
  <c r="LE33" i="2"/>
  <c r="LD33" i="2"/>
  <c r="LC33" i="2"/>
  <c r="LB33" i="2"/>
  <c r="KZ33" i="2"/>
  <c r="MR33" i="2" s="1"/>
  <c r="KD33" i="2"/>
  <c r="JH33" i="2"/>
  <c r="IL33" i="2"/>
  <c r="HO33" i="2"/>
  <c r="HN33" i="2"/>
  <c r="HM33" i="2"/>
  <c r="HL33" i="2"/>
  <c r="HK33" i="2"/>
  <c r="HJ33" i="2"/>
  <c r="HI33" i="2"/>
  <c r="HH33" i="2"/>
  <c r="HG33" i="2"/>
  <c r="HF33" i="2"/>
  <c r="HE33" i="2"/>
  <c r="HD33" i="2"/>
  <c r="HC33" i="2"/>
  <c r="HB33" i="2"/>
  <c r="HA33" i="2"/>
  <c r="GZ33" i="2"/>
  <c r="GY33" i="2"/>
  <c r="GX33" i="2"/>
  <c r="GW33" i="2"/>
  <c r="GV33" i="2"/>
  <c r="GT33" i="2"/>
  <c r="HP33" i="2" s="1"/>
  <c r="FW33" i="2"/>
  <c r="FV33" i="2"/>
  <c r="FU33" i="2"/>
  <c r="FT33" i="2"/>
  <c r="FS33" i="2"/>
  <c r="FR33" i="2"/>
  <c r="FQ33" i="2"/>
  <c r="FP33" i="2"/>
  <c r="FO33" i="2"/>
  <c r="FN33" i="2"/>
  <c r="FM33" i="2"/>
  <c r="FL33" i="2"/>
  <c r="FK33" i="2"/>
  <c r="FJ33" i="2"/>
  <c r="FI33" i="2"/>
  <c r="FH33" i="2"/>
  <c r="FG33" i="2"/>
  <c r="FF33" i="2"/>
  <c r="FE33" i="2"/>
  <c r="FD33" i="2"/>
  <c r="FB33" i="2"/>
  <c r="FX33" i="2" s="1"/>
  <c r="BD33" i="2"/>
  <c r="AZ33" i="2"/>
  <c r="AP33" i="2"/>
  <c r="AK33" i="2"/>
  <c r="AE33" i="2"/>
  <c r="W33" i="2"/>
  <c r="V33" i="2"/>
  <c r="L33" i="2"/>
  <c r="OI32" i="2"/>
  <c r="OH32" i="2"/>
  <c r="OG32" i="2"/>
  <c r="OF32" i="2"/>
  <c r="OE32" i="2"/>
  <c r="OD32" i="2"/>
  <c r="OC32" i="2"/>
  <c r="OB32" i="2"/>
  <c r="OA32" i="2"/>
  <c r="NZ32" i="2"/>
  <c r="NY32" i="2"/>
  <c r="NX32" i="2"/>
  <c r="NW32" i="2"/>
  <c r="NV32" i="2"/>
  <c r="NU32" i="2"/>
  <c r="NT32" i="2"/>
  <c r="NS32" i="2"/>
  <c r="NR32" i="2"/>
  <c r="NQ32" i="2"/>
  <c r="NP32" i="2"/>
  <c r="NM32" i="2"/>
  <c r="NL32" i="2"/>
  <c r="NK32" i="2"/>
  <c r="NJ32" i="2"/>
  <c r="NI32" i="2"/>
  <c r="NH32" i="2"/>
  <c r="NG32" i="2"/>
  <c r="NF32" i="2"/>
  <c r="NE32" i="2"/>
  <c r="ND32" i="2"/>
  <c r="NC32" i="2"/>
  <c r="NB32" i="2"/>
  <c r="NA32" i="2"/>
  <c r="MZ32" i="2"/>
  <c r="MY32" i="2"/>
  <c r="MX32" i="2"/>
  <c r="MW32" i="2"/>
  <c r="MV32" i="2"/>
  <c r="MU32" i="2"/>
  <c r="MT32" i="2"/>
  <c r="MQ32" i="2"/>
  <c r="MP32" i="2"/>
  <c r="MO32" i="2"/>
  <c r="MN32" i="2"/>
  <c r="MM32" i="2"/>
  <c r="ML32" i="2"/>
  <c r="MK32" i="2"/>
  <c r="MJ32" i="2"/>
  <c r="MI32" i="2"/>
  <c r="MH32" i="2"/>
  <c r="MG32" i="2"/>
  <c r="MF32" i="2"/>
  <c r="ME32" i="2"/>
  <c r="MD32" i="2"/>
  <c r="MC32" i="2"/>
  <c r="MB32" i="2"/>
  <c r="MA32" i="2"/>
  <c r="LZ32" i="2"/>
  <c r="LY32" i="2"/>
  <c r="LX32" i="2"/>
  <c r="LU32" i="2"/>
  <c r="LT32" i="2"/>
  <c r="LS32" i="2"/>
  <c r="LR32" i="2"/>
  <c r="LQ32" i="2"/>
  <c r="LP32" i="2"/>
  <c r="LO32" i="2"/>
  <c r="LN32" i="2"/>
  <c r="LM32" i="2"/>
  <c r="LL32" i="2"/>
  <c r="LK32" i="2"/>
  <c r="LJ32" i="2"/>
  <c r="LI32" i="2"/>
  <c r="LH32" i="2"/>
  <c r="LG32" i="2"/>
  <c r="LF32" i="2"/>
  <c r="LE32" i="2"/>
  <c r="LD32" i="2"/>
  <c r="LC32" i="2"/>
  <c r="LB32" i="2"/>
  <c r="KZ32" i="2"/>
  <c r="NN32" i="2" s="1"/>
  <c r="KD32" i="2"/>
  <c r="JH32" i="2"/>
  <c r="IL32" i="2"/>
  <c r="HP32" i="2"/>
  <c r="HO32" i="2"/>
  <c r="HN32" i="2"/>
  <c r="HM32" i="2"/>
  <c r="HL32" i="2"/>
  <c r="HK32" i="2"/>
  <c r="HJ32" i="2"/>
  <c r="HI32" i="2"/>
  <c r="HH32" i="2"/>
  <c r="HG32" i="2"/>
  <c r="HF32" i="2"/>
  <c r="HE32" i="2"/>
  <c r="HD32" i="2"/>
  <c r="HC32" i="2"/>
  <c r="HB32" i="2"/>
  <c r="HA32" i="2"/>
  <c r="GZ32" i="2"/>
  <c r="GY32" i="2"/>
  <c r="GX32" i="2"/>
  <c r="GW32" i="2"/>
  <c r="GV32" i="2"/>
  <c r="GT32" i="2"/>
  <c r="FW32" i="2"/>
  <c r="FV32" i="2"/>
  <c r="FU32" i="2"/>
  <c r="FT32" i="2"/>
  <c r="FS32" i="2"/>
  <c r="FR32" i="2"/>
  <c r="FQ32" i="2"/>
  <c r="FP32" i="2"/>
  <c r="FO32" i="2"/>
  <c r="FN32" i="2"/>
  <c r="FM32" i="2"/>
  <c r="FL32" i="2"/>
  <c r="FK32" i="2"/>
  <c r="FJ32" i="2"/>
  <c r="FI32" i="2"/>
  <c r="FH32" i="2"/>
  <c r="FG32" i="2"/>
  <c r="FF32" i="2"/>
  <c r="FE32" i="2"/>
  <c r="FD32" i="2"/>
  <c r="FB32" i="2"/>
  <c r="FX32" i="2" s="1"/>
  <c r="DU32" i="2"/>
  <c r="DY32" i="2" s="1"/>
  <c r="BD32" i="2"/>
  <c r="AZ32" i="2"/>
  <c r="AP32" i="2"/>
  <c r="AK32" i="2"/>
  <c r="AE32" i="2"/>
  <c r="W32" i="2"/>
  <c r="V32" i="2"/>
  <c r="L32" i="2"/>
  <c r="OI31" i="2"/>
  <c r="OH31" i="2"/>
  <c r="OG31" i="2"/>
  <c r="OF31" i="2"/>
  <c r="OE31" i="2"/>
  <c r="OD31" i="2"/>
  <c r="OC31" i="2"/>
  <c r="OB31" i="2"/>
  <c r="OA31" i="2"/>
  <c r="NZ31" i="2"/>
  <c r="NY31" i="2"/>
  <c r="NX31" i="2"/>
  <c r="NW31" i="2"/>
  <c r="NV31" i="2"/>
  <c r="NU31" i="2"/>
  <c r="NT31" i="2"/>
  <c r="NS31" i="2"/>
  <c r="NR31" i="2"/>
  <c r="NQ31" i="2"/>
  <c r="NP31" i="2"/>
  <c r="NN31" i="2"/>
  <c r="NM31" i="2"/>
  <c r="NL31" i="2"/>
  <c r="NK31" i="2"/>
  <c r="NJ31" i="2"/>
  <c r="NI31" i="2"/>
  <c r="NH31" i="2"/>
  <c r="NG31" i="2"/>
  <c r="NF31" i="2"/>
  <c r="NE31" i="2"/>
  <c r="ND31" i="2"/>
  <c r="NC31" i="2"/>
  <c r="NB31" i="2"/>
  <c r="NA31" i="2"/>
  <c r="MZ31" i="2"/>
  <c r="MY31" i="2"/>
  <c r="MX31" i="2"/>
  <c r="MW31" i="2"/>
  <c r="MV31" i="2"/>
  <c r="MU31" i="2"/>
  <c r="MT31" i="2"/>
  <c r="MR31" i="2"/>
  <c r="MQ31" i="2"/>
  <c r="MP31" i="2"/>
  <c r="MO31" i="2"/>
  <c r="MN31" i="2"/>
  <c r="MM31" i="2"/>
  <c r="ML31" i="2"/>
  <c r="MK31" i="2"/>
  <c r="MJ31" i="2"/>
  <c r="MI31" i="2"/>
  <c r="MH31" i="2"/>
  <c r="MG31" i="2"/>
  <c r="MF31" i="2"/>
  <c r="ME31" i="2"/>
  <c r="MD31" i="2"/>
  <c r="MC31" i="2"/>
  <c r="MB31" i="2"/>
  <c r="MA31" i="2"/>
  <c r="LZ31" i="2"/>
  <c r="LY31" i="2"/>
  <c r="LX31" i="2"/>
  <c r="LV31" i="2"/>
  <c r="LU31" i="2"/>
  <c r="LT31" i="2"/>
  <c r="LS31" i="2"/>
  <c r="LR31" i="2"/>
  <c r="LQ31" i="2"/>
  <c r="LP31" i="2"/>
  <c r="LO31" i="2"/>
  <c r="LN31" i="2"/>
  <c r="LM31" i="2"/>
  <c r="LL31" i="2"/>
  <c r="LK31" i="2"/>
  <c r="LJ31" i="2"/>
  <c r="LI31" i="2"/>
  <c r="LH31" i="2"/>
  <c r="LG31" i="2"/>
  <c r="LF31" i="2"/>
  <c r="LE31" i="2"/>
  <c r="LD31" i="2"/>
  <c r="LC31" i="2"/>
  <c r="LB31" i="2"/>
  <c r="KZ31" i="2"/>
  <c r="OJ31" i="2" s="1"/>
  <c r="KD31" i="2"/>
  <c r="JH31" i="2"/>
  <c r="IL31" i="2"/>
  <c r="HO31" i="2"/>
  <c r="HN31" i="2"/>
  <c r="HM31" i="2"/>
  <c r="HL31" i="2"/>
  <c r="HK31" i="2"/>
  <c r="HJ31" i="2"/>
  <c r="HI31" i="2"/>
  <c r="HH31" i="2"/>
  <c r="HG31" i="2"/>
  <c r="HF31" i="2"/>
  <c r="HE31" i="2"/>
  <c r="HD31" i="2"/>
  <c r="HC31" i="2"/>
  <c r="HB31" i="2"/>
  <c r="HA31" i="2"/>
  <c r="GZ31" i="2"/>
  <c r="GY31" i="2"/>
  <c r="GX31" i="2"/>
  <c r="GW31" i="2"/>
  <c r="GV31" i="2"/>
  <c r="GT31" i="2"/>
  <c r="HP31" i="2" s="1"/>
  <c r="FX31" i="2"/>
  <c r="FW31" i="2"/>
  <c r="FV31" i="2"/>
  <c r="FU31" i="2"/>
  <c r="FT31" i="2"/>
  <c r="FS31" i="2"/>
  <c r="FR31" i="2"/>
  <c r="FQ31" i="2"/>
  <c r="FP31" i="2"/>
  <c r="FO31" i="2"/>
  <c r="FN31" i="2"/>
  <c r="FM31" i="2"/>
  <c r="FL31" i="2"/>
  <c r="FK31" i="2"/>
  <c r="FJ31" i="2"/>
  <c r="FI31" i="2"/>
  <c r="FH31" i="2"/>
  <c r="FG31" i="2"/>
  <c r="FF31" i="2"/>
  <c r="FE31" i="2"/>
  <c r="FD31" i="2"/>
  <c r="FB31" i="2"/>
  <c r="DU31" i="2"/>
  <c r="DY31" i="2" s="1"/>
  <c r="BD31" i="2"/>
  <c r="AZ31" i="2"/>
  <c r="AP31" i="2"/>
  <c r="AK31" i="2"/>
  <c r="AE31" i="2"/>
  <c r="W31" i="2"/>
  <c r="V31" i="2"/>
  <c r="L31" i="2"/>
  <c r="OI30" i="2"/>
  <c r="OH30" i="2"/>
  <c r="OG30" i="2"/>
  <c r="OF30" i="2"/>
  <c r="OE30" i="2"/>
  <c r="OD30" i="2"/>
  <c r="OC30" i="2"/>
  <c r="OB30" i="2"/>
  <c r="OA30" i="2"/>
  <c r="NZ30" i="2"/>
  <c r="NY30" i="2"/>
  <c r="NX30" i="2"/>
  <c r="NW30" i="2"/>
  <c r="NV30" i="2"/>
  <c r="NU30" i="2"/>
  <c r="NT30" i="2"/>
  <c r="NS30" i="2"/>
  <c r="NR30" i="2"/>
  <c r="NQ30" i="2"/>
  <c r="NP30" i="2"/>
  <c r="NN30" i="2"/>
  <c r="NM30" i="2"/>
  <c r="NL30" i="2"/>
  <c r="NK30" i="2"/>
  <c r="NJ30" i="2"/>
  <c r="NI30" i="2"/>
  <c r="NH30" i="2"/>
  <c r="NG30" i="2"/>
  <c r="NF30" i="2"/>
  <c r="NE30" i="2"/>
  <c r="ND30" i="2"/>
  <c r="NC30" i="2"/>
  <c r="NB30" i="2"/>
  <c r="NA30" i="2"/>
  <c r="MZ30" i="2"/>
  <c r="MY30" i="2"/>
  <c r="MX30" i="2"/>
  <c r="MW30" i="2"/>
  <c r="MV30" i="2"/>
  <c r="MU30" i="2"/>
  <c r="MT30" i="2"/>
  <c r="MQ30" i="2"/>
  <c r="MP30" i="2"/>
  <c r="MO30" i="2"/>
  <c r="MN30" i="2"/>
  <c r="MM30" i="2"/>
  <c r="ML30" i="2"/>
  <c r="MK30" i="2"/>
  <c r="MJ30" i="2"/>
  <c r="MI30" i="2"/>
  <c r="MH30" i="2"/>
  <c r="MG30" i="2"/>
  <c r="MF30" i="2"/>
  <c r="ME30" i="2"/>
  <c r="MD30" i="2"/>
  <c r="MC30" i="2"/>
  <c r="MB30" i="2"/>
  <c r="MA30" i="2"/>
  <c r="LZ30" i="2"/>
  <c r="LY30" i="2"/>
  <c r="LX30" i="2"/>
  <c r="LV30" i="2"/>
  <c r="LU30" i="2"/>
  <c r="LT30" i="2"/>
  <c r="LS30" i="2"/>
  <c r="LR30" i="2"/>
  <c r="LQ30" i="2"/>
  <c r="LP30" i="2"/>
  <c r="LO30" i="2"/>
  <c r="LN30" i="2"/>
  <c r="LM30" i="2"/>
  <c r="LL30" i="2"/>
  <c r="LK30" i="2"/>
  <c r="LJ30" i="2"/>
  <c r="LI30" i="2"/>
  <c r="LH30" i="2"/>
  <c r="LG30" i="2"/>
  <c r="LF30" i="2"/>
  <c r="LE30" i="2"/>
  <c r="LD30" i="2"/>
  <c r="LC30" i="2"/>
  <c r="LB30" i="2"/>
  <c r="KZ30" i="2"/>
  <c r="MR30" i="2" s="1"/>
  <c r="KD30" i="2"/>
  <c r="JH30" i="2"/>
  <c r="IL30" i="2"/>
  <c r="HP30" i="2"/>
  <c r="HO30" i="2"/>
  <c r="HN30" i="2"/>
  <c r="HM30" i="2"/>
  <c r="HL30" i="2"/>
  <c r="HK30" i="2"/>
  <c r="HJ30" i="2"/>
  <c r="HI30" i="2"/>
  <c r="HH30" i="2"/>
  <c r="HG30" i="2"/>
  <c r="HF30" i="2"/>
  <c r="HE30" i="2"/>
  <c r="HD30" i="2"/>
  <c r="HC30" i="2"/>
  <c r="HB30" i="2"/>
  <c r="HA30" i="2"/>
  <c r="GZ30" i="2"/>
  <c r="GY30" i="2"/>
  <c r="GX30" i="2"/>
  <c r="GW30" i="2"/>
  <c r="GV30" i="2"/>
  <c r="GT30" i="2"/>
  <c r="FW30" i="2"/>
  <c r="FV30" i="2"/>
  <c r="FU30" i="2"/>
  <c r="FT30" i="2"/>
  <c r="FS30" i="2"/>
  <c r="FR30" i="2"/>
  <c r="FQ30" i="2"/>
  <c r="FP30" i="2"/>
  <c r="FO30" i="2"/>
  <c r="FN30" i="2"/>
  <c r="FM30" i="2"/>
  <c r="FL30" i="2"/>
  <c r="FK30" i="2"/>
  <c r="FJ30" i="2"/>
  <c r="FI30" i="2"/>
  <c r="FH30" i="2"/>
  <c r="FG30" i="2"/>
  <c r="FF30" i="2"/>
  <c r="FE30" i="2"/>
  <c r="FD30" i="2"/>
  <c r="FB30" i="2"/>
  <c r="FX30" i="2" s="1"/>
  <c r="DY30" i="2"/>
  <c r="DU30" i="2"/>
  <c r="BD30" i="2"/>
  <c r="AZ30" i="2"/>
  <c r="AP30" i="2"/>
  <c r="AK30" i="2"/>
  <c r="AE30" i="2"/>
  <c r="W30" i="2"/>
  <c r="V30" i="2"/>
  <c r="L30" i="2"/>
  <c r="OI29" i="2"/>
  <c r="OH29" i="2"/>
  <c r="OG29" i="2"/>
  <c r="OF29" i="2"/>
  <c r="OE29" i="2"/>
  <c r="OD29" i="2"/>
  <c r="OC29" i="2"/>
  <c r="OB29" i="2"/>
  <c r="OA29" i="2"/>
  <c r="NZ29" i="2"/>
  <c r="NY29" i="2"/>
  <c r="NX29" i="2"/>
  <c r="NW29" i="2"/>
  <c r="NV29" i="2"/>
  <c r="NU29" i="2"/>
  <c r="NT29" i="2"/>
  <c r="NS29" i="2"/>
  <c r="NR29" i="2"/>
  <c r="NQ29" i="2"/>
  <c r="NP29" i="2"/>
  <c r="NM29" i="2"/>
  <c r="NL29" i="2"/>
  <c r="NK29" i="2"/>
  <c r="NJ29" i="2"/>
  <c r="NI29" i="2"/>
  <c r="NH29" i="2"/>
  <c r="NG29" i="2"/>
  <c r="NF29" i="2"/>
  <c r="NE29" i="2"/>
  <c r="ND29" i="2"/>
  <c r="NC29" i="2"/>
  <c r="NB29" i="2"/>
  <c r="NA29" i="2"/>
  <c r="MZ29" i="2"/>
  <c r="MY29" i="2"/>
  <c r="MX29" i="2"/>
  <c r="MW29" i="2"/>
  <c r="MV29" i="2"/>
  <c r="MU29" i="2"/>
  <c r="MT29" i="2"/>
  <c r="MQ29" i="2"/>
  <c r="MP29" i="2"/>
  <c r="MO29" i="2"/>
  <c r="MN29" i="2"/>
  <c r="MM29" i="2"/>
  <c r="ML29" i="2"/>
  <c r="MK29" i="2"/>
  <c r="MJ29" i="2"/>
  <c r="MI29" i="2"/>
  <c r="MH29" i="2"/>
  <c r="MG29" i="2"/>
  <c r="MF29" i="2"/>
  <c r="ME29" i="2"/>
  <c r="MD29" i="2"/>
  <c r="MC29" i="2"/>
  <c r="MB29" i="2"/>
  <c r="MA29" i="2"/>
  <c r="LZ29" i="2"/>
  <c r="LY29" i="2"/>
  <c r="LX29" i="2"/>
  <c r="LU29" i="2"/>
  <c r="LT29" i="2"/>
  <c r="LS29" i="2"/>
  <c r="LR29" i="2"/>
  <c r="LQ29" i="2"/>
  <c r="LP29" i="2"/>
  <c r="LO29" i="2"/>
  <c r="LN29" i="2"/>
  <c r="LM29" i="2"/>
  <c r="LL29" i="2"/>
  <c r="LK29" i="2"/>
  <c r="LJ29" i="2"/>
  <c r="LI29" i="2"/>
  <c r="LH29" i="2"/>
  <c r="LG29" i="2"/>
  <c r="LF29" i="2"/>
  <c r="LE29" i="2"/>
  <c r="LD29" i="2"/>
  <c r="LC29" i="2"/>
  <c r="LB29" i="2"/>
  <c r="KZ29" i="2"/>
  <c r="LV29" i="2" s="1"/>
  <c r="KD29" i="2"/>
  <c r="JH29" i="2"/>
  <c r="IL29" i="2"/>
  <c r="HO29" i="2"/>
  <c r="HN29" i="2"/>
  <c r="HM29" i="2"/>
  <c r="HL29" i="2"/>
  <c r="HK29" i="2"/>
  <c r="HJ29" i="2"/>
  <c r="HI29" i="2"/>
  <c r="HH29" i="2"/>
  <c r="HG29" i="2"/>
  <c r="HF29" i="2"/>
  <c r="HE29" i="2"/>
  <c r="HD29" i="2"/>
  <c r="HC29" i="2"/>
  <c r="HB29" i="2"/>
  <c r="HA29" i="2"/>
  <c r="GZ29" i="2"/>
  <c r="GY29" i="2"/>
  <c r="GX29" i="2"/>
  <c r="GW29" i="2"/>
  <c r="GV29" i="2"/>
  <c r="GT29" i="2"/>
  <c r="HP29" i="2" s="1"/>
  <c r="FW29" i="2"/>
  <c r="FV29" i="2"/>
  <c r="FU29" i="2"/>
  <c r="FT29" i="2"/>
  <c r="FS29" i="2"/>
  <c r="FR29" i="2"/>
  <c r="FQ29" i="2"/>
  <c r="FP29" i="2"/>
  <c r="FO29" i="2"/>
  <c r="FN29" i="2"/>
  <c r="FM29" i="2"/>
  <c r="FL29" i="2"/>
  <c r="FK29" i="2"/>
  <c r="FJ29" i="2"/>
  <c r="FI29" i="2"/>
  <c r="FH29" i="2"/>
  <c r="FG29" i="2"/>
  <c r="FF29" i="2"/>
  <c r="FE29" i="2"/>
  <c r="FD29" i="2"/>
  <c r="FB29" i="2"/>
  <c r="FX29" i="2" s="1"/>
  <c r="DU29" i="2"/>
  <c r="DY29" i="2" s="1"/>
  <c r="BD29" i="2"/>
  <c r="AZ29" i="2"/>
  <c r="AP29" i="2"/>
  <c r="AK29" i="2"/>
  <c r="AE29" i="2"/>
  <c r="W29" i="2"/>
  <c r="V29" i="2"/>
  <c r="L29" i="2"/>
  <c r="OI28" i="2"/>
  <c r="OH28" i="2"/>
  <c r="OG28" i="2"/>
  <c r="OF28" i="2"/>
  <c r="OE28" i="2"/>
  <c r="OD28" i="2"/>
  <c r="OC28" i="2"/>
  <c r="OB28" i="2"/>
  <c r="OA28" i="2"/>
  <c r="NZ28" i="2"/>
  <c r="NY28" i="2"/>
  <c r="NX28" i="2"/>
  <c r="NW28" i="2"/>
  <c r="NV28" i="2"/>
  <c r="NU28" i="2"/>
  <c r="NT28" i="2"/>
  <c r="NS28" i="2"/>
  <c r="NR28" i="2"/>
  <c r="NQ28" i="2"/>
  <c r="NP28" i="2"/>
  <c r="NM28" i="2"/>
  <c r="NL28" i="2"/>
  <c r="NK28" i="2"/>
  <c r="NJ28" i="2"/>
  <c r="NI28" i="2"/>
  <c r="NH28" i="2"/>
  <c r="NG28" i="2"/>
  <c r="NF28" i="2"/>
  <c r="NE28" i="2"/>
  <c r="ND28" i="2"/>
  <c r="NC28" i="2"/>
  <c r="NB28" i="2"/>
  <c r="NA28" i="2"/>
  <c r="MZ28" i="2"/>
  <c r="MY28" i="2"/>
  <c r="MX28" i="2"/>
  <c r="MW28" i="2"/>
  <c r="MV28" i="2"/>
  <c r="MU28" i="2"/>
  <c r="MT28" i="2"/>
  <c r="MQ28" i="2"/>
  <c r="MP28" i="2"/>
  <c r="MO28" i="2"/>
  <c r="MN28" i="2"/>
  <c r="MM28" i="2"/>
  <c r="ML28" i="2"/>
  <c r="MK28" i="2"/>
  <c r="MJ28" i="2"/>
  <c r="MI28" i="2"/>
  <c r="MH28" i="2"/>
  <c r="MG28" i="2"/>
  <c r="MF28" i="2"/>
  <c r="ME28" i="2"/>
  <c r="MD28" i="2"/>
  <c r="MC28" i="2"/>
  <c r="MB28" i="2"/>
  <c r="MA28" i="2"/>
  <c r="LZ28" i="2"/>
  <c r="LY28" i="2"/>
  <c r="LX28" i="2"/>
  <c r="LV28" i="2"/>
  <c r="LU28" i="2"/>
  <c r="LT28" i="2"/>
  <c r="LS28" i="2"/>
  <c r="LR28" i="2"/>
  <c r="LQ28" i="2"/>
  <c r="LP28" i="2"/>
  <c r="LO28" i="2"/>
  <c r="LN28" i="2"/>
  <c r="LM28" i="2"/>
  <c r="LL28" i="2"/>
  <c r="LK28" i="2"/>
  <c r="LJ28" i="2"/>
  <c r="LI28" i="2"/>
  <c r="LH28" i="2"/>
  <c r="LG28" i="2"/>
  <c r="LF28" i="2"/>
  <c r="LE28" i="2"/>
  <c r="LD28" i="2"/>
  <c r="LC28" i="2"/>
  <c r="LB28" i="2"/>
  <c r="KZ28" i="2"/>
  <c r="MR28" i="2" s="1"/>
  <c r="KD28" i="2"/>
  <c r="JH28" i="2"/>
  <c r="IL28" i="2"/>
  <c r="HO28" i="2"/>
  <c r="HN28" i="2"/>
  <c r="HM28" i="2"/>
  <c r="HL28" i="2"/>
  <c r="HK28" i="2"/>
  <c r="HJ28" i="2"/>
  <c r="HI28" i="2"/>
  <c r="HH28" i="2"/>
  <c r="HG28" i="2"/>
  <c r="HF28" i="2"/>
  <c r="HE28" i="2"/>
  <c r="HD28" i="2"/>
  <c r="HC28" i="2"/>
  <c r="HB28" i="2"/>
  <c r="HA28" i="2"/>
  <c r="GZ28" i="2"/>
  <c r="GY28" i="2"/>
  <c r="GX28" i="2"/>
  <c r="GW28" i="2"/>
  <c r="GV28" i="2"/>
  <c r="GT28" i="2"/>
  <c r="HP28" i="2" s="1"/>
  <c r="FX28" i="2"/>
  <c r="FW28" i="2"/>
  <c r="FV28" i="2"/>
  <c r="FU28" i="2"/>
  <c r="FT28" i="2"/>
  <c r="FS28" i="2"/>
  <c r="FR28" i="2"/>
  <c r="FQ28" i="2"/>
  <c r="FP28" i="2"/>
  <c r="FO28" i="2"/>
  <c r="FN28" i="2"/>
  <c r="FM28" i="2"/>
  <c r="FL28" i="2"/>
  <c r="FK28" i="2"/>
  <c r="FJ28" i="2"/>
  <c r="FI28" i="2"/>
  <c r="FH28" i="2"/>
  <c r="FG28" i="2"/>
  <c r="FF28" i="2"/>
  <c r="FE28" i="2"/>
  <c r="FD28" i="2"/>
  <c r="FB28" i="2"/>
  <c r="DU28" i="2"/>
  <c r="DY28" i="2" s="1"/>
  <c r="BD28" i="2"/>
  <c r="AZ28" i="2"/>
  <c r="AP28" i="2"/>
  <c r="AK28" i="2"/>
  <c r="AE28" i="2"/>
  <c r="W28" i="2"/>
  <c r="V28" i="2"/>
  <c r="L28" i="2"/>
  <c r="OI27" i="2"/>
  <c r="OH27" i="2"/>
  <c r="OG27" i="2"/>
  <c r="OF27" i="2"/>
  <c r="OE27" i="2"/>
  <c r="OD27" i="2"/>
  <c r="OC27" i="2"/>
  <c r="OB27" i="2"/>
  <c r="OA27" i="2"/>
  <c r="NZ27" i="2"/>
  <c r="NY27" i="2"/>
  <c r="NX27" i="2"/>
  <c r="NW27" i="2"/>
  <c r="NV27" i="2"/>
  <c r="NU27" i="2"/>
  <c r="NT27" i="2"/>
  <c r="NS27" i="2"/>
  <c r="NR27" i="2"/>
  <c r="NQ27" i="2"/>
  <c r="NP27" i="2"/>
  <c r="NN27" i="2"/>
  <c r="NM27" i="2"/>
  <c r="NL27" i="2"/>
  <c r="NK27" i="2"/>
  <c r="NJ27" i="2"/>
  <c r="NI27" i="2"/>
  <c r="NH27" i="2"/>
  <c r="NG27" i="2"/>
  <c r="NF27" i="2"/>
  <c r="NE27" i="2"/>
  <c r="ND27" i="2"/>
  <c r="NC27" i="2"/>
  <c r="NB27" i="2"/>
  <c r="NA27" i="2"/>
  <c r="MZ27" i="2"/>
  <c r="MY27" i="2"/>
  <c r="MX27" i="2"/>
  <c r="MW27" i="2"/>
  <c r="MV27" i="2"/>
  <c r="MU27" i="2"/>
  <c r="MT27" i="2"/>
  <c r="MR27" i="2"/>
  <c r="MQ27" i="2"/>
  <c r="MP27" i="2"/>
  <c r="MO27" i="2"/>
  <c r="MN27" i="2"/>
  <c r="MM27" i="2"/>
  <c r="ML27" i="2"/>
  <c r="MK27" i="2"/>
  <c r="MJ27" i="2"/>
  <c r="MI27" i="2"/>
  <c r="MH27" i="2"/>
  <c r="MG27" i="2"/>
  <c r="MF27" i="2"/>
  <c r="ME27" i="2"/>
  <c r="MD27" i="2"/>
  <c r="MC27" i="2"/>
  <c r="MB27" i="2"/>
  <c r="MA27" i="2"/>
  <c r="LZ27" i="2"/>
  <c r="LY27" i="2"/>
  <c r="LX27" i="2"/>
  <c r="LV27" i="2"/>
  <c r="LU27" i="2"/>
  <c r="LT27" i="2"/>
  <c r="LS27" i="2"/>
  <c r="LR27" i="2"/>
  <c r="LQ27" i="2"/>
  <c r="LP27" i="2"/>
  <c r="LO27" i="2"/>
  <c r="LN27" i="2"/>
  <c r="LM27" i="2"/>
  <c r="LL27" i="2"/>
  <c r="LK27" i="2"/>
  <c r="LJ27" i="2"/>
  <c r="LI27" i="2"/>
  <c r="LH27" i="2"/>
  <c r="LG27" i="2"/>
  <c r="LF27" i="2"/>
  <c r="LE27" i="2"/>
  <c r="LD27" i="2"/>
  <c r="LC27" i="2"/>
  <c r="LB27" i="2"/>
  <c r="KZ27" i="2"/>
  <c r="OJ27" i="2" s="1"/>
  <c r="KD27" i="2"/>
  <c r="JH27" i="2"/>
  <c r="IL27" i="2"/>
  <c r="HP27" i="2"/>
  <c r="HO27" i="2"/>
  <c r="HN27" i="2"/>
  <c r="HM27" i="2"/>
  <c r="HL27" i="2"/>
  <c r="HK27" i="2"/>
  <c r="HJ27" i="2"/>
  <c r="HI27" i="2"/>
  <c r="HH27" i="2"/>
  <c r="HG27" i="2"/>
  <c r="HF27" i="2"/>
  <c r="HE27" i="2"/>
  <c r="HD27" i="2"/>
  <c r="HC27" i="2"/>
  <c r="HB27" i="2"/>
  <c r="HA27" i="2"/>
  <c r="GZ27" i="2"/>
  <c r="GY27" i="2"/>
  <c r="GX27" i="2"/>
  <c r="GW27" i="2"/>
  <c r="GV27" i="2"/>
  <c r="GT27" i="2"/>
  <c r="FX27" i="2"/>
  <c r="FW27" i="2"/>
  <c r="FV27" i="2"/>
  <c r="FU27" i="2"/>
  <c r="FT27" i="2"/>
  <c r="FS27" i="2"/>
  <c r="FR27" i="2"/>
  <c r="FQ27" i="2"/>
  <c r="FP27" i="2"/>
  <c r="FO27" i="2"/>
  <c r="FN27" i="2"/>
  <c r="FM27" i="2"/>
  <c r="FL27" i="2"/>
  <c r="FK27" i="2"/>
  <c r="FJ27" i="2"/>
  <c r="FI27" i="2"/>
  <c r="FH27" i="2"/>
  <c r="FG27" i="2"/>
  <c r="FF27" i="2"/>
  <c r="FE27" i="2"/>
  <c r="FD27" i="2"/>
  <c r="FB27" i="2"/>
  <c r="DY27" i="2"/>
  <c r="DU27" i="2"/>
  <c r="BD27" i="2"/>
  <c r="AZ27" i="2"/>
  <c r="AP27" i="2"/>
  <c r="AK27" i="2"/>
  <c r="AE27" i="2"/>
  <c r="W27" i="2"/>
  <c r="V27" i="2"/>
  <c r="L27" i="2"/>
  <c r="OI26" i="2"/>
  <c r="OH26" i="2"/>
  <c r="OG26" i="2"/>
  <c r="OF26" i="2"/>
  <c r="OE26" i="2"/>
  <c r="OD26" i="2"/>
  <c r="OC26" i="2"/>
  <c r="OB26" i="2"/>
  <c r="OA26" i="2"/>
  <c r="NZ26" i="2"/>
  <c r="NY26" i="2"/>
  <c r="NX26" i="2"/>
  <c r="NW26" i="2"/>
  <c r="NV26" i="2"/>
  <c r="NU26" i="2"/>
  <c r="NT26" i="2"/>
  <c r="NS26" i="2"/>
  <c r="NR26" i="2"/>
  <c r="NQ26" i="2"/>
  <c r="NP26" i="2"/>
  <c r="NM26" i="2"/>
  <c r="NL26" i="2"/>
  <c r="NK26" i="2"/>
  <c r="NJ26" i="2"/>
  <c r="NI26" i="2"/>
  <c r="NH26" i="2"/>
  <c r="NG26" i="2"/>
  <c r="NF26" i="2"/>
  <c r="NE26" i="2"/>
  <c r="ND26" i="2"/>
  <c r="NC26" i="2"/>
  <c r="NB26" i="2"/>
  <c r="NA26" i="2"/>
  <c r="MZ26" i="2"/>
  <c r="MY26" i="2"/>
  <c r="MX26" i="2"/>
  <c r="MW26" i="2"/>
  <c r="MV26" i="2"/>
  <c r="MU26" i="2"/>
  <c r="MT26" i="2"/>
  <c r="MQ26" i="2"/>
  <c r="MP26" i="2"/>
  <c r="MO26" i="2"/>
  <c r="MN26" i="2"/>
  <c r="MM26" i="2"/>
  <c r="ML26" i="2"/>
  <c r="MK26" i="2"/>
  <c r="MJ26" i="2"/>
  <c r="MI26" i="2"/>
  <c r="MH26" i="2"/>
  <c r="MG26" i="2"/>
  <c r="MF26" i="2"/>
  <c r="ME26" i="2"/>
  <c r="MD26" i="2"/>
  <c r="MC26" i="2"/>
  <c r="MB26" i="2"/>
  <c r="MA26" i="2"/>
  <c r="LZ26" i="2"/>
  <c r="LY26" i="2"/>
  <c r="LX26" i="2"/>
  <c r="LU26" i="2"/>
  <c r="LT26" i="2"/>
  <c r="LS26" i="2"/>
  <c r="LR26" i="2"/>
  <c r="LQ26" i="2"/>
  <c r="LP26" i="2"/>
  <c r="LO26" i="2"/>
  <c r="LN26" i="2"/>
  <c r="LM26" i="2"/>
  <c r="LL26" i="2"/>
  <c r="LK26" i="2"/>
  <c r="LJ26" i="2"/>
  <c r="LI26" i="2"/>
  <c r="LH26" i="2"/>
  <c r="LG26" i="2"/>
  <c r="LF26" i="2"/>
  <c r="LE26" i="2"/>
  <c r="LD26" i="2"/>
  <c r="LC26" i="2"/>
  <c r="LB26" i="2"/>
  <c r="KZ26" i="2"/>
  <c r="NN26" i="2" s="1"/>
  <c r="KD26" i="2"/>
  <c r="JH26" i="2"/>
  <c r="IL26" i="2"/>
  <c r="HP26" i="2"/>
  <c r="HO26" i="2"/>
  <c r="HN26" i="2"/>
  <c r="HM26" i="2"/>
  <c r="HL26" i="2"/>
  <c r="HK26" i="2"/>
  <c r="HJ26" i="2"/>
  <c r="HI26" i="2"/>
  <c r="HH26" i="2"/>
  <c r="HG26" i="2"/>
  <c r="HF26" i="2"/>
  <c r="HE26" i="2"/>
  <c r="HD26" i="2"/>
  <c r="HC26" i="2"/>
  <c r="HB26" i="2"/>
  <c r="HA26" i="2"/>
  <c r="GZ26" i="2"/>
  <c r="GY26" i="2"/>
  <c r="GX26" i="2"/>
  <c r="GW26" i="2"/>
  <c r="GV26" i="2"/>
  <c r="GT26" i="2"/>
  <c r="FW26" i="2"/>
  <c r="FV26" i="2"/>
  <c r="FU26" i="2"/>
  <c r="FT26" i="2"/>
  <c r="FS26" i="2"/>
  <c r="FR26" i="2"/>
  <c r="FQ26" i="2"/>
  <c r="FP26" i="2"/>
  <c r="FO26" i="2"/>
  <c r="FN26" i="2"/>
  <c r="FM26" i="2"/>
  <c r="FL26" i="2"/>
  <c r="FK26" i="2"/>
  <c r="FJ26" i="2"/>
  <c r="FI26" i="2"/>
  <c r="FH26" i="2"/>
  <c r="FG26" i="2"/>
  <c r="FF26" i="2"/>
  <c r="FE26" i="2"/>
  <c r="FD26" i="2"/>
  <c r="FB26" i="2"/>
  <c r="FX26" i="2" s="1"/>
  <c r="DU26" i="2"/>
  <c r="DY26" i="2" s="1"/>
  <c r="BD26" i="2"/>
  <c r="AZ26" i="2"/>
  <c r="AP26" i="2"/>
  <c r="AK26" i="2"/>
  <c r="AE26" i="2"/>
  <c r="W26" i="2"/>
  <c r="V26" i="2"/>
  <c r="L26" i="2"/>
  <c r="OI25" i="2"/>
  <c r="OH25" i="2"/>
  <c r="OG25" i="2"/>
  <c r="OF25" i="2"/>
  <c r="OE25" i="2"/>
  <c r="OD25" i="2"/>
  <c r="OC25" i="2"/>
  <c r="OB25" i="2"/>
  <c r="OA25" i="2"/>
  <c r="NZ25" i="2"/>
  <c r="NY25" i="2"/>
  <c r="NX25" i="2"/>
  <c r="NW25" i="2"/>
  <c r="NV25" i="2"/>
  <c r="NU25" i="2"/>
  <c r="NT25" i="2"/>
  <c r="NS25" i="2"/>
  <c r="NR25" i="2"/>
  <c r="NQ25" i="2"/>
  <c r="NP25" i="2"/>
  <c r="NN25" i="2"/>
  <c r="NM25" i="2"/>
  <c r="NL25" i="2"/>
  <c r="NK25" i="2"/>
  <c r="NJ25" i="2"/>
  <c r="NI25" i="2"/>
  <c r="NH25" i="2"/>
  <c r="NG25" i="2"/>
  <c r="NF25" i="2"/>
  <c r="NE25" i="2"/>
  <c r="ND25" i="2"/>
  <c r="NC25" i="2"/>
  <c r="NB25" i="2"/>
  <c r="NA25" i="2"/>
  <c r="MZ25" i="2"/>
  <c r="MY25" i="2"/>
  <c r="MX25" i="2"/>
  <c r="MW25" i="2"/>
  <c r="MV25" i="2"/>
  <c r="MU25" i="2"/>
  <c r="MT25" i="2"/>
  <c r="MR25" i="2"/>
  <c r="MQ25" i="2"/>
  <c r="MP25" i="2"/>
  <c r="MO25" i="2"/>
  <c r="MN25" i="2"/>
  <c r="MM25" i="2"/>
  <c r="ML25" i="2"/>
  <c r="MK25" i="2"/>
  <c r="MJ25" i="2"/>
  <c r="MI25" i="2"/>
  <c r="MH25" i="2"/>
  <c r="MG25" i="2"/>
  <c r="MF25" i="2"/>
  <c r="ME25" i="2"/>
  <c r="MD25" i="2"/>
  <c r="MC25" i="2"/>
  <c r="MB25" i="2"/>
  <c r="MA25" i="2"/>
  <c r="LZ25" i="2"/>
  <c r="LY25" i="2"/>
  <c r="LX25" i="2"/>
  <c r="LV25" i="2"/>
  <c r="LU25" i="2"/>
  <c r="LT25" i="2"/>
  <c r="LS25" i="2"/>
  <c r="LR25" i="2"/>
  <c r="LQ25" i="2"/>
  <c r="LP25" i="2"/>
  <c r="LO25" i="2"/>
  <c r="LN25" i="2"/>
  <c r="LM25" i="2"/>
  <c r="LL25" i="2"/>
  <c r="LK25" i="2"/>
  <c r="LJ25" i="2"/>
  <c r="LI25" i="2"/>
  <c r="LH25" i="2"/>
  <c r="LG25" i="2"/>
  <c r="LF25" i="2"/>
  <c r="LE25" i="2"/>
  <c r="LD25" i="2"/>
  <c r="LC25" i="2"/>
  <c r="LB25" i="2"/>
  <c r="KZ25" i="2"/>
  <c r="OJ25" i="2" s="1"/>
  <c r="KD25" i="2"/>
  <c r="JH25" i="2"/>
  <c r="IL25" i="2"/>
  <c r="HO25" i="2"/>
  <c r="HN25" i="2"/>
  <c r="HM25" i="2"/>
  <c r="HL25" i="2"/>
  <c r="HK25" i="2"/>
  <c r="HJ25" i="2"/>
  <c r="HI25" i="2"/>
  <c r="HH25" i="2"/>
  <c r="HG25" i="2"/>
  <c r="HF25" i="2"/>
  <c r="HE25" i="2"/>
  <c r="HD25" i="2"/>
  <c r="HC25" i="2"/>
  <c r="HB25" i="2"/>
  <c r="HA25" i="2"/>
  <c r="GZ25" i="2"/>
  <c r="GY25" i="2"/>
  <c r="GX25" i="2"/>
  <c r="GW25" i="2"/>
  <c r="GV25" i="2"/>
  <c r="GT25" i="2"/>
  <c r="HP25" i="2" s="1"/>
  <c r="FX25" i="2"/>
  <c r="FW25" i="2"/>
  <c r="FV25" i="2"/>
  <c r="FU25" i="2"/>
  <c r="FT25" i="2"/>
  <c r="FS25" i="2"/>
  <c r="FR25" i="2"/>
  <c r="FQ25" i="2"/>
  <c r="FP25" i="2"/>
  <c r="FO25" i="2"/>
  <c r="FN25" i="2"/>
  <c r="FM25" i="2"/>
  <c r="FL25" i="2"/>
  <c r="FK25" i="2"/>
  <c r="FJ25" i="2"/>
  <c r="FI25" i="2"/>
  <c r="FH25" i="2"/>
  <c r="FG25" i="2"/>
  <c r="FF25" i="2"/>
  <c r="FE25" i="2"/>
  <c r="FD25" i="2"/>
  <c r="FB25" i="2"/>
  <c r="DU25" i="2"/>
  <c r="DY25" i="2" s="1"/>
  <c r="BD25" i="2"/>
  <c r="AZ25" i="2"/>
  <c r="AP25" i="2"/>
  <c r="AK25" i="2"/>
  <c r="AE25" i="2"/>
  <c r="W25" i="2"/>
  <c r="V25" i="2"/>
  <c r="L25" i="2"/>
  <c r="OI24" i="2"/>
  <c r="OH24" i="2"/>
  <c r="OG24" i="2"/>
  <c r="OF24" i="2"/>
  <c r="OE24" i="2"/>
  <c r="OD24" i="2"/>
  <c r="OC24" i="2"/>
  <c r="OB24" i="2"/>
  <c r="OA24" i="2"/>
  <c r="NZ24" i="2"/>
  <c r="NY24" i="2"/>
  <c r="NX24" i="2"/>
  <c r="NW24" i="2"/>
  <c r="NV24" i="2"/>
  <c r="NU24" i="2"/>
  <c r="NT24" i="2"/>
  <c r="NS24" i="2"/>
  <c r="NR24" i="2"/>
  <c r="NQ24" i="2"/>
  <c r="NP24" i="2"/>
  <c r="NN24" i="2"/>
  <c r="NM24" i="2"/>
  <c r="NL24" i="2"/>
  <c r="NK24" i="2"/>
  <c r="NJ24" i="2"/>
  <c r="NI24" i="2"/>
  <c r="NH24" i="2"/>
  <c r="NG24" i="2"/>
  <c r="NF24" i="2"/>
  <c r="NE24" i="2"/>
  <c r="ND24" i="2"/>
  <c r="NC24" i="2"/>
  <c r="NB24" i="2"/>
  <c r="NA24" i="2"/>
  <c r="MZ24" i="2"/>
  <c r="MY24" i="2"/>
  <c r="MX24" i="2"/>
  <c r="MW24" i="2"/>
  <c r="MV24" i="2"/>
  <c r="MU24" i="2"/>
  <c r="MT24" i="2"/>
  <c r="MQ24" i="2"/>
  <c r="MP24" i="2"/>
  <c r="MO24" i="2"/>
  <c r="MN24" i="2"/>
  <c r="MM24" i="2"/>
  <c r="ML24" i="2"/>
  <c r="MK24" i="2"/>
  <c r="MJ24" i="2"/>
  <c r="MI24" i="2"/>
  <c r="MH24" i="2"/>
  <c r="MG24" i="2"/>
  <c r="MF24" i="2"/>
  <c r="ME24" i="2"/>
  <c r="MD24" i="2"/>
  <c r="MC24" i="2"/>
  <c r="MB24" i="2"/>
  <c r="MA24" i="2"/>
  <c r="LZ24" i="2"/>
  <c r="LY24" i="2"/>
  <c r="LX24" i="2"/>
  <c r="LV24" i="2"/>
  <c r="LU24" i="2"/>
  <c r="LT24" i="2"/>
  <c r="LS24" i="2"/>
  <c r="LR24" i="2"/>
  <c r="LQ24" i="2"/>
  <c r="LP24" i="2"/>
  <c r="LO24" i="2"/>
  <c r="LN24" i="2"/>
  <c r="LM24" i="2"/>
  <c r="LL24" i="2"/>
  <c r="LK24" i="2"/>
  <c r="LJ24" i="2"/>
  <c r="LI24" i="2"/>
  <c r="LH24" i="2"/>
  <c r="LG24" i="2"/>
  <c r="LF24" i="2"/>
  <c r="LE24" i="2"/>
  <c r="LD24" i="2"/>
  <c r="LC24" i="2"/>
  <c r="LB24" i="2"/>
  <c r="KZ24" i="2"/>
  <c r="MR24" i="2" s="1"/>
  <c r="KD24" i="2"/>
  <c r="JH24" i="2"/>
  <c r="IL24" i="2"/>
  <c r="HP24" i="2"/>
  <c r="HO24" i="2"/>
  <c r="HN24" i="2"/>
  <c r="HM24" i="2"/>
  <c r="HL24" i="2"/>
  <c r="HK24" i="2"/>
  <c r="HJ24" i="2"/>
  <c r="HI24" i="2"/>
  <c r="HH24" i="2"/>
  <c r="HG24" i="2"/>
  <c r="HF24" i="2"/>
  <c r="HE24" i="2"/>
  <c r="HD24" i="2"/>
  <c r="HC24" i="2"/>
  <c r="HB24" i="2"/>
  <c r="HA24" i="2"/>
  <c r="GZ24" i="2"/>
  <c r="GY24" i="2"/>
  <c r="GX24" i="2"/>
  <c r="GW24" i="2"/>
  <c r="GV24" i="2"/>
  <c r="GT24" i="2"/>
  <c r="FW24" i="2"/>
  <c r="FV24" i="2"/>
  <c r="FU24" i="2"/>
  <c r="FT24" i="2"/>
  <c r="FS24" i="2"/>
  <c r="FR24" i="2"/>
  <c r="FQ24" i="2"/>
  <c r="FP24" i="2"/>
  <c r="FO24" i="2"/>
  <c r="FN24" i="2"/>
  <c r="FM24" i="2"/>
  <c r="FL24" i="2"/>
  <c r="FK24" i="2"/>
  <c r="FJ24" i="2"/>
  <c r="FI24" i="2"/>
  <c r="FH24" i="2"/>
  <c r="FG24" i="2"/>
  <c r="FF24" i="2"/>
  <c r="FE24" i="2"/>
  <c r="FD24" i="2"/>
  <c r="FB24" i="2"/>
  <c r="FX24" i="2" s="1"/>
  <c r="DY24" i="2"/>
  <c r="DU24" i="2"/>
  <c r="BD24" i="2"/>
  <c r="AZ24" i="2"/>
  <c r="AP24" i="2"/>
  <c r="AK24" i="2"/>
  <c r="AE24" i="2"/>
  <c r="W24" i="2"/>
  <c r="V24" i="2"/>
  <c r="L24" i="2"/>
  <c r="OI23" i="2"/>
  <c r="OH23" i="2"/>
  <c r="OG23" i="2"/>
  <c r="OF23" i="2"/>
  <c r="OE23" i="2"/>
  <c r="OD23" i="2"/>
  <c r="OC23" i="2"/>
  <c r="OB23" i="2"/>
  <c r="OA23" i="2"/>
  <c r="NZ23" i="2"/>
  <c r="NY23" i="2"/>
  <c r="NX23" i="2"/>
  <c r="NW23" i="2"/>
  <c r="NV23" i="2"/>
  <c r="NU23" i="2"/>
  <c r="NT23" i="2"/>
  <c r="NS23" i="2"/>
  <c r="NR23" i="2"/>
  <c r="NQ23" i="2"/>
  <c r="NP23" i="2"/>
  <c r="NM23" i="2"/>
  <c r="NL23" i="2"/>
  <c r="NK23" i="2"/>
  <c r="NJ23" i="2"/>
  <c r="NI23" i="2"/>
  <c r="NH23" i="2"/>
  <c r="NG23" i="2"/>
  <c r="NF23" i="2"/>
  <c r="NE23" i="2"/>
  <c r="ND23" i="2"/>
  <c r="NC23" i="2"/>
  <c r="NB23" i="2"/>
  <c r="NA23" i="2"/>
  <c r="MZ23" i="2"/>
  <c r="MY23" i="2"/>
  <c r="MX23" i="2"/>
  <c r="MW23" i="2"/>
  <c r="MV23" i="2"/>
  <c r="MU23" i="2"/>
  <c r="MT23" i="2"/>
  <c r="MQ23" i="2"/>
  <c r="MP23" i="2"/>
  <c r="MO23" i="2"/>
  <c r="MN23" i="2"/>
  <c r="MM23" i="2"/>
  <c r="ML23" i="2"/>
  <c r="MK23" i="2"/>
  <c r="MJ23" i="2"/>
  <c r="MI23" i="2"/>
  <c r="MH23" i="2"/>
  <c r="MG23" i="2"/>
  <c r="MF23" i="2"/>
  <c r="ME23" i="2"/>
  <c r="MD23" i="2"/>
  <c r="MC23" i="2"/>
  <c r="MB23" i="2"/>
  <c r="MA23" i="2"/>
  <c r="LZ23" i="2"/>
  <c r="LY23" i="2"/>
  <c r="LX23" i="2"/>
  <c r="LU23" i="2"/>
  <c r="LT23" i="2"/>
  <c r="LS23" i="2"/>
  <c r="LR23" i="2"/>
  <c r="LQ23" i="2"/>
  <c r="LP23" i="2"/>
  <c r="LO23" i="2"/>
  <c r="LN23" i="2"/>
  <c r="LM23" i="2"/>
  <c r="LL23" i="2"/>
  <c r="LK23" i="2"/>
  <c r="LJ23" i="2"/>
  <c r="LI23" i="2"/>
  <c r="LH23" i="2"/>
  <c r="LG23" i="2"/>
  <c r="LF23" i="2"/>
  <c r="LE23" i="2"/>
  <c r="LD23" i="2"/>
  <c r="LC23" i="2"/>
  <c r="LB23" i="2"/>
  <c r="KZ23" i="2"/>
  <c r="LV23" i="2" s="1"/>
  <c r="KD23" i="2"/>
  <c r="JH23" i="2"/>
  <c r="IL23" i="2"/>
  <c r="HO23" i="2"/>
  <c r="HN23" i="2"/>
  <c r="HM23" i="2"/>
  <c r="HL23" i="2"/>
  <c r="HK23" i="2"/>
  <c r="HJ23" i="2"/>
  <c r="HI23" i="2"/>
  <c r="HH23" i="2"/>
  <c r="HG23" i="2"/>
  <c r="HF23" i="2"/>
  <c r="HE23" i="2"/>
  <c r="HD23" i="2"/>
  <c r="HC23" i="2"/>
  <c r="HB23" i="2"/>
  <c r="HA23" i="2"/>
  <c r="GZ23" i="2"/>
  <c r="GY23" i="2"/>
  <c r="GX23" i="2"/>
  <c r="GW23" i="2"/>
  <c r="GV23" i="2"/>
  <c r="GT23" i="2"/>
  <c r="HP23" i="2" s="1"/>
  <c r="FW23" i="2"/>
  <c r="FV23" i="2"/>
  <c r="FU23" i="2"/>
  <c r="FT23" i="2"/>
  <c r="FS23" i="2"/>
  <c r="FR23" i="2"/>
  <c r="FQ23" i="2"/>
  <c r="FP23" i="2"/>
  <c r="FO23" i="2"/>
  <c r="FN23" i="2"/>
  <c r="FM23" i="2"/>
  <c r="FL23" i="2"/>
  <c r="FK23" i="2"/>
  <c r="FJ23" i="2"/>
  <c r="FI23" i="2"/>
  <c r="FH23" i="2"/>
  <c r="FG23" i="2"/>
  <c r="FF23" i="2"/>
  <c r="FE23" i="2"/>
  <c r="FD23" i="2"/>
  <c r="FB23" i="2"/>
  <c r="FX23" i="2" s="1"/>
  <c r="DU23" i="2"/>
  <c r="DY23" i="2" s="1"/>
  <c r="BD23" i="2"/>
  <c r="AZ23" i="2"/>
  <c r="AP23" i="2"/>
  <c r="AK23" i="2"/>
  <c r="AE23" i="2"/>
  <c r="W23" i="2"/>
  <c r="V23" i="2"/>
  <c r="L23" i="2"/>
  <c r="OI22" i="2"/>
  <c r="OH22" i="2"/>
  <c r="OG22" i="2"/>
  <c r="OF22" i="2"/>
  <c r="OE22" i="2"/>
  <c r="OD22" i="2"/>
  <c r="OC22" i="2"/>
  <c r="OB22" i="2"/>
  <c r="OA22" i="2"/>
  <c r="NZ22" i="2"/>
  <c r="NY22" i="2"/>
  <c r="NX22" i="2"/>
  <c r="NW22" i="2"/>
  <c r="NV22" i="2"/>
  <c r="NU22" i="2"/>
  <c r="NT22" i="2"/>
  <c r="NS22" i="2"/>
  <c r="NR22" i="2"/>
  <c r="NQ22" i="2"/>
  <c r="NP22" i="2"/>
  <c r="NM22" i="2"/>
  <c r="NL22" i="2"/>
  <c r="NK22" i="2"/>
  <c r="NJ22" i="2"/>
  <c r="NI22" i="2"/>
  <c r="NH22" i="2"/>
  <c r="NG22" i="2"/>
  <c r="NF22" i="2"/>
  <c r="NE22" i="2"/>
  <c r="ND22" i="2"/>
  <c r="NC22" i="2"/>
  <c r="NB22" i="2"/>
  <c r="NA22" i="2"/>
  <c r="MZ22" i="2"/>
  <c r="MY22" i="2"/>
  <c r="MX22" i="2"/>
  <c r="MW22" i="2"/>
  <c r="MV22" i="2"/>
  <c r="MU22" i="2"/>
  <c r="MT22" i="2"/>
  <c r="MQ22" i="2"/>
  <c r="MP22" i="2"/>
  <c r="MO22" i="2"/>
  <c r="MN22" i="2"/>
  <c r="MM22" i="2"/>
  <c r="ML22" i="2"/>
  <c r="MK22" i="2"/>
  <c r="MJ22" i="2"/>
  <c r="MI22" i="2"/>
  <c r="MH22" i="2"/>
  <c r="MG22" i="2"/>
  <c r="MF22" i="2"/>
  <c r="ME22" i="2"/>
  <c r="MD22" i="2"/>
  <c r="MC22" i="2"/>
  <c r="MB22" i="2"/>
  <c r="MA22" i="2"/>
  <c r="LZ22" i="2"/>
  <c r="LY22" i="2"/>
  <c r="LX22" i="2"/>
  <c r="LV22" i="2"/>
  <c r="LU22" i="2"/>
  <c r="LT22" i="2"/>
  <c r="LS22" i="2"/>
  <c r="LR22" i="2"/>
  <c r="LQ22" i="2"/>
  <c r="LP22" i="2"/>
  <c r="LO22" i="2"/>
  <c r="LN22" i="2"/>
  <c r="LM22" i="2"/>
  <c r="LL22" i="2"/>
  <c r="LK22" i="2"/>
  <c r="LJ22" i="2"/>
  <c r="LI22" i="2"/>
  <c r="LH22" i="2"/>
  <c r="LG22" i="2"/>
  <c r="LF22" i="2"/>
  <c r="LE22" i="2"/>
  <c r="LD22" i="2"/>
  <c r="LC22" i="2"/>
  <c r="LB22" i="2"/>
  <c r="KZ22" i="2"/>
  <c r="MR22" i="2" s="1"/>
  <c r="KD22" i="2"/>
  <c r="JH22" i="2"/>
  <c r="IL22" i="2"/>
  <c r="HO22" i="2"/>
  <c r="HN22" i="2"/>
  <c r="HM22" i="2"/>
  <c r="HL22" i="2"/>
  <c r="HK22" i="2"/>
  <c r="HJ22" i="2"/>
  <c r="HI22" i="2"/>
  <c r="HH22" i="2"/>
  <c r="HG22" i="2"/>
  <c r="HF22" i="2"/>
  <c r="HE22" i="2"/>
  <c r="HD22" i="2"/>
  <c r="HC22" i="2"/>
  <c r="HB22" i="2"/>
  <c r="HA22" i="2"/>
  <c r="GZ22" i="2"/>
  <c r="GY22" i="2"/>
  <c r="GX22" i="2"/>
  <c r="GW22" i="2"/>
  <c r="GV22" i="2"/>
  <c r="GT22" i="2"/>
  <c r="HP22" i="2" s="1"/>
  <c r="FX22" i="2"/>
  <c r="FW22" i="2"/>
  <c r="FV22" i="2"/>
  <c r="FU22" i="2"/>
  <c r="FT22" i="2"/>
  <c r="FS22" i="2"/>
  <c r="FR22" i="2"/>
  <c r="FQ22" i="2"/>
  <c r="FP22" i="2"/>
  <c r="FO22" i="2"/>
  <c r="FN22" i="2"/>
  <c r="FM22" i="2"/>
  <c r="FL22" i="2"/>
  <c r="FK22" i="2"/>
  <c r="FJ22" i="2"/>
  <c r="FI22" i="2"/>
  <c r="FH22" i="2"/>
  <c r="FG22" i="2"/>
  <c r="FF22" i="2"/>
  <c r="FE22" i="2"/>
  <c r="FD22" i="2"/>
  <c r="FB22" i="2"/>
  <c r="DU22" i="2"/>
  <c r="DY22" i="2" s="1"/>
  <c r="BD22" i="2"/>
  <c r="AZ22" i="2"/>
  <c r="AP22" i="2"/>
  <c r="AK22" i="2"/>
  <c r="AE22" i="2"/>
  <c r="W22" i="2"/>
  <c r="V22" i="2"/>
  <c r="L22" i="2"/>
  <c r="OI21" i="2"/>
  <c r="OH21" i="2"/>
  <c r="OG21" i="2"/>
  <c r="OF21" i="2"/>
  <c r="OE21" i="2"/>
  <c r="OD21" i="2"/>
  <c r="OC21" i="2"/>
  <c r="OB21" i="2"/>
  <c r="OA21" i="2"/>
  <c r="NZ21" i="2"/>
  <c r="NY21" i="2"/>
  <c r="NX21" i="2"/>
  <c r="NW21" i="2"/>
  <c r="NV21" i="2"/>
  <c r="NU21" i="2"/>
  <c r="NT21" i="2"/>
  <c r="NS21" i="2"/>
  <c r="NR21" i="2"/>
  <c r="NQ21" i="2"/>
  <c r="NP21" i="2"/>
  <c r="NN21" i="2"/>
  <c r="NM21" i="2"/>
  <c r="NL21" i="2"/>
  <c r="NK21" i="2"/>
  <c r="NJ21" i="2"/>
  <c r="NI21" i="2"/>
  <c r="NH21" i="2"/>
  <c r="NG21" i="2"/>
  <c r="NF21" i="2"/>
  <c r="NE21" i="2"/>
  <c r="ND21" i="2"/>
  <c r="NC21" i="2"/>
  <c r="NB21" i="2"/>
  <c r="NA21" i="2"/>
  <c r="MZ21" i="2"/>
  <c r="MY21" i="2"/>
  <c r="MX21" i="2"/>
  <c r="MW21" i="2"/>
  <c r="MV21" i="2"/>
  <c r="MU21" i="2"/>
  <c r="MT21" i="2"/>
  <c r="MQ21" i="2"/>
  <c r="MP21" i="2"/>
  <c r="MO21" i="2"/>
  <c r="MN21" i="2"/>
  <c r="MM21" i="2"/>
  <c r="ML21" i="2"/>
  <c r="MK21" i="2"/>
  <c r="MJ21" i="2"/>
  <c r="MI21" i="2"/>
  <c r="MH21" i="2"/>
  <c r="MG21" i="2"/>
  <c r="MF21" i="2"/>
  <c r="ME21" i="2"/>
  <c r="MD21" i="2"/>
  <c r="MC21" i="2"/>
  <c r="MB21" i="2"/>
  <c r="MA21" i="2"/>
  <c r="LZ21" i="2"/>
  <c r="LY21" i="2"/>
  <c r="LX21" i="2"/>
  <c r="LV21" i="2"/>
  <c r="LU21" i="2"/>
  <c r="LT21" i="2"/>
  <c r="LS21" i="2"/>
  <c r="LR21" i="2"/>
  <c r="LQ21" i="2"/>
  <c r="LP21" i="2"/>
  <c r="LO21" i="2"/>
  <c r="LN21" i="2"/>
  <c r="LM21" i="2"/>
  <c r="LL21" i="2"/>
  <c r="LK21" i="2"/>
  <c r="LJ21" i="2"/>
  <c r="LI21" i="2"/>
  <c r="LH21" i="2"/>
  <c r="LG21" i="2"/>
  <c r="LF21" i="2"/>
  <c r="LE21" i="2"/>
  <c r="LD21" i="2"/>
  <c r="LC21" i="2"/>
  <c r="LB21" i="2"/>
  <c r="KZ21" i="2"/>
  <c r="OJ21" i="2" s="1"/>
  <c r="KD21" i="2"/>
  <c r="JH21" i="2"/>
  <c r="IL21" i="2"/>
  <c r="HP21" i="2"/>
  <c r="HO21" i="2"/>
  <c r="HN21" i="2"/>
  <c r="HM21" i="2"/>
  <c r="HL21" i="2"/>
  <c r="HK21" i="2"/>
  <c r="HJ21" i="2"/>
  <c r="HI21" i="2"/>
  <c r="HH21" i="2"/>
  <c r="HG21" i="2"/>
  <c r="HF21" i="2"/>
  <c r="HE21" i="2"/>
  <c r="HD21" i="2"/>
  <c r="HC21" i="2"/>
  <c r="HB21" i="2"/>
  <c r="HA21" i="2"/>
  <c r="GZ21" i="2"/>
  <c r="GY21" i="2"/>
  <c r="GX21" i="2"/>
  <c r="GW21" i="2"/>
  <c r="GV21" i="2"/>
  <c r="GT21" i="2"/>
  <c r="FX21" i="2"/>
  <c r="FW21" i="2"/>
  <c r="FV21" i="2"/>
  <c r="FU21" i="2"/>
  <c r="FT21" i="2"/>
  <c r="FS21" i="2"/>
  <c r="FR21" i="2"/>
  <c r="FQ21" i="2"/>
  <c r="FP21" i="2"/>
  <c r="FO21" i="2"/>
  <c r="FN21" i="2"/>
  <c r="FM21" i="2"/>
  <c r="FL21" i="2"/>
  <c r="FK21" i="2"/>
  <c r="FJ21" i="2"/>
  <c r="FI21" i="2"/>
  <c r="FH21" i="2"/>
  <c r="FG21" i="2"/>
  <c r="FF21" i="2"/>
  <c r="FE21" i="2"/>
  <c r="FD21" i="2"/>
  <c r="FB21" i="2"/>
  <c r="DY21" i="2"/>
  <c r="DU21" i="2"/>
  <c r="BD21" i="2"/>
  <c r="AZ21" i="2"/>
  <c r="AP21" i="2"/>
  <c r="AK21" i="2"/>
  <c r="AE21" i="2"/>
  <c r="W21" i="2"/>
  <c r="V21" i="2"/>
  <c r="L21" i="2"/>
  <c r="OI20" i="2"/>
  <c r="OH20" i="2"/>
  <c r="OG20" i="2"/>
  <c r="OF20" i="2"/>
  <c r="OE20" i="2"/>
  <c r="OD20" i="2"/>
  <c r="OC20" i="2"/>
  <c r="OB20" i="2"/>
  <c r="OA20" i="2"/>
  <c r="NZ20" i="2"/>
  <c r="NY20" i="2"/>
  <c r="NX20" i="2"/>
  <c r="NW20" i="2"/>
  <c r="NV20" i="2"/>
  <c r="NU20" i="2"/>
  <c r="NT20" i="2"/>
  <c r="NS20" i="2"/>
  <c r="NR20" i="2"/>
  <c r="NQ20" i="2"/>
  <c r="NP20" i="2"/>
  <c r="NM20" i="2"/>
  <c r="NL20" i="2"/>
  <c r="NK20" i="2"/>
  <c r="NJ20" i="2"/>
  <c r="NI20" i="2"/>
  <c r="NH20" i="2"/>
  <c r="NG20" i="2"/>
  <c r="NF20" i="2"/>
  <c r="NE20" i="2"/>
  <c r="ND20" i="2"/>
  <c r="NC20" i="2"/>
  <c r="NB20" i="2"/>
  <c r="NA20" i="2"/>
  <c r="MZ20" i="2"/>
  <c r="MY20" i="2"/>
  <c r="MX20" i="2"/>
  <c r="MW20" i="2"/>
  <c r="MV20" i="2"/>
  <c r="MU20" i="2"/>
  <c r="MT20" i="2"/>
  <c r="MQ20" i="2"/>
  <c r="MP20" i="2"/>
  <c r="MO20" i="2"/>
  <c r="MN20" i="2"/>
  <c r="MM20" i="2"/>
  <c r="ML20" i="2"/>
  <c r="MK20" i="2"/>
  <c r="MJ20" i="2"/>
  <c r="MI20" i="2"/>
  <c r="MH20" i="2"/>
  <c r="MG20" i="2"/>
  <c r="MF20" i="2"/>
  <c r="ME20" i="2"/>
  <c r="MD20" i="2"/>
  <c r="MC20" i="2"/>
  <c r="MB20" i="2"/>
  <c r="MA20" i="2"/>
  <c r="LZ20" i="2"/>
  <c r="LY20" i="2"/>
  <c r="LX20" i="2"/>
  <c r="LU20" i="2"/>
  <c r="LT20" i="2"/>
  <c r="LS20" i="2"/>
  <c r="LR20" i="2"/>
  <c r="LQ20" i="2"/>
  <c r="LP20" i="2"/>
  <c r="LO20" i="2"/>
  <c r="LN20" i="2"/>
  <c r="LM20" i="2"/>
  <c r="LL20" i="2"/>
  <c r="LK20" i="2"/>
  <c r="LJ20" i="2"/>
  <c r="LI20" i="2"/>
  <c r="LH20" i="2"/>
  <c r="LG20" i="2"/>
  <c r="LF20" i="2"/>
  <c r="LE20" i="2"/>
  <c r="LD20" i="2"/>
  <c r="LC20" i="2"/>
  <c r="LB20" i="2"/>
  <c r="KZ20" i="2"/>
  <c r="NN20" i="2" s="1"/>
  <c r="KD20" i="2"/>
  <c r="JH20" i="2"/>
  <c r="IL20" i="2"/>
  <c r="HP20" i="2"/>
  <c r="HO20" i="2"/>
  <c r="HN20" i="2"/>
  <c r="HM20" i="2"/>
  <c r="HL20" i="2"/>
  <c r="HK20" i="2"/>
  <c r="HJ20" i="2"/>
  <c r="HI20" i="2"/>
  <c r="HH20" i="2"/>
  <c r="HG20" i="2"/>
  <c r="HF20" i="2"/>
  <c r="HE20" i="2"/>
  <c r="HD20" i="2"/>
  <c r="HC20" i="2"/>
  <c r="HB20" i="2"/>
  <c r="HA20" i="2"/>
  <c r="GZ20" i="2"/>
  <c r="GY20" i="2"/>
  <c r="GX20" i="2"/>
  <c r="GW20" i="2"/>
  <c r="GV20" i="2"/>
  <c r="GT20" i="2"/>
  <c r="FW20" i="2"/>
  <c r="FV20" i="2"/>
  <c r="FU20" i="2"/>
  <c r="FT20" i="2"/>
  <c r="FS20" i="2"/>
  <c r="FR20" i="2"/>
  <c r="FQ20" i="2"/>
  <c r="FP20" i="2"/>
  <c r="FO20" i="2"/>
  <c r="FN20" i="2"/>
  <c r="FM20" i="2"/>
  <c r="FL20" i="2"/>
  <c r="FK20" i="2"/>
  <c r="FJ20" i="2"/>
  <c r="FI20" i="2"/>
  <c r="FH20" i="2"/>
  <c r="FG20" i="2"/>
  <c r="FF20" i="2"/>
  <c r="FE20" i="2"/>
  <c r="FD20" i="2"/>
  <c r="FB20" i="2"/>
  <c r="FX20" i="2" s="1"/>
  <c r="DU20" i="2"/>
  <c r="DY20" i="2" s="1"/>
  <c r="BD20" i="2"/>
  <c r="AZ20" i="2"/>
  <c r="AP20" i="2"/>
  <c r="AK20" i="2"/>
  <c r="AE20" i="2"/>
  <c r="W20" i="2"/>
  <c r="V20" i="2"/>
  <c r="L20" i="2"/>
  <c r="OI19" i="2"/>
  <c r="OH19" i="2"/>
  <c r="OG19" i="2"/>
  <c r="OF19" i="2"/>
  <c r="OE19" i="2"/>
  <c r="OD19" i="2"/>
  <c r="OC19" i="2"/>
  <c r="OB19" i="2"/>
  <c r="OA19" i="2"/>
  <c r="NZ19" i="2"/>
  <c r="NY19" i="2"/>
  <c r="NX19" i="2"/>
  <c r="NW19" i="2"/>
  <c r="NV19" i="2"/>
  <c r="NU19" i="2"/>
  <c r="NT19" i="2"/>
  <c r="NS19" i="2"/>
  <c r="NR19" i="2"/>
  <c r="NQ19" i="2"/>
  <c r="NP19" i="2"/>
  <c r="NN19" i="2"/>
  <c r="NM19" i="2"/>
  <c r="NL19" i="2"/>
  <c r="NK19" i="2"/>
  <c r="NJ19" i="2"/>
  <c r="NI19" i="2"/>
  <c r="NH19" i="2"/>
  <c r="NG19" i="2"/>
  <c r="NF19" i="2"/>
  <c r="NE19" i="2"/>
  <c r="ND19" i="2"/>
  <c r="NC19" i="2"/>
  <c r="NB19" i="2"/>
  <c r="NA19" i="2"/>
  <c r="MZ19" i="2"/>
  <c r="MY19" i="2"/>
  <c r="MX19" i="2"/>
  <c r="MW19" i="2"/>
  <c r="MV19" i="2"/>
  <c r="MU19" i="2"/>
  <c r="MT19" i="2"/>
  <c r="MR19" i="2"/>
  <c r="MQ19" i="2"/>
  <c r="MP19" i="2"/>
  <c r="MO19" i="2"/>
  <c r="MN19" i="2"/>
  <c r="MM19" i="2"/>
  <c r="ML19" i="2"/>
  <c r="MK19" i="2"/>
  <c r="MJ19" i="2"/>
  <c r="MI19" i="2"/>
  <c r="MH19" i="2"/>
  <c r="MG19" i="2"/>
  <c r="MF19" i="2"/>
  <c r="ME19" i="2"/>
  <c r="MD19" i="2"/>
  <c r="MC19" i="2"/>
  <c r="MB19" i="2"/>
  <c r="MA19" i="2"/>
  <c r="LZ19" i="2"/>
  <c r="LY19" i="2"/>
  <c r="LX19" i="2"/>
  <c r="LV19" i="2"/>
  <c r="LU19" i="2"/>
  <c r="LT19" i="2"/>
  <c r="LS19" i="2"/>
  <c r="LR19" i="2"/>
  <c r="LQ19" i="2"/>
  <c r="LP19" i="2"/>
  <c r="LO19" i="2"/>
  <c r="LN19" i="2"/>
  <c r="LM19" i="2"/>
  <c r="LL19" i="2"/>
  <c r="LK19" i="2"/>
  <c r="LJ19" i="2"/>
  <c r="LI19" i="2"/>
  <c r="LH19" i="2"/>
  <c r="LG19" i="2"/>
  <c r="LF19" i="2"/>
  <c r="LE19" i="2"/>
  <c r="LD19" i="2"/>
  <c r="LC19" i="2"/>
  <c r="LB19" i="2"/>
  <c r="KZ19" i="2"/>
  <c r="OJ19" i="2" s="1"/>
  <c r="KD19" i="2"/>
  <c r="JH19" i="2"/>
  <c r="IL19" i="2"/>
  <c r="HO19" i="2"/>
  <c r="HN19" i="2"/>
  <c r="HM19" i="2"/>
  <c r="HL19" i="2"/>
  <c r="HK19" i="2"/>
  <c r="HJ19" i="2"/>
  <c r="HI19" i="2"/>
  <c r="HH19" i="2"/>
  <c r="HG19" i="2"/>
  <c r="HF19" i="2"/>
  <c r="HE19" i="2"/>
  <c r="HD19" i="2"/>
  <c r="HC19" i="2"/>
  <c r="HB19" i="2"/>
  <c r="HA19" i="2"/>
  <c r="GZ19" i="2"/>
  <c r="GY19" i="2"/>
  <c r="GX19" i="2"/>
  <c r="GW19" i="2"/>
  <c r="GV19" i="2"/>
  <c r="GT19" i="2"/>
  <c r="HP19" i="2" s="1"/>
  <c r="FW19" i="2"/>
  <c r="FV19" i="2"/>
  <c r="FU19" i="2"/>
  <c r="FT19" i="2"/>
  <c r="FS19" i="2"/>
  <c r="FR19" i="2"/>
  <c r="FQ19" i="2"/>
  <c r="FP19" i="2"/>
  <c r="FO19" i="2"/>
  <c r="FN19" i="2"/>
  <c r="FM19" i="2"/>
  <c r="FL19" i="2"/>
  <c r="FK19" i="2"/>
  <c r="FJ19" i="2"/>
  <c r="FI19" i="2"/>
  <c r="FH19" i="2"/>
  <c r="FG19" i="2"/>
  <c r="FF19" i="2"/>
  <c r="FE19" i="2"/>
  <c r="FD19" i="2"/>
  <c r="FB19" i="2"/>
  <c r="FX19" i="2" s="1"/>
  <c r="DU19" i="2"/>
  <c r="DY19" i="2" s="1"/>
  <c r="BD19" i="2"/>
  <c r="AZ19" i="2"/>
  <c r="AP19" i="2"/>
  <c r="AK19" i="2"/>
  <c r="AE19" i="2"/>
  <c r="W19" i="2"/>
  <c r="V19" i="2"/>
  <c r="L19" i="2"/>
  <c r="OI18" i="2"/>
  <c r="OH18" i="2"/>
  <c r="OG18" i="2"/>
  <c r="OF18" i="2"/>
  <c r="OE18" i="2"/>
  <c r="OD18" i="2"/>
  <c r="OC18" i="2"/>
  <c r="OB18" i="2"/>
  <c r="OA18" i="2"/>
  <c r="NZ18" i="2"/>
  <c r="NY18" i="2"/>
  <c r="NX18" i="2"/>
  <c r="NW18" i="2"/>
  <c r="NV18" i="2"/>
  <c r="NU18" i="2"/>
  <c r="NT18" i="2"/>
  <c r="NS18" i="2"/>
  <c r="NR18" i="2"/>
  <c r="NQ18" i="2"/>
  <c r="NP18" i="2"/>
  <c r="NN18" i="2"/>
  <c r="NM18" i="2"/>
  <c r="NL18" i="2"/>
  <c r="NK18" i="2"/>
  <c r="NJ18" i="2"/>
  <c r="NI18" i="2"/>
  <c r="NH18" i="2"/>
  <c r="NG18" i="2"/>
  <c r="NF18" i="2"/>
  <c r="NE18" i="2"/>
  <c r="ND18" i="2"/>
  <c r="NC18" i="2"/>
  <c r="NB18" i="2"/>
  <c r="NA18" i="2"/>
  <c r="MZ18" i="2"/>
  <c r="MY18" i="2"/>
  <c r="MX18" i="2"/>
  <c r="MW18" i="2"/>
  <c r="MV18" i="2"/>
  <c r="MU18" i="2"/>
  <c r="MT18" i="2"/>
  <c r="MQ18" i="2"/>
  <c r="MP18" i="2"/>
  <c r="MO18" i="2"/>
  <c r="MN18" i="2"/>
  <c r="MM18" i="2"/>
  <c r="ML18" i="2"/>
  <c r="MK18" i="2"/>
  <c r="MJ18" i="2"/>
  <c r="MI18" i="2"/>
  <c r="MH18" i="2"/>
  <c r="MG18" i="2"/>
  <c r="MF18" i="2"/>
  <c r="ME18" i="2"/>
  <c r="MD18" i="2"/>
  <c r="MC18" i="2"/>
  <c r="MB18" i="2"/>
  <c r="MA18" i="2"/>
  <c r="LZ18" i="2"/>
  <c r="LY18" i="2"/>
  <c r="LX18" i="2"/>
  <c r="LV18" i="2"/>
  <c r="LU18" i="2"/>
  <c r="LT18" i="2"/>
  <c r="LS18" i="2"/>
  <c r="LR18" i="2"/>
  <c r="LQ18" i="2"/>
  <c r="LP18" i="2"/>
  <c r="LO18" i="2"/>
  <c r="LN18" i="2"/>
  <c r="LM18" i="2"/>
  <c r="LL18" i="2"/>
  <c r="LK18" i="2"/>
  <c r="LJ18" i="2"/>
  <c r="LI18" i="2"/>
  <c r="LH18" i="2"/>
  <c r="LG18" i="2"/>
  <c r="LF18" i="2"/>
  <c r="LE18" i="2"/>
  <c r="LD18" i="2"/>
  <c r="LC18" i="2"/>
  <c r="LB18" i="2"/>
  <c r="KZ18" i="2"/>
  <c r="MR18" i="2" s="1"/>
  <c r="KD18" i="2"/>
  <c r="JH18" i="2"/>
  <c r="IL18" i="2"/>
  <c r="HP18" i="2"/>
  <c r="HO18" i="2"/>
  <c r="HN18" i="2"/>
  <c r="HM18" i="2"/>
  <c r="HL18" i="2"/>
  <c r="HK18" i="2"/>
  <c r="HJ18" i="2"/>
  <c r="HI18" i="2"/>
  <c r="HH18" i="2"/>
  <c r="HG18" i="2"/>
  <c r="HF18" i="2"/>
  <c r="HE18" i="2"/>
  <c r="HD18" i="2"/>
  <c r="HC18" i="2"/>
  <c r="HB18" i="2"/>
  <c r="HA18" i="2"/>
  <c r="GZ18" i="2"/>
  <c r="GY18" i="2"/>
  <c r="GX18" i="2"/>
  <c r="GW18" i="2"/>
  <c r="GV18" i="2"/>
  <c r="GT18" i="2"/>
  <c r="FW18" i="2"/>
  <c r="FV18" i="2"/>
  <c r="FU18" i="2"/>
  <c r="FT18" i="2"/>
  <c r="FS18" i="2"/>
  <c r="FR18" i="2"/>
  <c r="FQ18" i="2"/>
  <c r="FP18" i="2"/>
  <c r="FO18" i="2"/>
  <c r="FN18" i="2"/>
  <c r="FM18" i="2"/>
  <c r="FL18" i="2"/>
  <c r="FK18" i="2"/>
  <c r="FJ18" i="2"/>
  <c r="FI18" i="2"/>
  <c r="FH18" i="2"/>
  <c r="FG18" i="2"/>
  <c r="FF18" i="2"/>
  <c r="FE18" i="2"/>
  <c r="FD18" i="2"/>
  <c r="FB18" i="2"/>
  <c r="FX18" i="2" s="1"/>
  <c r="DY18" i="2"/>
  <c r="DU18" i="2"/>
  <c r="BD18" i="2"/>
  <c r="AZ18" i="2"/>
  <c r="AP18" i="2"/>
  <c r="AK18" i="2"/>
  <c r="AE18" i="2"/>
  <c r="W18" i="2"/>
  <c r="V18" i="2"/>
  <c r="L18" i="2"/>
  <c r="OI17" i="2"/>
  <c r="OH17" i="2"/>
  <c r="OG17" i="2"/>
  <c r="OF17" i="2"/>
  <c r="OE17" i="2"/>
  <c r="OD17" i="2"/>
  <c r="OC17" i="2"/>
  <c r="OB17" i="2"/>
  <c r="OA17" i="2"/>
  <c r="NZ17" i="2"/>
  <c r="NY17" i="2"/>
  <c r="NX17" i="2"/>
  <c r="NW17" i="2"/>
  <c r="NV17" i="2"/>
  <c r="NU17" i="2"/>
  <c r="NT17" i="2"/>
  <c r="NS17" i="2"/>
  <c r="NR17" i="2"/>
  <c r="NQ17" i="2"/>
  <c r="NP17" i="2"/>
  <c r="NM17" i="2"/>
  <c r="NL17" i="2"/>
  <c r="NK17" i="2"/>
  <c r="NJ17" i="2"/>
  <c r="NI17" i="2"/>
  <c r="NH17" i="2"/>
  <c r="NG17" i="2"/>
  <c r="NF17" i="2"/>
  <c r="NE17" i="2"/>
  <c r="ND17" i="2"/>
  <c r="NC17" i="2"/>
  <c r="NB17" i="2"/>
  <c r="NA17" i="2"/>
  <c r="MZ17" i="2"/>
  <c r="MY17" i="2"/>
  <c r="MX17" i="2"/>
  <c r="MW17" i="2"/>
  <c r="MV17" i="2"/>
  <c r="MU17" i="2"/>
  <c r="MT17" i="2"/>
  <c r="MQ17" i="2"/>
  <c r="MP17" i="2"/>
  <c r="MO17" i="2"/>
  <c r="MN17" i="2"/>
  <c r="MM17" i="2"/>
  <c r="ML17" i="2"/>
  <c r="MK17" i="2"/>
  <c r="MJ17" i="2"/>
  <c r="MI17" i="2"/>
  <c r="MH17" i="2"/>
  <c r="MG17" i="2"/>
  <c r="MF17" i="2"/>
  <c r="ME17" i="2"/>
  <c r="MD17" i="2"/>
  <c r="MC17" i="2"/>
  <c r="MB17" i="2"/>
  <c r="MA17" i="2"/>
  <c r="LZ17" i="2"/>
  <c r="LY17" i="2"/>
  <c r="LX17" i="2"/>
  <c r="LU17" i="2"/>
  <c r="LT17" i="2"/>
  <c r="LS17" i="2"/>
  <c r="LR17" i="2"/>
  <c r="LQ17" i="2"/>
  <c r="LP17" i="2"/>
  <c r="LO17" i="2"/>
  <c r="LN17" i="2"/>
  <c r="LM17" i="2"/>
  <c r="LL17" i="2"/>
  <c r="LK17" i="2"/>
  <c r="LJ17" i="2"/>
  <c r="LI17" i="2"/>
  <c r="LH17" i="2"/>
  <c r="LG17" i="2"/>
  <c r="LF17" i="2"/>
  <c r="LE17" i="2"/>
  <c r="LD17" i="2"/>
  <c r="LC17" i="2"/>
  <c r="LB17" i="2"/>
  <c r="KZ17" i="2"/>
  <c r="LV17" i="2" s="1"/>
  <c r="KD17" i="2"/>
  <c r="JH17" i="2"/>
  <c r="IL17" i="2"/>
  <c r="HO17" i="2"/>
  <c r="HN17" i="2"/>
  <c r="HM17" i="2"/>
  <c r="HL17" i="2"/>
  <c r="HK17" i="2"/>
  <c r="HJ17" i="2"/>
  <c r="HI17" i="2"/>
  <c r="HH17" i="2"/>
  <c r="HG17" i="2"/>
  <c r="HF17" i="2"/>
  <c r="HE17" i="2"/>
  <c r="HD17" i="2"/>
  <c r="HC17" i="2"/>
  <c r="HB17" i="2"/>
  <c r="HA17" i="2"/>
  <c r="GZ17" i="2"/>
  <c r="GY17" i="2"/>
  <c r="GX17" i="2"/>
  <c r="GW17" i="2"/>
  <c r="GV17" i="2"/>
  <c r="GT17" i="2"/>
  <c r="HP17" i="2" s="1"/>
  <c r="FW17" i="2"/>
  <c r="FV17" i="2"/>
  <c r="FU17" i="2"/>
  <c r="FT17" i="2"/>
  <c r="FS17" i="2"/>
  <c r="FR17" i="2"/>
  <c r="FQ17" i="2"/>
  <c r="FP17" i="2"/>
  <c r="FO17" i="2"/>
  <c r="FN17" i="2"/>
  <c r="FM17" i="2"/>
  <c r="FL17" i="2"/>
  <c r="FK17" i="2"/>
  <c r="FJ17" i="2"/>
  <c r="FI17" i="2"/>
  <c r="FH17" i="2"/>
  <c r="FG17" i="2"/>
  <c r="FF17" i="2"/>
  <c r="FE17" i="2"/>
  <c r="FD17" i="2"/>
  <c r="FB17" i="2"/>
  <c r="FX17" i="2" s="1"/>
  <c r="DU17" i="2"/>
  <c r="DY17" i="2" s="1"/>
  <c r="BD17" i="2"/>
  <c r="AZ17" i="2"/>
  <c r="AP17" i="2"/>
  <c r="AK17" i="2"/>
  <c r="AE17" i="2"/>
  <c r="W17" i="2"/>
  <c r="V17" i="2"/>
  <c r="L17" i="2"/>
  <c r="OI16" i="2"/>
  <c r="OH16" i="2"/>
  <c r="OG16" i="2"/>
  <c r="OF16" i="2"/>
  <c r="OE16" i="2"/>
  <c r="OD16" i="2"/>
  <c r="OC16" i="2"/>
  <c r="OB16" i="2"/>
  <c r="OA16" i="2"/>
  <c r="NZ16" i="2"/>
  <c r="NY16" i="2"/>
  <c r="NX16" i="2"/>
  <c r="NW16" i="2"/>
  <c r="NV16" i="2"/>
  <c r="NU16" i="2"/>
  <c r="NT16" i="2"/>
  <c r="NS16" i="2"/>
  <c r="NR16" i="2"/>
  <c r="NQ16" i="2"/>
  <c r="NP16" i="2"/>
  <c r="NM16" i="2"/>
  <c r="NL16" i="2"/>
  <c r="NK16" i="2"/>
  <c r="NJ16" i="2"/>
  <c r="NI16" i="2"/>
  <c r="NH16" i="2"/>
  <c r="NG16" i="2"/>
  <c r="NF16" i="2"/>
  <c r="NE16" i="2"/>
  <c r="ND16" i="2"/>
  <c r="NC16" i="2"/>
  <c r="NB16" i="2"/>
  <c r="NA16" i="2"/>
  <c r="MZ16" i="2"/>
  <c r="MY16" i="2"/>
  <c r="MX16" i="2"/>
  <c r="MW16" i="2"/>
  <c r="MV16" i="2"/>
  <c r="MU16" i="2"/>
  <c r="MT16" i="2"/>
  <c r="MQ16" i="2"/>
  <c r="MP16" i="2"/>
  <c r="MO16" i="2"/>
  <c r="MN16" i="2"/>
  <c r="MM16" i="2"/>
  <c r="ML16" i="2"/>
  <c r="MK16" i="2"/>
  <c r="MJ16" i="2"/>
  <c r="MI16" i="2"/>
  <c r="MH16" i="2"/>
  <c r="MG16" i="2"/>
  <c r="MF16" i="2"/>
  <c r="ME16" i="2"/>
  <c r="MD16" i="2"/>
  <c r="MC16" i="2"/>
  <c r="MB16" i="2"/>
  <c r="MA16" i="2"/>
  <c r="LZ16" i="2"/>
  <c r="LY16" i="2"/>
  <c r="LX16" i="2"/>
  <c r="LV16" i="2"/>
  <c r="LU16" i="2"/>
  <c r="LT16" i="2"/>
  <c r="LS16" i="2"/>
  <c r="LR16" i="2"/>
  <c r="LQ16" i="2"/>
  <c r="LP16" i="2"/>
  <c r="LO16" i="2"/>
  <c r="LN16" i="2"/>
  <c r="LM16" i="2"/>
  <c r="LL16" i="2"/>
  <c r="LK16" i="2"/>
  <c r="LJ16" i="2"/>
  <c r="LI16" i="2"/>
  <c r="LH16" i="2"/>
  <c r="LG16" i="2"/>
  <c r="LF16" i="2"/>
  <c r="LE16" i="2"/>
  <c r="LD16" i="2"/>
  <c r="LC16" i="2"/>
  <c r="LB16" i="2"/>
  <c r="KZ16" i="2"/>
  <c r="MR16" i="2" s="1"/>
  <c r="KD16" i="2"/>
  <c r="JH16" i="2"/>
  <c r="IL16" i="2"/>
  <c r="HO16" i="2"/>
  <c r="HN16" i="2"/>
  <c r="HM16" i="2"/>
  <c r="HL16" i="2"/>
  <c r="HK16" i="2"/>
  <c r="HJ16" i="2"/>
  <c r="HI16" i="2"/>
  <c r="HH16" i="2"/>
  <c r="HG16" i="2"/>
  <c r="HF16" i="2"/>
  <c r="HE16" i="2"/>
  <c r="HD16" i="2"/>
  <c r="HC16" i="2"/>
  <c r="HB16" i="2"/>
  <c r="HA16" i="2"/>
  <c r="GZ16" i="2"/>
  <c r="GY16" i="2"/>
  <c r="GX16" i="2"/>
  <c r="GW16" i="2"/>
  <c r="GV16" i="2"/>
  <c r="GT16" i="2"/>
  <c r="HP16" i="2" s="1"/>
  <c r="FW16" i="2"/>
  <c r="FV16" i="2"/>
  <c r="FU16" i="2"/>
  <c r="FT16" i="2"/>
  <c r="FS16" i="2"/>
  <c r="FR16" i="2"/>
  <c r="FQ16" i="2"/>
  <c r="FP16" i="2"/>
  <c r="FO16" i="2"/>
  <c r="FN16" i="2"/>
  <c r="FM16" i="2"/>
  <c r="FL16" i="2"/>
  <c r="FK16" i="2"/>
  <c r="FJ16" i="2"/>
  <c r="FI16" i="2"/>
  <c r="FH16" i="2"/>
  <c r="FG16" i="2"/>
  <c r="FF16" i="2"/>
  <c r="FE16" i="2"/>
  <c r="FD16" i="2"/>
  <c r="FB16" i="2"/>
  <c r="FX16" i="2" s="1"/>
  <c r="DU16" i="2"/>
  <c r="DY16" i="2" s="1"/>
  <c r="DB16" i="2"/>
  <c r="DA16" i="2"/>
  <c r="CZ16" i="2"/>
  <c r="CY16" i="2"/>
  <c r="CX16" i="2"/>
  <c r="CW16" i="2"/>
  <c r="CV16" i="2"/>
  <c r="CU16" i="2"/>
  <c r="CH69" i="2" s="1"/>
  <c r="BD16" i="2"/>
  <c r="AZ16" i="2"/>
  <c r="AP16" i="2"/>
  <c r="AK16" i="2"/>
  <c r="AE16" i="2"/>
  <c r="W16" i="2"/>
  <c r="V16" i="2"/>
  <c r="L16" i="2"/>
  <c r="OI15" i="2"/>
  <c r="OH15" i="2"/>
  <c r="OG15" i="2"/>
  <c r="OF15" i="2"/>
  <c r="OE15" i="2"/>
  <c r="OD15" i="2"/>
  <c r="OC15" i="2"/>
  <c r="OB15" i="2"/>
  <c r="OA15" i="2"/>
  <c r="NZ15" i="2"/>
  <c r="NY15" i="2"/>
  <c r="NX15" i="2"/>
  <c r="NW15" i="2"/>
  <c r="NV15" i="2"/>
  <c r="NU15" i="2"/>
  <c r="NT15" i="2"/>
  <c r="NS15" i="2"/>
  <c r="NR15" i="2"/>
  <c r="NQ15" i="2"/>
  <c r="NP15" i="2"/>
  <c r="NN15" i="2"/>
  <c r="NM15" i="2"/>
  <c r="NL15" i="2"/>
  <c r="NK15" i="2"/>
  <c r="NJ15" i="2"/>
  <c r="NI15" i="2"/>
  <c r="NH15" i="2"/>
  <c r="NG15" i="2"/>
  <c r="NF15" i="2"/>
  <c r="NE15" i="2"/>
  <c r="ND15" i="2"/>
  <c r="NC15" i="2"/>
  <c r="NB15" i="2"/>
  <c r="NA15" i="2"/>
  <c r="MZ15" i="2"/>
  <c r="MY15" i="2"/>
  <c r="MX15" i="2"/>
  <c r="MW15" i="2"/>
  <c r="MV15" i="2"/>
  <c r="MU15" i="2"/>
  <c r="MT15" i="2"/>
  <c r="MR15" i="2"/>
  <c r="MQ15" i="2"/>
  <c r="MP15" i="2"/>
  <c r="MO15" i="2"/>
  <c r="MN15" i="2"/>
  <c r="MM15" i="2"/>
  <c r="ML15" i="2"/>
  <c r="MK15" i="2"/>
  <c r="MJ15" i="2"/>
  <c r="MI15" i="2"/>
  <c r="MH15" i="2"/>
  <c r="MG15" i="2"/>
  <c r="MF15" i="2"/>
  <c r="ME15" i="2"/>
  <c r="MD15" i="2"/>
  <c r="MC15" i="2"/>
  <c r="MB15" i="2"/>
  <c r="MA15" i="2"/>
  <c r="LZ15" i="2"/>
  <c r="LY15" i="2"/>
  <c r="LX15" i="2"/>
  <c r="LV15" i="2"/>
  <c r="LU15" i="2"/>
  <c r="LT15" i="2"/>
  <c r="LS15" i="2"/>
  <c r="LR15" i="2"/>
  <c r="LQ15" i="2"/>
  <c r="LP15" i="2"/>
  <c r="LO15" i="2"/>
  <c r="LN15" i="2"/>
  <c r="LM15" i="2"/>
  <c r="LL15" i="2"/>
  <c r="LK15" i="2"/>
  <c r="LJ15" i="2"/>
  <c r="LI15" i="2"/>
  <c r="LH15" i="2"/>
  <c r="LG15" i="2"/>
  <c r="LF15" i="2"/>
  <c r="LE15" i="2"/>
  <c r="LD15" i="2"/>
  <c r="LC15" i="2"/>
  <c r="LB15" i="2"/>
  <c r="KZ15" i="2"/>
  <c r="OJ15" i="2" s="1"/>
  <c r="KD15" i="2"/>
  <c r="JH15" i="2"/>
  <c r="IL15" i="2"/>
  <c r="HO15" i="2"/>
  <c r="HN15" i="2"/>
  <c r="HM15" i="2"/>
  <c r="HL15" i="2"/>
  <c r="HK15" i="2"/>
  <c r="HJ15" i="2"/>
  <c r="HI15" i="2"/>
  <c r="HH15" i="2"/>
  <c r="HG15" i="2"/>
  <c r="HF15" i="2"/>
  <c r="HE15" i="2"/>
  <c r="HD15" i="2"/>
  <c r="HC15" i="2"/>
  <c r="HB15" i="2"/>
  <c r="HA15" i="2"/>
  <c r="GZ15" i="2"/>
  <c r="GY15" i="2"/>
  <c r="GX15" i="2"/>
  <c r="GW15" i="2"/>
  <c r="GV15" i="2"/>
  <c r="GT15" i="2"/>
  <c r="HP15" i="2" s="1"/>
  <c r="FW15" i="2"/>
  <c r="FV15" i="2"/>
  <c r="FU15" i="2"/>
  <c r="FT15" i="2"/>
  <c r="FS15" i="2"/>
  <c r="FR15" i="2"/>
  <c r="FQ15" i="2"/>
  <c r="FP15" i="2"/>
  <c r="FO15" i="2"/>
  <c r="FN15" i="2"/>
  <c r="FM15" i="2"/>
  <c r="FL15" i="2"/>
  <c r="FK15" i="2"/>
  <c r="FJ15" i="2"/>
  <c r="FI15" i="2"/>
  <c r="FH15" i="2"/>
  <c r="FG15" i="2"/>
  <c r="FF15" i="2"/>
  <c r="FE15" i="2"/>
  <c r="FD15" i="2"/>
  <c r="FB15" i="2"/>
  <c r="FX15" i="2" s="1"/>
  <c r="DU15" i="2"/>
  <c r="DY15" i="2" s="1"/>
  <c r="BD15" i="2"/>
  <c r="AZ15" i="2"/>
  <c r="AP15" i="2"/>
  <c r="AK15" i="2"/>
  <c r="AE15" i="2"/>
  <c r="W15" i="2"/>
  <c r="V15" i="2"/>
  <c r="L15" i="2"/>
  <c r="OI14" i="2"/>
  <c r="OH14" i="2"/>
  <c r="OG14" i="2"/>
  <c r="OF14" i="2"/>
  <c r="OE14" i="2"/>
  <c r="OD14" i="2"/>
  <c r="OC14" i="2"/>
  <c r="OB14" i="2"/>
  <c r="OA14" i="2"/>
  <c r="NZ14" i="2"/>
  <c r="NY14" i="2"/>
  <c r="NX14" i="2"/>
  <c r="NW14" i="2"/>
  <c r="NV14" i="2"/>
  <c r="NU14" i="2"/>
  <c r="NT14" i="2"/>
  <c r="NS14" i="2"/>
  <c r="NR14" i="2"/>
  <c r="NQ14" i="2"/>
  <c r="NP14" i="2"/>
  <c r="NN14" i="2"/>
  <c r="NM14" i="2"/>
  <c r="NL14" i="2"/>
  <c r="NK14" i="2"/>
  <c r="NJ14" i="2"/>
  <c r="NI14" i="2"/>
  <c r="NH14" i="2"/>
  <c r="NG14" i="2"/>
  <c r="NF14" i="2"/>
  <c r="NE14" i="2"/>
  <c r="ND14" i="2"/>
  <c r="NC14" i="2"/>
  <c r="NB14" i="2"/>
  <c r="NA14" i="2"/>
  <c r="MZ14" i="2"/>
  <c r="MY14" i="2"/>
  <c r="MX14" i="2"/>
  <c r="MW14" i="2"/>
  <c r="MV14" i="2"/>
  <c r="MU14" i="2"/>
  <c r="MT14" i="2"/>
  <c r="MQ14" i="2"/>
  <c r="MP14" i="2"/>
  <c r="MO14" i="2"/>
  <c r="MN14" i="2"/>
  <c r="MM14" i="2"/>
  <c r="ML14" i="2"/>
  <c r="MK14" i="2"/>
  <c r="MJ14" i="2"/>
  <c r="MI14" i="2"/>
  <c r="MH14" i="2"/>
  <c r="MG14" i="2"/>
  <c r="MF14" i="2"/>
  <c r="ME14" i="2"/>
  <c r="MD14" i="2"/>
  <c r="MC14" i="2"/>
  <c r="MB14" i="2"/>
  <c r="MA14" i="2"/>
  <c r="LZ14" i="2"/>
  <c r="LY14" i="2"/>
  <c r="LX14" i="2"/>
  <c r="LV14" i="2"/>
  <c r="LU14" i="2"/>
  <c r="LT14" i="2"/>
  <c r="LS14" i="2"/>
  <c r="LR14" i="2"/>
  <c r="LQ14" i="2"/>
  <c r="LP14" i="2"/>
  <c r="LO14" i="2"/>
  <c r="LN14" i="2"/>
  <c r="LM14" i="2"/>
  <c r="LL14" i="2"/>
  <c r="LK14" i="2"/>
  <c r="LJ14" i="2"/>
  <c r="LI14" i="2"/>
  <c r="LH14" i="2"/>
  <c r="LG14" i="2"/>
  <c r="LF14" i="2"/>
  <c r="LE14" i="2"/>
  <c r="LD14" i="2"/>
  <c r="LC14" i="2"/>
  <c r="LB14" i="2"/>
  <c r="KZ14" i="2"/>
  <c r="MR14" i="2" s="1"/>
  <c r="KD14" i="2"/>
  <c r="JH14" i="2"/>
  <c r="IL14" i="2"/>
  <c r="HO14" i="2"/>
  <c r="HN14" i="2"/>
  <c r="HM14" i="2"/>
  <c r="HL14" i="2"/>
  <c r="HK14" i="2"/>
  <c r="HJ14" i="2"/>
  <c r="HI14" i="2"/>
  <c r="HH14" i="2"/>
  <c r="HG14" i="2"/>
  <c r="HF14" i="2"/>
  <c r="HE14" i="2"/>
  <c r="HD14" i="2"/>
  <c r="HC14" i="2"/>
  <c r="HB14" i="2"/>
  <c r="HA14" i="2"/>
  <c r="GZ14" i="2"/>
  <c r="GY14" i="2"/>
  <c r="GX14" i="2"/>
  <c r="GW14" i="2"/>
  <c r="GV14" i="2"/>
  <c r="GT14" i="2"/>
  <c r="HP14" i="2" s="1"/>
  <c r="FW14" i="2"/>
  <c r="FV14" i="2"/>
  <c r="FU14" i="2"/>
  <c r="FT14" i="2"/>
  <c r="FS14" i="2"/>
  <c r="FR14" i="2"/>
  <c r="FQ14" i="2"/>
  <c r="FP14" i="2"/>
  <c r="FO14" i="2"/>
  <c r="FN14" i="2"/>
  <c r="FM14" i="2"/>
  <c r="FL14" i="2"/>
  <c r="FK14" i="2"/>
  <c r="FJ14" i="2"/>
  <c r="FI14" i="2"/>
  <c r="FH14" i="2"/>
  <c r="FG14" i="2"/>
  <c r="FF14" i="2"/>
  <c r="FE14" i="2"/>
  <c r="FD14" i="2"/>
  <c r="FB14" i="2"/>
  <c r="FX14" i="2" s="1"/>
  <c r="DY14" i="2"/>
  <c r="DU14" i="2"/>
  <c r="BD14" i="2"/>
  <c r="AZ14" i="2"/>
  <c r="AP14" i="2"/>
  <c r="AK14" i="2"/>
  <c r="AE14" i="2"/>
  <c r="W14" i="2"/>
  <c r="V14" i="2"/>
  <c r="L14" i="2"/>
  <c r="OI13" i="2"/>
  <c r="OH13" i="2"/>
  <c r="OG13" i="2"/>
  <c r="OF13" i="2"/>
  <c r="OE13" i="2"/>
  <c r="OD13" i="2"/>
  <c r="OC13" i="2"/>
  <c r="OB13" i="2"/>
  <c r="OA13" i="2"/>
  <c r="NZ13" i="2"/>
  <c r="NY13" i="2"/>
  <c r="NX13" i="2"/>
  <c r="NW13" i="2"/>
  <c r="NV13" i="2"/>
  <c r="NU13" i="2"/>
  <c r="NT13" i="2"/>
  <c r="NS13" i="2"/>
  <c r="NR13" i="2"/>
  <c r="NQ13" i="2"/>
  <c r="NP13" i="2"/>
  <c r="NM13" i="2"/>
  <c r="NL13" i="2"/>
  <c r="NK13" i="2"/>
  <c r="NJ13" i="2"/>
  <c r="NI13" i="2"/>
  <c r="NH13" i="2"/>
  <c r="NG13" i="2"/>
  <c r="NF13" i="2"/>
  <c r="NE13" i="2"/>
  <c r="ND13" i="2"/>
  <c r="NC13" i="2"/>
  <c r="NB13" i="2"/>
  <c r="NA13" i="2"/>
  <c r="MZ13" i="2"/>
  <c r="MY13" i="2"/>
  <c r="MX13" i="2"/>
  <c r="MW13" i="2"/>
  <c r="MV13" i="2"/>
  <c r="MU13" i="2"/>
  <c r="MT13" i="2"/>
  <c r="MQ13" i="2"/>
  <c r="MP13" i="2"/>
  <c r="MO13" i="2"/>
  <c r="MN13" i="2"/>
  <c r="MM13" i="2"/>
  <c r="ML13" i="2"/>
  <c r="MK13" i="2"/>
  <c r="MJ13" i="2"/>
  <c r="MI13" i="2"/>
  <c r="MH13" i="2"/>
  <c r="MG13" i="2"/>
  <c r="MF13" i="2"/>
  <c r="ME13" i="2"/>
  <c r="MD13" i="2"/>
  <c r="MC13" i="2"/>
  <c r="MB13" i="2"/>
  <c r="MA13" i="2"/>
  <c r="LZ13" i="2"/>
  <c r="LY13" i="2"/>
  <c r="LX13" i="2"/>
  <c r="LU13" i="2"/>
  <c r="LT13" i="2"/>
  <c r="LS13" i="2"/>
  <c r="LR13" i="2"/>
  <c r="LQ13" i="2"/>
  <c r="LP13" i="2"/>
  <c r="LO13" i="2"/>
  <c r="LN13" i="2"/>
  <c r="LM13" i="2"/>
  <c r="LL13" i="2"/>
  <c r="LK13" i="2"/>
  <c r="LJ13" i="2"/>
  <c r="LI13" i="2"/>
  <c r="LH13" i="2"/>
  <c r="LG13" i="2"/>
  <c r="LF13" i="2"/>
  <c r="LE13" i="2"/>
  <c r="LD13" i="2"/>
  <c r="LC13" i="2"/>
  <c r="LB13" i="2"/>
  <c r="KZ13" i="2"/>
  <c r="LV13" i="2" s="1"/>
  <c r="KD13" i="2"/>
  <c r="JH13" i="2"/>
  <c r="IL13" i="2"/>
  <c r="HO13" i="2"/>
  <c r="HN13" i="2"/>
  <c r="HM13" i="2"/>
  <c r="HL13" i="2"/>
  <c r="HK13" i="2"/>
  <c r="HJ13" i="2"/>
  <c r="HI13" i="2"/>
  <c r="HH13" i="2"/>
  <c r="HG13" i="2"/>
  <c r="HF13" i="2"/>
  <c r="HE13" i="2"/>
  <c r="HD13" i="2"/>
  <c r="HC13" i="2"/>
  <c r="HB13" i="2"/>
  <c r="HA13" i="2"/>
  <c r="GZ13" i="2"/>
  <c r="GY13" i="2"/>
  <c r="GX13" i="2"/>
  <c r="GW13" i="2"/>
  <c r="GV13" i="2"/>
  <c r="GT13" i="2"/>
  <c r="HP13" i="2" s="1"/>
  <c r="FW13" i="2"/>
  <c r="FV13" i="2"/>
  <c r="FU13" i="2"/>
  <c r="FT13" i="2"/>
  <c r="FS13" i="2"/>
  <c r="FR13" i="2"/>
  <c r="FQ13" i="2"/>
  <c r="FP13" i="2"/>
  <c r="FO13" i="2"/>
  <c r="FN13" i="2"/>
  <c r="FM13" i="2"/>
  <c r="FL13" i="2"/>
  <c r="FK13" i="2"/>
  <c r="FJ13" i="2"/>
  <c r="FI13" i="2"/>
  <c r="FH13" i="2"/>
  <c r="FG13" i="2"/>
  <c r="FF13" i="2"/>
  <c r="FE13" i="2"/>
  <c r="FD13" i="2"/>
  <c r="FB13" i="2"/>
  <c r="FX13" i="2" s="1"/>
  <c r="DU13" i="2"/>
  <c r="DY13" i="2" s="1"/>
  <c r="BD13" i="2"/>
  <c r="AZ13" i="2"/>
  <c r="AP13" i="2"/>
  <c r="AK13" i="2"/>
  <c r="AE13" i="2"/>
  <c r="W13" i="2"/>
  <c r="V13" i="2"/>
  <c r="L13" i="2"/>
  <c r="OI12" i="2"/>
  <c r="OH12" i="2"/>
  <c r="OG12" i="2"/>
  <c r="OF12" i="2"/>
  <c r="OE12" i="2"/>
  <c r="OD12" i="2"/>
  <c r="OC12" i="2"/>
  <c r="OB12" i="2"/>
  <c r="OA12" i="2"/>
  <c r="NZ12" i="2"/>
  <c r="NY12" i="2"/>
  <c r="NX12" i="2"/>
  <c r="NW12" i="2"/>
  <c r="NV12" i="2"/>
  <c r="NU12" i="2"/>
  <c r="NT12" i="2"/>
  <c r="NS12" i="2"/>
  <c r="NR12" i="2"/>
  <c r="NQ12" i="2"/>
  <c r="NP12" i="2"/>
  <c r="NM12" i="2"/>
  <c r="NL12" i="2"/>
  <c r="NK12" i="2"/>
  <c r="NJ12" i="2"/>
  <c r="NI12" i="2"/>
  <c r="NH12" i="2"/>
  <c r="NG12" i="2"/>
  <c r="NF12" i="2"/>
  <c r="NE12" i="2"/>
  <c r="ND12" i="2"/>
  <c r="NC12" i="2"/>
  <c r="NB12" i="2"/>
  <c r="NA12" i="2"/>
  <c r="MZ12" i="2"/>
  <c r="MY12" i="2"/>
  <c r="MX12" i="2"/>
  <c r="MW12" i="2"/>
  <c r="MV12" i="2"/>
  <c r="MU12" i="2"/>
  <c r="MT12" i="2"/>
  <c r="MQ12" i="2"/>
  <c r="MP12" i="2"/>
  <c r="MO12" i="2"/>
  <c r="MN12" i="2"/>
  <c r="MM12" i="2"/>
  <c r="ML12" i="2"/>
  <c r="MK12" i="2"/>
  <c r="MJ12" i="2"/>
  <c r="MI12" i="2"/>
  <c r="MH12" i="2"/>
  <c r="MG12" i="2"/>
  <c r="MF12" i="2"/>
  <c r="ME12" i="2"/>
  <c r="MD12" i="2"/>
  <c r="MC12" i="2"/>
  <c r="MB12" i="2"/>
  <c r="MA12" i="2"/>
  <c r="LZ12" i="2"/>
  <c r="LY12" i="2"/>
  <c r="LX12" i="2"/>
  <c r="LU12" i="2"/>
  <c r="LT12" i="2"/>
  <c r="LS12" i="2"/>
  <c r="LR12" i="2"/>
  <c r="LQ12" i="2"/>
  <c r="LP12" i="2"/>
  <c r="LO12" i="2"/>
  <c r="LN12" i="2"/>
  <c r="LM12" i="2"/>
  <c r="LL12" i="2"/>
  <c r="LK12" i="2"/>
  <c r="LJ12" i="2"/>
  <c r="LI12" i="2"/>
  <c r="LH12" i="2"/>
  <c r="LG12" i="2"/>
  <c r="LF12" i="2"/>
  <c r="LE12" i="2"/>
  <c r="LD12" i="2"/>
  <c r="LC12" i="2"/>
  <c r="LB12" i="2"/>
  <c r="KZ12" i="2"/>
  <c r="OJ12" i="2" s="1"/>
  <c r="KD12" i="2"/>
  <c r="JH12" i="2"/>
  <c r="IL12" i="2"/>
  <c r="HO12" i="2"/>
  <c r="HN12" i="2"/>
  <c r="HM12" i="2"/>
  <c r="HL12" i="2"/>
  <c r="HK12" i="2"/>
  <c r="HJ12" i="2"/>
  <c r="HI12" i="2"/>
  <c r="HH12" i="2"/>
  <c r="HG12" i="2"/>
  <c r="HF12" i="2"/>
  <c r="HE12" i="2"/>
  <c r="HD12" i="2"/>
  <c r="HC12" i="2"/>
  <c r="HB12" i="2"/>
  <c r="HA12" i="2"/>
  <c r="GZ12" i="2"/>
  <c r="GY12" i="2"/>
  <c r="GX12" i="2"/>
  <c r="GW12" i="2"/>
  <c r="GV12" i="2"/>
  <c r="GT12" i="2"/>
  <c r="HP12" i="2" s="1"/>
  <c r="FW12" i="2"/>
  <c r="FV12" i="2"/>
  <c r="FU12" i="2"/>
  <c r="FT12" i="2"/>
  <c r="FS12" i="2"/>
  <c r="FR12" i="2"/>
  <c r="FQ12" i="2"/>
  <c r="FP12" i="2"/>
  <c r="FO12" i="2"/>
  <c r="FN12" i="2"/>
  <c r="FM12" i="2"/>
  <c r="FL12" i="2"/>
  <c r="FK12" i="2"/>
  <c r="FJ12" i="2"/>
  <c r="FI12" i="2"/>
  <c r="FH12" i="2"/>
  <c r="FG12" i="2"/>
  <c r="FF12" i="2"/>
  <c r="FE12" i="2"/>
  <c r="FD12" i="2"/>
  <c r="FB12" i="2"/>
  <c r="FX12" i="2" s="1"/>
  <c r="DY12" i="2"/>
  <c r="DU12" i="2"/>
  <c r="BD12" i="2"/>
  <c r="AZ12" i="2"/>
  <c r="AP12" i="2"/>
  <c r="AK12" i="2"/>
  <c r="AE12" i="2"/>
  <c r="W12" i="2"/>
  <c r="V12" i="2"/>
  <c r="L12" i="2"/>
  <c r="OI11" i="2"/>
  <c r="OH11" i="2"/>
  <c r="OG11" i="2"/>
  <c r="OF11" i="2"/>
  <c r="OE11" i="2"/>
  <c r="OD11" i="2"/>
  <c r="OC11" i="2"/>
  <c r="OB11" i="2"/>
  <c r="OA11" i="2"/>
  <c r="NZ11" i="2"/>
  <c r="NY11" i="2"/>
  <c r="NX11" i="2"/>
  <c r="NW11" i="2"/>
  <c r="NV11" i="2"/>
  <c r="NU11" i="2"/>
  <c r="NT11" i="2"/>
  <c r="NS11" i="2"/>
  <c r="NR11" i="2"/>
  <c r="NQ11" i="2"/>
  <c r="NP11" i="2"/>
  <c r="NN11" i="2"/>
  <c r="NM11" i="2"/>
  <c r="NL11" i="2"/>
  <c r="NK11" i="2"/>
  <c r="NJ11" i="2"/>
  <c r="NI11" i="2"/>
  <c r="NH11" i="2"/>
  <c r="NG11" i="2"/>
  <c r="NF11" i="2"/>
  <c r="NE11" i="2"/>
  <c r="ND11" i="2"/>
  <c r="NC11" i="2"/>
  <c r="NB11" i="2"/>
  <c r="NA11" i="2"/>
  <c r="MZ11" i="2"/>
  <c r="MY11" i="2"/>
  <c r="MX11" i="2"/>
  <c r="MW11" i="2"/>
  <c r="MV11" i="2"/>
  <c r="MU11" i="2"/>
  <c r="MT11" i="2"/>
  <c r="MR11" i="2"/>
  <c r="MQ11" i="2"/>
  <c r="MP11" i="2"/>
  <c r="MO11" i="2"/>
  <c r="MN11" i="2"/>
  <c r="MM11" i="2"/>
  <c r="ML11" i="2"/>
  <c r="MK11" i="2"/>
  <c r="MJ11" i="2"/>
  <c r="MI11" i="2"/>
  <c r="MH11" i="2"/>
  <c r="MG11" i="2"/>
  <c r="MF11" i="2"/>
  <c r="ME11" i="2"/>
  <c r="MD11" i="2"/>
  <c r="MC11" i="2"/>
  <c r="MB11" i="2"/>
  <c r="MA11" i="2"/>
  <c r="LZ11" i="2"/>
  <c r="LY11" i="2"/>
  <c r="LX11" i="2"/>
  <c r="LV11" i="2"/>
  <c r="LU11" i="2"/>
  <c r="LT11" i="2"/>
  <c r="LS11" i="2"/>
  <c r="LR11" i="2"/>
  <c r="LQ11" i="2"/>
  <c r="LP11" i="2"/>
  <c r="LO11" i="2"/>
  <c r="LN11" i="2"/>
  <c r="LM11" i="2"/>
  <c r="LL11" i="2"/>
  <c r="LK11" i="2"/>
  <c r="LJ11" i="2"/>
  <c r="LI11" i="2"/>
  <c r="LH11" i="2"/>
  <c r="LG11" i="2"/>
  <c r="LF11" i="2"/>
  <c r="LE11" i="2"/>
  <c r="LD11" i="2"/>
  <c r="LC11" i="2"/>
  <c r="LB11" i="2"/>
  <c r="KZ11" i="2"/>
  <c r="OJ11" i="2" s="1"/>
  <c r="KD11" i="2"/>
  <c r="JH11" i="2"/>
  <c r="IL11" i="2"/>
  <c r="HP11" i="2"/>
  <c r="HO11" i="2"/>
  <c r="HN11" i="2"/>
  <c r="HM11" i="2"/>
  <c r="HL11" i="2"/>
  <c r="HK11" i="2"/>
  <c r="HJ11" i="2"/>
  <c r="HI11" i="2"/>
  <c r="HH11" i="2"/>
  <c r="HG11" i="2"/>
  <c r="HF11" i="2"/>
  <c r="HE11" i="2"/>
  <c r="HD11" i="2"/>
  <c r="HC11" i="2"/>
  <c r="HB11" i="2"/>
  <c r="HA11" i="2"/>
  <c r="GZ11" i="2"/>
  <c r="GY11" i="2"/>
  <c r="GX11" i="2"/>
  <c r="GW11" i="2"/>
  <c r="GV11" i="2"/>
  <c r="GT11" i="2"/>
  <c r="FX11" i="2"/>
  <c r="FW11" i="2"/>
  <c r="FV11" i="2"/>
  <c r="FU11" i="2"/>
  <c r="FT11" i="2"/>
  <c r="FS11" i="2"/>
  <c r="FR11" i="2"/>
  <c r="FQ11" i="2"/>
  <c r="FP11" i="2"/>
  <c r="FO11" i="2"/>
  <c r="FN11" i="2"/>
  <c r="FM11" i="2"/>
  <c r="FL11" i="2"/>
  <c r="FK11" i="2"/>
  <c r="FJ11" i="2"/>
  <c r="FI11" i="2"/>
  <c r="FH11" i="2"/>
  <c r="FG11" i="2"/>
  <c r="FF11" i="2"/>
  <c r="FE11" i="2"/>
  <c r="FD11" i="2"/>
  <c r="FB11" i="2"/>
  <c r="DY11" i="2"/>
  <c r="DU11" i="2"/>
  <c r="BD11" i="2"/>
  <c r="AZ11" i="2"/>
  <c r="AP11" i="2"/>
  <c r="AK11" i="2"/>
  <c r="AE11" i="2"/>
  <c r="W11" i="2"/>
  <c r="V11" i="2"/>
  <c r="L11" i="2"/>
  <c r="OI10" i="2"/>
  <c r="OH10" i="2"/>
  <c r="OG10" i="2"/>
  <c r="OF10" i="2"/>
  <c r="OE10" i="2"/>
  <c r="OD10" i="2"/>
  <c r="OC10" i="2"/>
  <c r="OB10" i="2"/>
  <c r="OA10" i="2"/>
  <c r="NZ10" i="2"/>
  <c r="NY10" i="2"/>
  <c r="NX10" i="2"/>
  <c r="NW10" i="2"/>
  <c r="NV10" i="2"/>
  <c r="NU10" i="2"/>
  <c r="NT10" i="2"/>
  <c r="NS10" i="2"/>
  <c r="NR10" i="2"/>
  <c r="NQ10" i="2"/>
  <c r="NP10" i="2"/>
  <c r="NM10" i="2"/>
  <c r="NL10" i="2"/>
  <c r="NK10" i="2"/>
  <c r="NJ10" i="2"/>
  <c r="NI10" i="2"/>
  <c r="NH10" i="2"/>
  <c r="NG10" i="2"/>
  <c r="NF10" i="2"/>
  <c r="NE10" i="2"/>
  <c r="ND10" i="2"/>
  <c r="NC10" i="2"/>
  <c r="NB10" i="2"/>
  <c r="NA10" i="2"/>
  <c r="MZ10" i="2"/>
  <c r="MY10" i="2"/>
  <c r="MX10" i="2"/>
  <c r="MW10" i="2"/>
  <c r="MV10" i="2"/>
  <c r="MU10" i="2"/>
  <c r="MT10" i="2"/>
  <c r="MQ10" i="2"/>
  <c r="MP10" i="2"/>
  <c r="MO10" i="2"/>
  <c r="MN10" i="2"/>
  <c r="MM10" i="2"/>
  <c r="ML10" i="2"/>
  <c r="MK10" i="2"/>
  <c r="MJ10" i="2"/>
  <c r="MI10" i="2"/>
  <c r="MH10" i="2"/>
  <c r="MG10" i="2"/>
  <c r="MF10" i="2"/>
  <c r="ME10" i="2"/>
  <c r="MD10" i="2"/>
  <c r="MC10" i="2"/>
  <c r="MB10" i="2"/>
  <c r="MA10" i="2"/>
  <c r="LZ10" i="2"/>
  <c r="LY10" i="2"/>
  <c r="LX10" i="2"/>
  <c r="LU10" i="2"/>
  <c r="LT10" i="2"/>
  <c r="LS10" i="2"/>
  <c r="LR10" i="2"/>
  <c r="LQ10" i="2"/>
  <c r="LP10" i="2"/>
  <c r="LO10" i="2"/>
  <c r="LN10" i="2"/>
  <c r="LM10" i="2"/>
  <c r="LL10" i="2"/>
  <c r="LK10" i="2"/>
  <c r="LJ10" i="2"/>
  <c r="LI10" i="2"/>
  <c r="LH10" i="2"/>
  <c r="LG10" i="2"/>
  <c r="LF10" i="2"/>
  <c r="LE10" i="2"/>
  <c r="LD10" i="2"/>
  <c r="LC10" i="2"/>
  <c r="LB10" i="2"/>
  <c r="KZ10" i="2"/>
  <c r="NN10" i="2" s="1"/>
  <c r="KD10" i="2"/>
  <c r="JH10" i="2"/>
  <c r="IL10" i="2"/>
  <c r="HP10" i="2"/>
  <c r="HO10" i="2"/>
  <c r="HN10" i="2"/>
  <c r="HM10" i="2"/>
  <c r="HL10" i="2"/>
  <c r="HK10" i="2"/>
  <c r="HJ10" i="2"/>
  <c r="HI10" i="2"/>
  <c r="HH10" i="2"/>
  <c r="HG10" i="2"/>
  <c r="HF10" i="2"/>
  <c r="HE10" i="2"/>
  <c r="HD10" i="2"/>
  <c r="HC10" i="2"/>
  <c r="HB10" i="2"/>
  <c r="HA10" i="2"/>
  <c r="GZ10" i="2"/>
  <c r="GY10" i="2"/>
  <c r="GX10" i="2"/>
  <c r="GW10" i="2"/>
  <c r="GV10" i="2"/>
  <c r="GT10" i="2"/>
  <c r="FW10" i="2"/>
  <c r="FV10" i="2"/>
  <c r="FU10" i="2"/>
  <c r="FT10" i="2"/>
  <c r="FS10" i="2"/>
  <c r="FR10" i="2"/>
  <c r="FQ10" i="2"/>
  <c r="FP10" i="2"/>
  <c r="FO10" i="2"/>
  <c r="FN10" i="2"/>
  <c r="FM10" i="2"/>
  <c r="FL10" i="2"/>
  <c r="FK10" i="2"/>
  <c r="FJ10" i="2"/>
  <c r="FI10" i="2"/>
  <c r="FH10" i="2"/>
  <c r="FG10" i="2"/>
  <c r="FF10" i="2"/>
  <c r="FE10" i="2"/>
  <c r="FD10" i="2"/>
  <c r="FB10" i="2"/>
  <c r="FX10" i="2" s="1"/>
  <c r="DU10" i="2"/>
  <c r="DY10" i="2" s="1"/>
  <c r="BD10" i="2"/>
  <c r="AZ10" i="2"/>
  <c r="AP10" i="2"/>
  <c r="AK10" i="2"/>
  <c r="AE10" i="2"/>
  <c r="W10" i="2"/>
  <c r="V10" i="2"/>
  <c r="L10" i="2"/>
  <c r="OI9" i="2"/>
  <c r="OH9" i="2"/>
  <c r="OG9" i="2"/>
  <c r="OF9" i="2"/>
  <c r="OE9" i="2"/>
  <c r="OD9" i="2"/>
  <c r="OC9" i="2"/>
  <c r="OB9" i="2"/>
  <c r="OA9" i="2"/>
  <c r="NZ9" i="2"/>
  <c r="NY9" i="2"/>
  <c r="NX9" i="2"/>
  <c r="NW9" i="2"/>
  <c r="NV9" i="2"/>
  <c r="NU9" i="2"/>
  <c r="NT9" i="2"/>
  <c r="NS9" i="2"/>
  <c r="NR9" i="2"/>
  <c r="NQ9" i="2"/>
  <c r="NP9" i="2"/>
  <c r="NN9" i="2"/>
  <c r="NM9" i="2"/>
  <c r="NL9" i="2"/>
  <c r="NK9" i="2"/>
  <c r="NJ9" i="2"/>
  <c r="NI9" i="2"/>
  <c r="NH9" i="2"/>
  <c r="NG9" i="2"/>
  <c r="NF9" i="2"/>
  <c r="NE9" i="2"/>
  <c r="ND9" i="2"/>
  <c r="NC9" i="2"/>
  <c r="NB9" i="2"/>
  <c r="NA9" i="2"/>
  <c r="MZ9" i="2"/>
  <c r="MY9" i="2"/>
  <c r="MX9" i="2"/>
  <c r="MW9" i="2"/>
  <c r="MV9" i="2"/>
  <c r="MU9" i="2"/>
  <c r="MT9" i="2"/>
  <c r="MR9" i="2"/>
  <c r="MQ9" i="2"/>
  <c r="MP9" i="2"/>
  <c r="MO9" i="2"/>
  <c r="MN9" i="2"/>
  <c r="MM9" i="2"/>
  <c r="ML9" i="2"/>
  <c r="MK9" i="2"/>
  <c r="MJ9" i="2"/>
  <c r="MI9" i="2"/>
  <c r="MH9" i="2"/>
  <c r="MG9" i="2"/>
  <c r="MF9" i="2"/>
  <c r="ME9" i="2"/>
  <c r="MD9" i="2"/>
  <c r="MC9" i="2"/>
  <c r="MB9" i="2"/>
  <c r="MA9" i="2"/>
  <c r="LZ9" i="2"/>
  <c r="LY9" i="2"/>
  <c r="LX9" i="2"/>
  <c r="LU9" i="2"/>
  <c r="LT9" i="2"/>
  <c r="LS9" i="2"/>
  <c r="LR9" i="2"/>
  <c r="LQ9" i="2"/>
  <c r="LP9" i="2"/>
  <c r="LO9" i="2"/>
  <c r="LN9" i="2"/>
  <c r="LM9" i="2"/>
  <c r="LL9" i="2"/>
  <c r="LK9" i="2"/>
  <c r="LJ9" i="2"/>
  <c r="LI9" i="2"/>
  <c r="LH9" i="2"/>
  <c r="LG9" i="2"/>
  <c r="LF9" i="2"/>
  <c r="LE9" i="2"/>
  <c r="LD9" i="2"/>
  <c r="LC9" i="2"/>
  <c r="LB9" i="2"/>
  <c r="KZ9" i="2"/>
  <c r="OJ9" i="2" s="1"/>
  <c r="KD9" i="2"/>
  <c r="JH9" i="2"/>
  <c r="IL9" i="2"/>
  <c r="HO9" i="2"/>
  <c r="HN9" i="2"/>
  <c r="HM9" i="2"/>
  <c r="HL9" i="2"/>
  <c r="HK9" i="2"/>
  <c r="HJ9" i="2"/>
  <c r="HI9" i="2"/>
  <c r="HH9" i="2"/>
  <c r="HG9" i="2"/>
  <c r="HF9" i="2"/>
  <c r="HE9" i="2"/>
  <c r="HD9" i="2"/>
  <c r="HC9" i="2"/>
  <c r="HB9" i="2"/>
  <c r="HA9" i="2"/>
  <c r="GZ9" i="2"/>
  <c r="GY9" i="2"/>
  <c r="GX9" i="2"/>
  <c r="GW9" i="2"/>
  <c r="GV9" i="2"/>
  <c r="GT9" i="2"/>
  <c r="HP9" i="2" s="1"/>
  <c r="FW9" i="2"/>
  <c r="FV9" i="2"/>
  <c r="FU9" i="2"/>
  <c r="FT9" i="2"/>
  <c r="FS9" i="2"/>
  <c r="FR9" i="2"/>
  <c r="FQ9" i="2"/>
  <c r="FP9" i="2"/>
  <c r="FO9" i="2"/>
  <c r="FN9" i="2"/>
  <c r="FM9" i="2"/>
  <c r="FL9" i="2"/>
  <c r="FK9" i="2"/>
  <c r="FJ9" i="2"/>
  <c r="FI9" i="2"/>
  <c r="FH9" i="2"/>
  <c r="FG9" i="2"/>
  <c r="FF9" i="2"/>
  <c r="FE9" i="2"/>
  <c r="FD9" i="2"/>
  <c r="FB9" i="2"/>
  <c r="FX9" i="2" s="1"/>
  <c r="DU9" i="2"/>
  <c r="DY9" i="2" s="1"/>
  <c r="BD9" i="2"/>
  <c r="AZ9" i="2"/>
  <c r="AP9" i="2"/>
  <c r="AK9" i="2"/>
  <c r="AE9" i="2"/>
  <c r="W9" i="2"/>
  <c r="V9" i="2"/>
  <c r="L9" i="2"/>
  <c r="OI8" i="2"/>
  <c r="OH8" i="2"/>
  <c r="OG8" i="2"/>
  <c r="OF8" i="2"/>
  <c r="OE8" i="2"/>
  <c r="OD8" i="2"/>
  <c r="OC8" i="2"/>
  <c r="OB8" i="2"/>
  <c r="OA8" i="2"/>
  <c r="NZ8" i="2"/>
  <c r="NY8" i="2"/>
  <c r="NX8" i="2"/>
  <c r="NW8" i="2"/>
  <c r="NV8" i="2"/>
  <c r="NU8" i="2"/>
  <c r="NT8" i="2"/>
  <c r="NS8" i="2"/>
  <c r="NR8" i="2"/>
  <c r="NQ8" i="2"/>
  <c r="NP8" i="2"/>
  <c r="NN8" i="2"/>
  <c r="NM8" i="2"/>
  <c r="NL8" i="2"/>
  <c r="NK8" i="2"/>
  <c r="NJ8" i="2"/>
  <c r="NI8" i="2"/>
  <c r="NH8" i="2"/>
  <c r="NG8" i="2"/>
  <c r="NF8" i="2"/>
  <c r="NE8" i="2"/>
  <c r="ND8" i="2"/>
  <c r="NC8" i="2"/>
  <c r="NB8" i="2"/>
  <c r="NA8" i="2"/>
  <c r="MZ8" i="2"/>
  <c r="MY8" i="2"/>
  <c r="MX8" i="2"/>
  <c r="MW8" i="2"/>
  <c r="MV8" i="2"/>
  <c r="MU8" i="2"/>
  <c r="MT8" i="2"/>
  <c r="MQ8" i="2"/>
  <c r="MP8" i="2"/>
  <c r="MO8" i="2"/>
  <c r="MN8" i="2"/>
  <c r="MM8" i="2"/>
  <c r="ML8" i="2"/>
  <c r="MK8" i="2"/>
  <c r="MJ8" i="2"/>
  <c r="MI8" i="2"/>
  <c r="MH8" i="2"/>
  <c r="MG8" i="2"/>
  <c r="MF8" i="2"/>
  <c r="ME8" i="2"/>
  <c r="MD8" i="2"/>
  <c r="MC8" i="2"/>
  <c r="MB8" i="2"/>
  <c r="MA8" i="2"/>
  <c r="LZ8" i="2"/>
  <c r="LY8" i="2"/>
  <c r="LX8" i="2"/>
  <c r="LV8" i="2"/>
  <c r="LU8" i="2"/>
  <c r="LT8" i="2"/>
  <c r="LS8" i="2"/>
  <c r="LR8" i="2"/>
  <c r="LQ8" i="2"/>
  <c r="LP8" i="2"/>
  <c r="LO8" i="2"/>
  <c r="LN8" i="2"/>
  <c r="LM8" i="2"/>
  <c r="LL8" i="2"/>
  <c r="LK8" i="2"/>
  <c r="LJ8" i="2"/>
  <c r="LI8" i="2"/>
  <c r="LH8" i="2"/>
  <c r="LG8" i="2"/>
  <c r="LF8" i="2"/>
  <c r="LE8" i="2"/>
  <c r="LD8" i="2"/>
  <c r="LC8" i="2"/>
  <c r="LB8" i="2"/>
  <c r="KZ8" i="2"/>
  <c r="MR8" i="2" s="1"/>
  <c r="KD8" i="2"/>
  <c r="JH8" i="2"/>
  <c r="IL8" i="2"/>
  <c r="HO8" i="2"/>
  <c r="HN8" i="2"/>
  <c r="HM8" i="2"/>
  <c r="HL8" i="2"/>
  <c r="HK8" i="2"/>
  <c r="HJ8" i="2"/>
  <c r="HI8" i="2"/>
  <c r="HH8" i="2"/>
  <c r="HG8" i="2"/>
  <c r="HF8" i="2"/>
  <c r="HE8" i="2"/>
  <c r="HD8" i="2"/>
  <c r="HC8" i="2"/>
  <c r="HB8" i="2"/>
  <c r="HA8" i="2"/>
  <c r="GZ8" i="2"/>
  <c r="GY8" i="2"/>
  <c r="GX8" i="2"/>
  <c r="GW8" i="2"/>
  <c r="GV8" i="2"/>
  <c r="GT8" i="2"/>
  <c r="HP8" i="2" s="1"/>
  <c r="FW8" i="2"/>
  <c r="FV8" i="2"/>
  <c r="FU8" i="2"/>
  <c r="FT8" i="2"/>
  <c r="FS8" i="2"/>
  <c r="FR8" i="2"/>
  <c r="FQ8" i="2"/>
  <c r="FP8" i="2"/>
  <c r="FO8" i="2"/>
  <c r="FN8" i="2"/>
  <c r="FM8" i="2"/>
  <c r="FL8" i="2"/>
  <c r="FK8" i="2"/>
  <c r="FJ8" i="2"/>
  <c r="FI8" i="2"/>
  <c r="FH8" i="2"/>
  <c r="FG8" i="2"/>
  <c r="FF8" i="2"/>
  <c r="FE8" i="2"/>
  <c r="FD8" i="2"/>
  <c r="FB8" i="2"/>
  <c r="FX8" i="2" s="1"/>
  <c r="DY8" i="2"/>
  <c r="DU8" i="2"/>
  <c r="BD8" i="2"/>
  <c r="AZ8" i="2"/>
  <c r="AP8" i="2"/>
  <c r="AK8" i="2"/>
  <c r="AE8" i="2"/>
  <c r="W8" i="2"/>
  <c r="V8" i="2"/>
  <c r="L8" i="2"/>
  <c r="OI7" i="2"/>
  <c r="OH7" i="2"/>
  <c r="OG7" i="2"/>
  <c r="OF7" i="2"/>
  <c r="OE7" i="2"/>
  <c r="OD7" i="2"/>
  <c r="OC7" i="2"/>
  <c r="OB7" i="2"/>
  <c r="OA7" i="2"/>
  <c r="NZ7" i="2"/>
  <c r="NY7" i="2"/>
  <c r="NX7" i="2"/>
  <c r="NW7" i="2"/>
  <c r="NV7" i="2"/>
  <c r="NU7" i="2"/>
  <c r="NT7" i="2"/>
  <c r="NS7" i="2"/>
  <c r="NR7" i="2"/>
  <c r="NQ7" i="2"/>
  <c r="NP7" i="2"/>
  <c r="NM7" i="2"/>
  <c r="NL7" i="2"/>
  <c r="NK7" i="2"/>
  <c r="NJ7" i="2"/>
  <c r="NI7" i="2"/>
  <c r="NH7" i="2"/>
  <c r="NG7" i="2"/>
  <c r="NF7" i="2"/>
  <c r="NE7" i="2"/>
  <c r="ND7" i="2"/>
  <c r="NC7" i="2"/>
  <c r="NB7" i="2"/>
  <c r="NA7" i="2"/>
  <c r="MZ7" i="2"/>
  <c r="MY7" i="2"/>
  <c r="MX7" i="2"/>
  <c r="MW7" i="2"/>
  <c r="MV7" i="2"/>
  <c r="MU7" i="2"/>
  <c r="MT7" i="2"/>
  <c r="MQ7" i="2"/>
  <c r="MP7" i="2"/>
  <c r="MO7" i="2"/>
  <c r="MN7" i="2"/>
  <c r="MM7" i="2"/>
  <c r="ML7" i="2"/>
  <c r="MK7" i="2"/>
  <c r="MJ7" i="2"/>
  <c r="MI7" i="2"/>
  <c r="MH7" i="2"/>
  <c r="MG7" i="2"/>
  <c r="MF7" i="2"/>
  <c r="ME7" i="2"/>
  <c r="MD7" i="2"/>
  <c r="MC7" i="2"/>
  <c r="MB7" i="2"/>
  <c r="MA7" i="2"/>
  <c r="LZ7" i="2"/>
  <c r="LY7" i="2"/>
  <c r="LX7" i="2"/>
  <c r="LU7" i="2"/>
  <c r="LT7" i="2"/>
  <c r="LS7" i="2"/>
  <c r="LR7" i="2"/>
  <c r="LQ7" i="2"/>
  <c r="LP7" i="2"/>
  <c r="LO7" i="2"/>
  <c r="LN7" i="2"/>
  <c r="LM7" i="2"/>
  <c r="LL7" i="2"/>
  <c r="LK7" i="2"/>
  <c r="LJ7" i="2"/>
  <c r="LI7" i="2"/>
  <c r="LH7" i="2"/>
  <c r="LG7" i="2"/>
  <c r="LF7" i="2"/>
  <c r="LE7" i="2"/>
  <c r="LD7" i="2"/>
  <c r="LC7" i="2"/>
  <c r="LB7" i="2"/>
  <c r="KZ7" i="2"/>
  <c r="LV7" i="2" s="1"/>
  <c r="KD7" i="2"/>
  <c r="JH7" i="2"/>
  <c r="IL7" i="2"/>
  <c r="HP7" i="2"/>
  <c r="HO7" i="2"/>
  <c r="HN7" i="2"/>
  <c r="HM7" i="2"/>
  <c r="HL7" i="2"/>
  <c r="HK7" i="2"/>
  <c r="HJ7" i="2"/>
  <c r="HI7" i="2"/>
  <c r="HH7" i="2"/>
  <c r="HG7" i="2"/>
  <c r="HF7" i="2"/>
  <c r="HE7" i="2"/>
  <c r="HD7" i="2"/>
  <c r="HC7" i="2"/>
  <c r="HB7" i="2"/>
  <c r="HA7" i="2"/>
  <c r="GZ7" i="2"/>
  <c r="GY7" i="2"/>
  <c r="GX7" i="2"/>
  <c r="GW7" i="2"/>
  <c r="GV7" i="2"/>
  <c r="GT7" i="2"/>
  <c r="FW7" i="2"/>
  <c r="FV7" i="2"/>
  <c r="FU7" i="2"/>
  <c r="FT7" i="2"/>
  <c r="FS7" i="2"/>
  <c r="FR7" i="2"/>
  <c r="FQ7" i="2"/>
  <c r="FP7" i="2"/>
  <c r="FO7" i="2"/>
  <c r="FN7" i="2"/>
  <c r="FM7" i="2"/>
  <c r="FL7" i="2"/>
  <c r="FK7" i="2"/>
  <c r="FJ7" i="2"/>
  <c r="FI7" i="2"/>
  <c r="FH7" i="2"/>
  <c r="FG7" i="2"/>
  <c r="FF7" i="2"/>
  <c r="FE7" i="2"/>
  <c r="FD7" i="2"/>
  <c r="FB7" i="2"/>
  <c r="FX7" i="2" s="1"/>
  <c r="DU7" i="2"/>
  <c r="DY7" i="2" s="1"/>
  <c r="BD7" i="2"/>
  <c r="AZ7" i="2"/>
  <c r="AP7" i="2"/>
  <c r="AK7" i="2"/>
  <c r="AE7" i="2"/>
  <c r="W7" i="2"/>
  <c r="V7" i="2"/>
  <c r="L7" i="2"/>
  <c r="OI6" i="2"/>
  <c r="OH6" i="2"/>
  <c r="OG6" i="2"/>
  <c r="OF6" i="2"/>
  <c r="OE6" i="2"/>
  <c r="OD6" i="2"/>
  <c r="OC6" i="2"/>
  <c r="OB6" i="2"/>
  <c r="OA6" i="2"/>
  <c r="NZ6" i="2"/>
  <c r="NY6" i="2"/>
  <c r="NX6" i="2"/>
  <c r="NW6" i="2"/>
  <c r="NV6" i="2"/>
  <c r="NU6" i="2"/>
  <c r="NT6" i="2"/>
  <c r="NS6" i="2"/>
  <c r="NR6" i="2"/>
  <c r="NQ6" i="2"/>
  <c r="NP6" i="2"/>
  <c r="NN6" i="2"/>
  <c r="NM6" i="2"/>
  <c r="NL6" i="2"/>
  <c r="NK6" i="2"/>
  <c r="NJ6" i="2"/>
  <c r="NI6" i="2"/>
  <c r="NH6" i="2"/>
  <c r="NG6" i="2"/>
  <c r="NF6" i="2"/>
  <c r="NE6" i="2"/>
  <c r="ND6" i="2"/>
  <c r="NC6" i="2"/>
  <c r="NB6" i="2"/>
  <c r="NA6" i="2"/>
  <c r="MZ6" i="2"/>
  <c r="MY6" i="2"/>
  <c r="MX6" i="2"/>
  <c r="MW6" i="2"/>
  <c r="MV6" i="2"/>
  <c r="MU6" i="2"/>
  <c r="MT6" i="2"/>
  <c r="MR6" i="2"/>
  <c r="MQ6" i="2"/>
  <c r="MP6" i="2"/>
  <c r="MO6" i="2"/>
  <c r="MN6" i="2"/>
  <c r="MM6" i="2"/>
  <c r="ML6" i="2"/>
  <c r="MK6" i="2"/>
  <c r="MJ6" i="2"/>
  <c r="MI6" i="2"/>
  <c r="MH6" i="2"/>
  <c r="MG6" i="2"/>
  <c r="MF6" i="2"/>
  <c r="ME6" i="2"/>
  <c r="MD6" i="2"/>
  <c r="MC6" i="2"/>
  <c r="MB6" i="2"/>
  <c r="MA6" i="2"/>
  <c r="LZ6" i="2"/>
  <c r="LY6" i="2"/>
  <c r="LX6" i="2"/>
  <c r="LU6" i="2"/>
  <c r="LT6" i="2"/>
  <c r="LS6" i="2"/>
  <c r="LR6" i="2"/>
  <c r="LQ6" i="2"/>
  <c r="LP6" i="2"/>
  <c r="LO6" i="2"/>
  <c r="LN6" i="2"/>
  <c r="LM6" i="2"/>
  <c r="LL6" i="2"/>
  <c r="LK6" i="2"/>
  <c r="LJ6" i="2"/>
  <c r="LI6" i="2"/>
  <c r="LH6" i="2"/>
  <c r="LG6" i="2"/>
  <c r="LF6" i="2"/>
  <c r="LE6" i="2"/>
  <c r="LD6" i="2"/>
  <c r="LC6" i="2"/>
  <c r="LB6" i="2"/>
  <c r="KZ6" i="2"/>
  <c r="OJ6" i="2" s="1"/>
  <c r="KD6" i="2"/>
  <c r="JH6" i="2"/>
  <c r="IL6" i="2"/>
  <c r="HO6" i="2"/>
  <c r="HN6" i="2"/>
  <c r="HM6" i="2"/>
  <c r="HL6" i="2"/>
  <c r="HK6" i="2"/>
  <c r="HJ6" i="2"/>
  <c r="HI6" i="2"/>
  <c r="HH6" i="2"/>
  <c r="HG6" i="2"/>
  <c r="HF6" i="2"/>
  <c r="HE6" i="2"/>
  <c r="HD6" i="2"/>
  <c r="HC6" i="2"/>
  <c r="HB6" i="2"/>
  <c r="HA6" i="2"/>
  <c r="GZ6" i="2"/>
  <c r="GY6" i="2"/>
  <c r="GX6" i="2"/>
  <c r="GW6" i="2"/>
  <c r="GV6" i="2"/>
  <c r="GT6" i="2"/>
  <c r="HP6" i="2" s="1"/>
  <c r="FX6" i="2"/>
  <c r="FW6" i="2"/>
  <c r="FV6" i="2"/>
  <c r="FU6" i="2"/>
  <c r="FT6" i="2"/>
  <c r="FS6" i="2"/>
  <c r="FR6" i="2"/>
  <c r="FQ6" i="2"/>
  <c r="FP6" i="2"/>
  <c r="FO6" i="2"/>
  <c r="FN6" i="2"/>
  <c r="FM6" i="2"/>
  <c r="FL6" i="2"/>
  <c r="FK6" i="2"/>
  <c r="FJ6" i="2"/>
  <c r="FI6" i="2"/>
  <c r="FH6" i="2"/>
  <c r="FG6" i="2"/>
  <c r="FF6" i="2"/>
  <c r="FE6" i="2"/>
  <c r="FD6" i="2"/>
  <c r="FB6" i="2"/>
  <c r="DY6" i="2"/>
  <c r="DU6" i="2"/>
  <c r="BD6" i="2"/>
  <c r="AZ6" i="2"/>
  <c r="AP6" i="2"/>
  <c r="AK6" i="2"/>
  <c r="AE6" i="2"/>
  <c r="W6" i="2"/>
  <c r="V6" i="2"/>
  <c r="L6" i="2"/>
  <c r="OJ5" i="2"/>
  <c r="OI5" i="2"/>
  <c r="OH5" i="2"/>
  <c r="OG5" i="2"/>
  <c r="OF5" i="2"/>
  <c r="OE5" i="2"/>
  <c r="OD5" i="2"/>
  <c r="OC5" i="2"/>
  <c r="OB5" i="2"/>
  <c r="OA5" i="2"/>
  <c r="NZ5" i="2"/>
  <c r="NY5" i="2"/>
  <c r="NX5" i="2"/>
  <c r="NW5" i="2"/>
  <c r="NV5" i="2"/>
  <c r="NU5" i="2"/>
  <c r="NT5" i="2"/>
  <c r="NS5" i="2"/>
  <c r="NR5" i="2"/>
  <c r="NQ5" i="2"/>
  <c r="NP5" i="2"/>
  <c r="NN5" i="2"/>
  <c r="NM5" i="2"/>
  <c r="NL5" i="2"/>
  <c r="NK5" i="2"/>
  <c r="NJ5" i="2"/>
  <c r="NI5" i="2"/>
  <c r="NH5" i="2"/>
  <c r="NG5" i="2"/>
  <c r="NF5" i="2"/>
  <c r="NE5" i="2"/>
  <c r="ND5" i="2"/>
  <c r="NC5" i="2"/>
  <c r="NB5" i="2"/>
  <c r="NA5" i="2"/>
  <c r="MZ5" i="2"/>
  <c r="MY5" i="2"/>
  <c r="MX5" i="2"/>
  <c r="MW5" i="2"/>
  <c r="MV5" i="2"/>
  <c r="MU5" i="2"/>
  <c r="MT5" i="2"/>
  <c r="MR5" i="2"/>
  <c r="MQ5" i="2"/>
  <c r="MP5" i="2"/>
  <c r="MO5" i="2"/>
  <c r="MN5" i="2"/>
  <c r="MM5" i="2"/>
  <c r="ML5" i="2"/>
  <c r="MK5" i="2"/>
  <c r="MJ5" i="2"/>
  <c r="MI5" i="2"/>
  <c r="MH5" i="2"/>
  <c r="MG5" i="2"/>
  <c r="MF5" i="2"/>
  <c r="ME5" i="2"/>
  <c r="MD5" i="2"/>
  <c r="MC5" i="2"/>
  <c r="MB5" i="2"/>
  <c r="MA5" i="2"/>
  <c r="LZ5" i="2"/>
  <c r="LY5" i="2"/>
  <c r="LX5" i="2"/>
  <c r="LV5" i="2"/>
  <c r="LU5" i="2"/>
  <c r="LT5" i="2"/>
  <c r="LS5" i="2"/>
  <c r="LR5" i="2"/>
  <c r="LQ5" i="2"/>
  <c r="LP5" i="2"/>
  <c r="LO5" i="2"/>
  <c r="LN5" i="2"/>
  <c r="LM5" i="2"/>
  <c r="LL5" i="2"/>
  <c r="LK5" i="2"/>
  <c r="LJ5" i="2"/>
  <c r="LI5" i="2"/>
  <c r="LH5" i="2"/>
  <c r="LG5" i="2"/>
  <c r="LF5" i="2"/>
  <c r="LE5" i="2"/>
  <c r="LD5" i="2"/>
  <c r="LC5" i="2"/>
  <c r="LB5" i="2"/>
  <c r="HO5" i="2"/>
  <c r="HN5" i="2"/>
  <c r="HM5" i="2"/>
  <c r="HL5" i="2"/>
  <c r="HK5" i="2"/>
  <c r="HJ5" i="2"/>
  <c r="HI5" i="2"/>
  <c r="HH5" i="2"/>
  <c r="HG5" i="2"/>
  <c r="HF5" i="2"/>
  <c r="HE5" i="2"/>
  <c r="HD5" i="2"/>
  <c r="HC5" i="2"/>
  <c r="HB5" i="2"/>
  <c r="HA5" i="2"/>
  <c r="GZ5" i="2"/>
  <c r="GY5" i="2"/>
  <c r="GX5" i="2"/>
  <c r="GW5" i="2"/>
  <c r="GV5" i="2"/>
  <c r="GT5" i="2"/>
  <c r="HP5" i="2" s="1"/>
  <c r="FX5" i="2"/>
  <c r="FW5" i="2"/>
  <c r="FV5" i="2"/>
  <c r="FU5" i="2"/>
  <c r="FT5" i="2"/>
  <c r="FS5" i="2"/>
  <c r="FR5" i="2"/>
  <c r="FQ5" i="2"/>
  <c r="FP5" i="2"/>
  <c r="FO5" i="2"/>
  <c r="FN5" i="2"/>
  <c r="FM5" i="2"/>
  <c r="FL5" i="2"/>
  <c r="FK5" i="2"/>
  <c r="FJ5" i="2"/>
  <c r="FI5" i="2"/>
  <c r="FH5" i="2"/>
  <c r="FG5" i="2"/>
  <c r="FF5" i="2"/>
  <c r="FE5" i="2"/>
  <c r="FD5" i="2"/>
  <c r="FB5" i="2"/>
  <c r="DU5" i="2"/>
  <c r="DY5" i="2" s="1"/>
  <c r="BD5" i="2"/>
  <c r="AZ5" i="2"/>
  <c r="AP5" i="2"/>
  <c r="AK5" i="2"/>
  <c r="AE5" i="2"/>
  <c r="W5" i="2"/>
  <c r="V5" i="2"/>
  <c r="L5" i="2"/>
  <c r="BD4" i="2"/>
  <c r="AZ4" i="2"/>
  <c r="AP4" i="2"/>
  <c r="AK4" i="2"/>
  <c r="AE4" i="2"/>
  <c r="AL25" i="1"/>
  <c r="AK25" i="1"/>
  <c r="AD25" i="1"/>
  <c r="T25" i="1"/>
  <c r="R25" i="1"/>
  <c r="K25" i="1"/>
  <c r="HW23" i="1"/>
  <c r="VN22" i="1"/>
  <c r="VN21" i="1"/>
  <c r="VN18" i="1"/>
  <c r="VN17" i="1"/>
  <c r="VN16" i="1"/>
  <c r="VN15" i="1"/>
  <c r="VH14" i="1"/>
  <c r="VH22" i="1" s="1"/>
  <c r="VG14" i="1"/>
  <c r="VG22" i="1" s="1"/>
  <c r="VF14" i="1"/>
  <c r="VF22" i="1" s="1"/>
  <c r="VE14" i="1"/>
  <c r="VE22" i="1" s="1"/>
  <c r="VD14" i="1"/>
  <c r="VD22" i="1" s="1"/>
  <c r="VC14" i="1"/>
  <c r="VC22" i="1" s="1"/>
  <c r="VB14" i="1"/>
  <c r="VB22" i="1" s="1"/>
  <c r="VA14" i="1"/>
  <c r="VA22" i="1" s="1"/>
  <c r="UZ14" i="1"/>
  <c r="UZ22" i="1" s="1"/>
  <c r="UY14" i="1"/>
  <c r="UY22" i="1" s="1"/>
  <c r="UX14" i="1"/>
  <c r="UX22" i="1" s="1"/>
  <c r="UW14" i="1"/>
  <c r="UW22" i="1" s="1"/>
  <c r="UV14" i="1"/>
  <c r="UV22" i="1" s="1"/>
  <c r="UQ14" i="1"/>
  <c r="UQ22" i="1" s="1"/>
  <c r="UP14" i="1"/>
  <c r="UP22" i="1" s="1"/>
  <c r="UO14" i="1"/>
  <c r="UO22" i="1" s="1"/>
  <c r="UN14" i="1"/>
  <c r="UN22" i="1" s="1"/>
  <c r="UM14" i="1"/>
  <c r="UM22" i="1" s="1"/>
  <c r="UL14" i="1"/>
  <c r="UL22" i="1" s="1"/>
  <c r="UK14" i="1"/>
  <c r="UK22" i="1" s="1"/>
  <c r="UI14" i="1"/>
  <c r="UI22" i="1" s="1"/>
  <c r="UH14" i="1"/>
  <c r="UH22" i="1" s="1"/>
  <c r="UG14" i="1"/>
  <c r="UG22" i="1" s="1"/>
  <c r="UF14" i="1"/>
  <c r="UF22" i="1" s="1"/>
  <c r="TX14" i="1"/>
  <c r="TX22" i="1" s="1"/>
  <c r="TW14" i="1"/>
  <c r="TW22" i="1" s="1"/>
  <c r="TV14" i="1"/>
  <c r="TV22" i="1" s="1"/>
  <c r="TU14" i="1"/>
  <c r="TU22" i="1" s="1"/>
  <c r="TT14" i="1"/>
  <c r="TT22" i="1" s="1"/>
  <c r="TS14" i="1"/>
  <c r="TS22" i="1" s="1"/>
  <c r="TR14" i="1"/>
  <c r="TR22" i="1" s="1"/>
  <c r="TQ14" i="1"/>
  <c r="TQ22" i="1" s="1"/>
  <c r="TP14" i="1"/>
  <c r="TP22" i="1" s="1"/>
  <c r="TE14" i="1"/>
  <c r="TE22" i="1" s="1"/>
  <c r="TD14" i="1"/>
  <c r="TD22" i="1" s="1"/>
  <c r="TC14" i="1"/>
  <c r="TC22" i="1" s="1"/>
  <c r="TB14" i="1"/>
  <c r="TB22" i="1" s="1"/>
  <c r="TA14" i="1"/>
  <c r="TA22" i="1" s="1"/>
  <c r="SZ14" i="1"/>
  <c r="SZ22" i="1" s="1"/>
  <c r="SY14" i="1"/>
  <c r="SY22" i="1" s="1"/>
  <c r="SX14" i="1"/>
  <c r="SX22" i="1" s="1"/>
  <c r="SW14" i="1"/>
  <c r="SW22" i="1" s="1"/>
  <c r="SR14" i="1"/>
  <c r="SR22" i="1" s="1"/>
  <c r="SQ14" i="1"/>
  <c r="SQ22" i="1" s="1"/>
  <c r="SP14" i="1"/>
  <c r="SP22" i="1" s="1"/>
  <c r="SO14" i="1"/>
  <c r="SO22" i="1" s="1"/>
  <c r="SN14" i="1"/>
  <c r="SN22" i="1" s="1"/>
  <c r="SM14" i="1"/>
  <c r="SM22" i="1" s="1"/>
  <c r="SL14" i="1"/>
  <c r="SL22" i="1" s="1"/>
  <c r="SK14" i="1"/>
  <c r="SK22" i="1" s="1"/>
  <c r="SJ14" i="1"/>
  <c r="SJ22" i="1" s="1"/>
  <c r="RZ14" i="1"/>
  <c r="RZ22" i="1" s="1"/>
  <c r="RY14" i="1"/>
  <c r="RY22" i="1" s="1"/>
  <c r="RX14" i="1"/>
  <c r="RX22" i="1" s="1"/>
  <c r="RW14" i="1"/>
  <c r="RW22" i="1" s="1"/>
  <c r="RV14" i="1"/>
  <c r="RV22" i="1" s="1"/>
  <c r="RU14" i="1"/>
  <c r="RU22" i="1" s="1"/>
  <c r="RT14" i="1"/>
  <c r="RT22" i="1" s="1"/>
  <c r="RS14" i="1"/>
  <c r="RS22" i="1" s="1"/>
  <c r="RR14" i="1"/>
  <c r="RR22" i="1" s="1"/>
  <c r="RQ14" i="1"/>
  <c r="RQ22" i="1" s="1"/>
  <c r="RP14" i="1"/>
  <c r="RP22" i="1" s="1"/>
  <c r="RO14" i="1"/>
  <c r="RO22" i="1" s="1"/>
  <c r="RN14" i="1"/>
  <c r="RN22" i="1" s="1"/>
  <c r="RM14" i="1"/>
  <c r="RM22" i="1" s="1"/>
  <c r="RL14" i="1"/>
  <c r="RL22" i="1" s="1"/>
  <c r="RK14" i="1"/>
  <c r="RK22" i="1" s="1"/>
  <c r="RJ14" i="1"/>
  <c r="RJ22" i="1" s="1"/>
  <c r="RC14" i="1"/>
  <c r="RC22" i="1" s="1"/>
  <c r="RB14" i="1"/>
  <c r="RB22" i="1" s="1"/>
  <c r="RA14" i="1"/>
  <c r="RA22" i="1" s="1"/>
  <c r="QZ14" i="1"/>
  <c r="QZ22" i="1" s="1"/>
  <c r="QY14" i="1"/>
  <c r="QY22" i="1" s="1"/>
  <c r="QX14" i="1"/>
  <c r="QX22" i="1" s="1"/>
  <c r="QW14" i="1"/>
  <c r="QW22" i="1" s="1"/>
  <c r="QV14" i="1"/>
  <c r="QV22" i="1" s="1"/>
  <c r="QU14" i="1"/>
  <c r="QU22" i="1" s="1"/>
  <c r="QT14" i="1"/>
  <c r="QT22" i="1" s="1"/>
  <c r="QS14" i="1"/>
  <c r="QS22" i="1" s="1"/>
  <c r="QR14" i="1"/>
  <c r="QR22" i="1" s="1"/>
  <c r="QQ14" i="1"/>
  <c r="QQ22" i="1" s="1"/>
  <c r="QP14" i="1"/>
  <c r="QP22" i="1" s="1"/>
  <c r="QO14" i="1"/>
  <c r="QO22" i="1" s="1"/>
  <c r="QN14" i="1"/>
  <c r="QN22" i="1" s="1"/>
  <c r="QM14" i="1"/>
  <c r="QM22" i="1" s="1"/>
  <c r="QL14" i="1"/>
  <c r="QL22" i="1" s="1"/>
  <c r="QK14" i="1"/>
  <c r="QK22" i="1" s="1"/>
  <c r="QE14" i="1"/>
  <c r="QE22" i="1" s="1"/>
  <c r="QD14" i="1"/>
  <c r="QD22" i="1" s="1"/>
  <c r="QC14" i="1"/>
  <c r="QC22" i="1" s="1"/>
  <c r="QB14" i="1"/>
  <c r="QB22" i="1" s="1"/>
  <c r="QA14" i="1"/>
  <c r="QA22" i="1" s="1"/>
  <c r="PZ14" i="1"/>
  <c r="PZ22" i="1" s="1"/>
  <c r="PY14" i="1"/>
  <c r="PY22" i="1" s="1"/>
  <c r="PX14" i="1"/>
  <c r="PX22" i="1" s="1"/>
  <c r="PW14" i="1"/>
  <c r="PW22" i="1" s="1"/>
  <c r="PV14" i="1"/>
  <c r="PV22" i="1" s="1"/>
  <c r="PU14" i="1"/>
  <c r="PU22" i="1" s="1"/>
  <c r="PJ14" i="1"/>
  <c r="PJ22" i="1" s="1"/>
  <c r="PI14" i="1"/>
  <c r="PI22" i="1" s="1"/>
  <c r="PH14" i="1"/>
  <c r="PH22" i="1" s="1"/>
  <c r="PG14" i="1"/>
  <c r="PG22" i="1" s="1"/>
  <c r="PF14" i="1"/>
  <c r="PF22" i="1" s="1"/>
  <c r="PE14" i="1"/>
  <c r="PE22" i="1" s="1"/>
  <c r="PD14" i="1"/>
  <c r="PD22" i="1" s="1"/>
  <c r="PC14" i="1"/>
  <c r="PC22" i="1" s="1"/>
  <c r="PB14" i="1"/>
  <c r="PB22" i="1" s="1"/>
  <c r="PA14" i="1"/>
  <c r="PA22" i="1" s="1"/>
  <c r="OZ14" i="1"/>
  <c r="OZ22" i="1" s="1"/>
  <c r="OY14" i="1"/>
  <c r="OY22" i="1" s="1"/>
  <c r="OU14" i="1"/>
  <c r="OU22" i="1" s="1"/>
  <c r="OT14" i="1"/>
  <c r="OT22" i="1" s="1"/>
  <c r="OS14" i="1"/>
  <c r="OS22" i="1" s="1"/>
  <c r="OR14" i="1"/>
  <c r="OR22" i="1" s="1"/>
  <c r="OQ14" i="1"/>
  <c r="OQ22" i="1" s="1"/>
  <c r="OP14" i="1"/>
  <c r="OP22" i="1" s="1"/>
  <c r="OO14" i="1"/>
  <c r="OO22" i="1" s="1"/>
  <c r="ON14" i="1"/>
  <c r="ON22" i="1" s="1"/>
  <c r="NU14" i="1"/>
  <c r="NU22" i="1" s="1"/>
  <c r="LD14" i="1"/>
  <c r="LD22" i="1" s="1"/>
  <c r="KO14" i="1"/>
  <c r="KO22" i="1" s="1"/>
  <c r="KM14" i="1"/>
  <c r="KM22" i="1" s="1"/>
  <c r="KL14" i="1"/>
  <c r="KL22" i="1" s="1"/>
  <c r="KK14" i="1"/>
  <c r="KK22" i="1" s="1"/>
  <c r="KJ14" i="1"/>
  <c r="KJ22" i="1" s="1"/>
  <c r="KI14" i="1"/>
  <c r="KI22" i="1" s="1"/>
  <c r="KH14" i="1"/>
  <c r="KH22" i="1" s="1"/>
  <c r="KG14" i="1"/>
  <c r="KG22" i="1" s="1"/>
  <c r="KF14" i="1"/>
  <c r="KF22" i="1" s="1"/>
  <c r="KE14" i="1"/>
  <c r="KE22" i="1" s="1"/>
  <c r="KD14" i="1"/>
  <c r="KD22" i="1" s="1"/>
  <c r="KC14" i="1"/>
  <c r="KC22" i="1" s="1"/>
  <c r="KB14" i="1"/>
  <c r="KB22" i="1" s="1"/>
  <c r="KA14" i="1"/>
  <c r="KA22" i="1" s="1"/>
  <c r="JZ14" i="1"/>
  <c r="JZ22" i="1" s="1"/>
  <c r="JY14" i="1"/>
  <c r="JY22" i="1" s="1"/>
  <c r="JX14" i="1"/>
  <c r="JX22" i="1" s="1"/>
  <c r="JW14" i="1"/>
  <c r="JW22" i="1" s="1"/>
  <c r="JV14" i="1"/>
  <c r="JV22" i="1" s="1"/>
  <c r="JI14" i="1"/>
  <c r="JI22" i="1" s="1"/>
  <c r="IX14" i="1"/>
  <c r="IX22" i="1" s="1"/>
  <c r="IW14" i="1"/>
  <c r="IW22" i="1" s="1"/>
  <c r="IV14" i="1"/>
  <c r="IV22" i="1" s="1"/>
  <c r="IU14" i="1"/>
  <c r="IU22" i="1" s="1"/>
  <c r="IT14" i="1"/>
  <c r="IT22" i="1" s="1"/>
  <c r="IS14" i="1"/>
  <c r="IS22" i="1" s="1"/>
  <c r="IR14" i="1"/>
  <c r="IR22" i="1" s="1"/>
  <c r="IQ14" i="1"/>
  <c r="IQ22" i="1" s="1"/>
  <c r="IP14" i="1"/>
  <c r="IP22" i="1" s="1"/>
  <c r="IO14" i="1"/>
  <c r="IO22" i="1" s="1"/>
  <c r="IN14" i="1"/>
  <c r="IN22" i="1" s="1"/>
  <c r="IM14" i="1"/>
  <c r="IM22" i="1" s="1"/>
  <c r="IL14" i="1"/>
  <c r="IL22" i="1" s="1"/>
  <c r="II14" i="1"/>
  <c r="II22" i="1" s="1"/>
  <c r="IH14" i="1"/>
  <c r="IH22" i="1" s="1"/>
  <c r="IG14" i="1"/>
  <c r="IG22" i="1" s="1"/>
  <c r="IF14" i="1"/>
  <c r="IF22" i="1" s="1"/>
  <c r="IE14" i="1"/>
  <c r="IE22" i="1" s="1"/>
  <c r="IC14" i="1"/>
  <c r="IC22" i="1" s="1"/>
  <c r="IB14" i="1"/>
  <c r="IB22" i="1" s="1"/>
  <c r="HR14" i="1"/>
  <c r="HR22" i="1" s="1"/>
  <c r="HQ14" i="1"/>
  <c r="HQ22" i="1" s="1"/>
  <c r="HN14" i="1"/>
  <c r="HN22" i="1" s="1"/>
  <c r="HK14" i="1"/>
  <c r="HK22" i="1" s="1"/>
  <c r="HJ14" i="1"/>
  <c r="HJ22" i="1" s="1"/>
  <c r="HF14" i="1"/>
  <c r="HF22" i="1" s="1"/>
  <c r="GQ14" i="1"/>
  <c r="GQ22" i="1" s="1"/>
  <c r="GP14" i="1"/>
  <c r="GP22" i="1" s="1"/>
  <c r="FZ14" i="1"/>
  <c r="FZ22" i="1" s="1"/>
  <c r="FW14" i="1"/>
  <c r="FW22" i="1" s="1"/>
  <c r="FV14" i="1"/>
  <c r="FV22" i="1" s="1"/>
  <c r="FU14" i="1"/>
  <c r="FU22" i="1" s="1"/>
  <c r="FT14" i="1"/>
  <c r="FT22" i="1" s="1"/>
  <c r="FS14" i="1"/>
  <c r="FS22" i="1" s="1"/>
  <c r="FR14" i="1"/>
  <c r="FR22" i="1" s="1"/>
  <c r="FQ14" i="1"/>
  <c r="FQ22" i="1" s="1"/>
  <c r="FL14" i="1"/>
  <c r="FL22" i="1" s="1"/>
  <c r="FK14" i="1"/>
  <c r="FK22" i="1" s="1"/>
  <c r="FJ14" i="1"/>
  <c r="FJ22" i="1" s="1"/>
  <c r="EQ14" i="1"/>
  <c r="EQ22" i="1" s="1"/>
  <c r="EP14" i="1"/>
  <c r="EP22" i="1" s="1"/>
  <c r="EO14" i="1"/>
  <c r="EO22" i="1" s="1"/>
  <c r="EN14" i="1"/>
  <c r="EN22" i="1" s="1"/>
  <c r="EJ14" i="1"/>
  <c r="EJ22" i="1" s="1"/>
  <c r="DX14" i="1"/>
  <c r="DX22" i="1" s="1"/>
  <c r="DW14" i="1"/>
  <c r="DW22" i="1" s="1"/>
  <c r="DV14" i="1"/>
  <c r="DV22" i="1" s="1"/>
  <c r="DU14" i="1"/>
  <c r="DU22" i="1" s="1"/>
  <c r="DT14" i="1"/>
  <c r="DT22" i="1" s="1"/>
  <c r="DS14" i="1"/>
  <c r="DS22" i="1" s="1"/>
  <c r="DR14" i="1"/>
  <c r="DR22" i="1" s="1"/>
  <c r="DQ14" i="1"/>
  <c r="DQ22" i="1" s="1"/>
  <c r="CG14" i="1"/>
  <c r="CG22" i="1" s="1"/>
  <c r="CE14" i="1"/>
  <c r="CE22" i="1" s="1"/>
  <c r="CD14" i="1"/>
  <c r="CD22" i="1" s="1"/>
  <c r="CC14" i="1"/>
  <c r="CC22" i="1" s="1"/>
  <c r="CB14" i="1"/>
  <c r="CB22" i="1" s="1"/>
  <c r="CA14" i="1"/>
  <c r="CA22" i="1" s="1"/>
  <c r="BZ14" i="1"/>
  <c r="BZ22" i="1" s="1"/>
  <c r="BW14" i="1"/>
  <c r="BW22" i="1" s="1"/>
  <c r="BV14" i="1"/>
  <c r="BV22" i="1" s="1"/>
  <c r="BU14" i="1"/>
  <c r="BU22" i="1" s="1"/>
  <c r="BT14" i="1"/>
  <c r="BT22" i="1" s="1"/>
  <c r="BS14" i="1"/>
  <c r="BS22" i="1" s="1"/>
  <c r="BO14" i="1"/>
  <c r="BO22" i="1" s="1"/>
  <c r="BM14" i="1"/>
  <c r="BM22" i="1" s="1"/>
  <c r="BK14" i="1"/>
  <c r="BK22" i="1" s="1"/>
  <c r="BH14" i="1"/>
  <c r="BH22" i="1" s="1"/>
  <c r="BE14" i="1"/>
  <c r="BE22" i="1" s="1"/>
  <c r="BB14" i="1"/>
  <c r="BB22" i="1" s="1"/>
  <c r="AY14" i="1"/>
  <c r="AY22" i="1" s="1"/>
  <c r="AS14" i="1"/>
  <c r="AS22" i="1" s="1"/>
  <c r="AR14" i="1"/>
  <c r="AR22" i="1" s="1"/>
  <c r="AQ14" i="1"/>
  <c r="AQ22" i="1" s="1"/>
  <c r="AP14" i="1"/>
  <c r="AP22" i="1" s="1"/>
  <c r="AN14" i="1"/>
  <c r="AN22" i="1" s="1"/>
  <c r="AJ14" i="1"/>
  <c r="AJ22" i="1" s="1"/>
  <c r="AI14" i="1"/>
  <c r="AI22" i="1" s="1"/>
  <c r="AG14" i="1"/>
  <c r="AG22" i="1" s="1"/>
  <c r="AF14" i="1"/>
  <c r="AF22" i="1" s="1"/>
  <c r="AE14" i="1"/>
  <c r="AE22" i="1" s="1"/>
  <c r="AC14" i="1"/>
  <c r="AC22" i="1" s="1"/>
  <c r="AA14" i="1"/>
  <c r="AA22" i="1" s="1"/>
  <c r="Z14" i="1"/>
  <c r="Z22" i="1" s="1"/>
  <c r="Y14" i="1"/>
  <c r="Y22" i="1" s="1"/>
  <c r="X14" i="1"/>
  <c r="X22" i="1" s="1"/>
  <c r="W14" i="1"/>
  <c r="W22" i="1" s="1"/>
  <c r="U14" i="1"/>
  <c r="U22" i="1" s="1"/>
  <c r="Q14" i="1"/>
  <c r="Q22" i="1" s="1"/>
  <c r="P14" i="1"/>
  <c r="P22" i="1" s="1"/>
  <c r="L14" i="1"/>
  <c r="L22" i="1" s="1"/>
  <c r="J14" i="1"/>
  <c r="J22" i="1" s="1"/>
  <c r="I14" i="1"/>
  <c r="I22" i="1" s="1"/>
  <c r="E14" i="1"/>
  <c r="E22" i="1" s="1"/>
  <c r="C14" i="1"/>
  <c r="C22" i="1" s="1"/>
  <c r="B14" i="1"/>
  <c r="B22" i="1" s="1"/>
  <c r="VH13" i="1"/>
  <c r="VH21" i="1" s="1"/>
  <c r="VG13" i="1"/>
  <c r="VG21" i="1" s="1"/>
  <c r="VF13" i="1"/>
  <c r="VF21" i="1" s="1"/>
  <c r="VE13" i="1"/>
  <c r="VE21" i="1" s="1"/>
  <c r="VD13" i="1"/>
  <c r="VD21" i="1" s="1"/>
  <c r="VC13" i="1"/>
  <c r="VC21" i="1" s="1"/>
  <c r="VB13" i="1"/>
  <c r="VB21" i="1" s="1"/>
  <c r="VA13" i="1"/>
  <c r="VA21" i="1" s="1"/>
  <c r="UZ13" i="1"/>
  <c r="UZ21" i="1" s="1"/>
  <c r="UY13" i="1"/>
  <c r="UY21" i="1" s="1"/>
  <c r="UX13" i="1"/>
  <c r="UX21" i="1" s="1"/>
  <c r="UW13" i="1"/>
  <c r="UW21" i="1" s="1"/>
  <c r="UV13" i="1"/>
  <c r="UV21" i="1" s="1"/>
  <c r="UQ13" i="1"/>
  <c r="UQ21" i="1" s="1"/>
  <c r="UP13" i="1"/>
  <c r="UP21" i="1" s="1"/>
  <c r="UO13" i="1"/>
  <c r="UO21" i="1" s="1"/>
  <c r="UN13" i="1"/>
  <c r="UN21" i="1" s="1"/>
  <c r="UM13" i="1"/>
  <c r="UM21" i="1" s="1"/>
  <c r="UL13" i="1"/>
  <c r="UL21" i="1" s="1"/>
  <c r="UK13" i="1"/>
  <c r="UK21" i="1" s="1"/>
  <c r="UI13" i="1"/>
  <c r="UI21" i="1" s="1"/>
  <c r="UH13" i="1"/>
  <c r="UH21" i="1" s="1"/>
  <c r="UG13" i="1"/>
  <c r="UG21" i="1" s="1"/>
  <c r="UF13" i="1"/>
  <c r="UF21" i="1" s="1"/>
  <c r="TX13" i="1"/>
  <c r="TX21" i="1" s="1"/>
  <c r="TW13" i="1"/>
  <c r="TW21" i="1" s="1"/>
  <c r="TV13" i="1"/>
  <c r="TV21" i="1" s="1"/>
  <c r="TU13" i="1"/>
  <c r="TU21" i="1" s="1"/>
  <c r="TT13" i="1"/>
  <c r="TT21" i="1" s="1"/>
  <c r="TS13" i="1"/>
  <c r="TS21" i="1" s="1"/>
  <c r="TR13" i="1"/>
  <c r="TR21" i="1" s="1"/>
  <c r="TQ13" i="1"/>
  <c r="TQ21" i="1" s="1"/>
  <c r="TP13" i="1"/>
  <c r="TP21" i="1" s="1"/>
  <c r="TE13" i="1"/>
  <c r="TE21" i="1" s="1"/>
  <c r="TD13" i="1"/>
  <c r="TD21" i="1" s="1"/>
  <c r="TC13" i="1"/>
  <c r="TC21" i="1" s="1"/>
  <c r="TB13" i="1"/>
  <c r="TB21" i="1" s="1"/>
  <c r="TA13" i="1"/>
  <c r="TA21" i="1" s="1"/>
  <c r="SZ13" i="1"/>
  <c r="SZ21" i="1" s="1"/>
  <c r="SY13" i="1"/>
  <c r="SY21" i="1" s="1"/>
  <c r="SX13" i="1"/>
  <c r="SX21" i="1" s="1"/>
  <c r="SW13" i="1"/>
  <c r="SW21" i="1" s="1"/>
  <c r="SR13" i="1"/>
  <c r="SR21" i="1" s="1"/>
  <c r="SQ13" i="1"/>
  <c r="SQ21" i="1" s="1"/>
  <c r="SP13" i="1"/>
  <c r="SP21" i="1" s="1"/>
  <c r="SO13" i="1"/>
  <c r="SO21" i="1" s="1"/>
  <c r="SN13" i="1"/>
  <c r="SN21" i="1" s="1"/>
  <c r="SM13" i="1"/>
  <c r="SM21" i="1" s="1"/>
  <c r="SL13" i="1"/>
  <c r="SL21" i="1" s="1"/>
  <c r="SK13" i="1"/>
  <c r="SK21" i="1" s="1"/>
  <c r="SJ13" i="1"/>
  <c r="SJ21" i="1" s="1"/>
  <c r="RZ13" i="1"/>
  <c r="RZ21" i="1" s="1"/>
  <c r="RY13" i="1"/>
  <c r="RY21" i="1" s="1"/>
  <c r="RX13" i="1"/>
  <c r="RX21" i="1" s="1"/>
  <c r="RW13" i="1"/>
  <c r="RW21" i="1" s="1"/>
  <c r="RV13" i="1"/>
  <c r="RV21" i="1" s="1"/>
  <c r="RU13" i="1"/>
  <c r="RU21" i="1" s="1"/>
  <c r="RT13" i="1"/>
  <c r="RT21" i="1" s="1"/>
  <c r="RS13" i="1"/>
  <c r="RS21" i="1" s="1"/>
  <c r="RR13" i="1"/>
  <c r="RR21" i="1" s="1"/>
  <c r="RQ13" i="1"/>
  <c r="RQ21" i="1" s="1"/>
  <c r="RP13" i="1"/>
  <c r="RP21" i="1" s="1"/>
  <c r="RO13" i="1"/>
  <c r="RO21" i="1" s="1"/>
  <c r="RN13" i="1"/>
  <c r="RN21" i="1" s="1"/>
  <c r="RM13" i="1"/>
  <c r="RM21" i="1" s="1"/>
  <c r="RL13" i="1"/>
  <c r="RL21" i="1" s="1"/>
  <c r="RK13" i="1"/>
  <c r="RK21" i="1" s="1"/>
  <c r="RJ13" i="1"/>
  <c r="RJ21" i="1" s="1"/>
  <c r="RC13" i="1"/>
  <c r="RC21" i="1" s="1"/>
  <c r="RB13" i="1"/>
  <c r="RB21" i="1" s="1"/>
  <c r="RA13" i="1"/>
  <c r="RA21" i="1" s="1"/>
  <c r="QZ13" i="1"/>
  <c r="QZ21" i="1" s="1"/>
  <c r="QY13" i="1"/>
  <c r="QY21" i="1" s="1"/>
  <c r="QX13" i="1"/>
  <c r="QX21" i="1" s="1"/>
  <c r="QW13" i="1"/>
  <c r="QW21" i="1" s="1"/>
  <c r="QV13" i="1"/>
  <c r="QV21" i="1" s="1"/>
  <c r="QU13" i="1"/>
  <c r="QU21" i="1" s="1"/>
  <c r="QT13" i="1"/>
  <c r="QS13" i="1"/>
  <c r="QS21" i="1" s="1"/>
  <c r="QR13" i="1"/>
  <c r="QR21" i="1" s="1"/>
  <c r="QQ13" i="1"/>
  <c r="QQ21" i="1" s="1"/>
  <c r="QP13" i="1"/>
  <c r="QP21" i="1" s="1"/>
  <c r="QO13" i="1"/>
  <c r="QO21" i="1" s="1"/>
  <c r="QN13" i="1"/>
  <c r="QN21" i="1" s="1"/>
  <c r="QM13" i="1"/>
  <c r="QM21" i="1" s="1"/>
  <c r="QL13" i="1"/>
  <c r="QL21" i="1" s="1"/>
  <c r="QK13" i="1"/>
  <c r="QK21" i="1" s="1"/>
  <c r="QE13" i="1"/>
  <c r="QE21" i="1" s="1"/>
  <c r="QD13" i="1"/>
  <c r="QD21" i="1" s="1"/>
  <c r="QC13" i="1"/>
  <c r="QC21" i="1" s="1"/>
  <c r="QB13" i="1"/>
  <c r="QB21" i="1" s="1"/>
  <c r="QA13" i="1"/>
  <c r="QA21" i="1" s="1"/>
  <c r="PZ13" i="1"/>
  <c r="PZ21" i="1" s="1"/>
  <c r="PY13" i="1"/>
  <c r="PY21" i="1" s="1"/>
  <c r="PX13" i="1"/>
  <c r="PX21" i="1" s="1"/>
  <c r="PW13" i="1"/>
  <c r="PW21" i="1" s="1"/>
  <c r="PV13" i="1"/>
  <c r="PV21" i="1" s="1"/>
  <c r="PU13" i="1"/>
  <c r="PU21" i="1" s="1"/>
  <c r="PJ13" i="1"/>
  <c r="PJ21" i="1" s="1"/>
  <c r="PI13" i="1"/>
  <c r="PI21" i="1" s="1"/>
  <c r="PH13" i="1"/>
  <c r="PH21" i="1" s="1"/>
  <c r="PG13" i="1"/>
  <c r="PG21" i="1" s="1"/>
  <c r="PF13" i="1"/>
  <c r="PF21" i="1" s="1"/>
  <c r="PE13" i="1"/>
  <c r="PE21" i="1" s="1"/>
  <c r="PD13" i="1"/>
  <c r="PD21" i="1" s="1"/>
  <c r="PC13" i="1"/>
  <c r="PC21" i="1" s="1"/>
  <c r="PB13" i="1"/>
  <c r="PB21" i="1" s="1"/>
  <c r="PA13" i="1"/>
  <c r="PA21" i="1" s="1"/>
  <c r="OZ13" i="1"/>
  <c r="OZ21" i="1" s="1"/>
  <c r="OY13" i="1"/>
  <c r="OY21" i="1" s="1"/>
  <c r="OU13" i="1"/>
  <c r="OU21" i="1" s="1"/>
  <c r="OT13" i="1"/>
  <c r="OT21" i="1" s="1"/>
  <c r="OS13" i="1"/>
  <c r="OS21" i="1" s="1"/>
  <c r="OR13" i="1"/>
  <c r="OR21" i="1" s="1"/>
  <c r="OQ13" i="1"/>
  <c r="OQ21" i="1" s="1"/>
  <c r="OP13" i="1"/>
  <c r="OP21" i="1" s="1"/>
  <c r="OO13" i="1"/>
  <c r="OO21" i="1" s="1"/>
  <c r="ON13" i="1"/>
  <c r="ON21" i="1" s="1"/>
  <c r="NU13" i="1"/>
  <c r="NU21" i="1" s="1"/>
  <c r="LD13" i="1"/>
  <c r="LD21" i="1" s="1"/>
  <c r="KO13" i="1"/>
  <c r="KO21" i="1" s="1"/>
  <c r="KM13" i="1"/>
  <c r="KM21" i="1" s="1"/>
  <c r="KL13" i="1"/>
  <c r="KL21" i="1" s="1"/>
  <c r="KK13" i="1"/>
  <c r="KK21" i="1" s="1"/>
  <c r="KJ13" i="1"/>
  <c r="KJ21" i="1" s="1"/>
  <c r="KI13" i="1"/>
  <c r="KI21" i="1" s="1"/>
  <c r="KH13" i="1"/>
  <c r="KH21" i="1" s="1"/>
  <c r="KG13" i="1"/>
  <c r="KG21" i="1" s="1"/>
  <c r="KF13" i="1"/>
  <c r="KF21" i="1" s="1"/>
  <c r="KE13" i="1"/>
  <c r="KE21" i="1" s="1"/>
  <c r="KD13" i="1"/>
  <c r="KD21" i="1" s="1"/>
  <c r="KC13" i="1"/>
  <c r="KC21" i="1" s="1"/>
  <c r="KB13" i="1"/>
  <c r="KB21" i="1" s="1"/>
  <c r="KA13" i="1"/>
  <c r="KA21" i="1" s="1"/>
  <c r="JZ13" i="1"/>
  <c r="JZ21" i="1" s="1"/>
  <c r="JY13" i="1"/>
  <c r="JY21" i="1" s="1"/>
  <c r="JX13" i="1"/>
  <c r="JX21" i="1" s="1"/>
  <c r="JW13" i="1"/>
  <c r="JW21" i="1" s="1"/>
  <c r="JV13" i="1"/>
  <c r="JV21" i="1" s="1"/>
  <c r="JI13" i="1"/>
  <c r="JI21" i="1" s="1"/>
  <c r="IX13" i="1"/>
  <c r="IX21" i="1" s="1"/>
  <c r="IW13" i="1"/>
  <c r="IW21" i="1" s="1"/>
  <c r="IV13" i="1"/>
  <c r="IV21" i="1" s="1"/>
  <c r="IU13" i="1"/>
  <c r="IU21" i="1" s="1"/>
  <c r="IT13" i="1"/>
  <c r="IT21" i="1" s="1"/>
  <c r="IS13" i="1"/>
  <c r="IS21" i="1" s="1"/>
  <c r="IR13" i="1"/>
  <c r="IR21" i="1" s="1"/>
  <c r="IQ13" i="1"/>
  <c r="IQ21" i="1" s="1"/>
  <c r="IP13" i="1"/>
  <c r="IP21" i="1" s="1"/>
  <c r="IO13" i="1"/>
  <c r="IO21" i="1" s="1"/>
  <c r="IN13" i="1"/>
  <c r="IN21" i="1" s="1"/>
  <c r="IM13" i="1"/>
  <c r="IM21" i="1" s="1"/>
  <c r="IL13" i="1"/>
  <c r="IL21" i="1" s="1"/>
  <c r="II13" i="1"/>
  <c r="II21" i="1" s="1"/>
  <c r="IH13" i="1"/>
  <c r="IH21" i="1" s="1"/>
  <c r="IG13" i="1"/>
  <c r="IG21" i="1" s="1"/>
  <c r="IF13" i="1"/>
  <c r="IF21" i="1" s="1"/>
  <c r="IE13" i="1"/>
  <c r="IE21" i="1" s="1"/>
  <c r="IC13" i="1"/>
  <c r="IC21" i="1" s="1"/>
  <c r="IB13" i="1"/>
  <c r="IB21" i="1" s="1"/>
  <c r="HR13" i="1"/>
  <c r="HR21" i="1" s="1"/>
  <c r="HQ13" i="1"/>
  <c r="HQ21" i="1" s="1"/>
  <c r="HN13" i="1"/>
  <c r="HN21" i="1" s="1"/>
  <c r="HK13" i="1"/>
  <c r="HK21" i="1" s="1"/>
  <c r="HJ13" i="1"/>
  <c r="HJ21" i="1" s="1"/>
  <c r="HF13" i="1"/>
  <c r="HF21" i="1" s="1"/>
  <c r="GQ13" i="1"/>
  <c r="GQ21" i="1" s="1"/>
  <c r="GP13" i="1"/>
  <c r="GP21" i="1" s="1"/>
  <c r="FZ13" i="1"/>
  <c r="FZ21" i="1" s="1"/>
  <c r="FW13" i="1"/>
  <c r="FW21" i="1" s="1"/>
  <c r="FV13" i="1"/>
  <c r="FV21" i="1" s="1"/>
  <c r="FU13" i="1"/>
  <c r="FU21" i="1" s="1"/>
  <c r="FT13" i="1"/>
  <c r="FT21" i="1" s="1"/>
  <c r="FS13" i="1"/>
  <c r="FS21" i="1" s="1"/>
  <c r="FR13" i="1"/>
  <c r="FR21" i="1" s="1"/>
  <c r="FQ13" i="1"/>
  <c r="FQ21" i="1" s="1"/>
  <c r="FL13" i="1"/>
  <c r="FL21" i="1" s="1"/>
  <c r="FK13" i="1"/>
  <c r="FK21" i="1" s="1"/>
  <c r="FJ13" i="1"/>
  <c r="FJ21" i="1" s="1"/>
  <c r="EQ13" i="1"/>
  <c r="EQ21" i="1" s="1"/>
  <c r="EP13" i="1"/>
  <c r="EP21" i="1" s="1"/>
  <c r="EO13" i="1"/>
  <c r="EO21" i="1" s="1"/>
  <c r="EN13" i="1"/>
  <c r="EN21" i="1" s="1"/>
  <c r="EJ13" i="1"/>
  <c r="EJ21" i="1" s="1"/>
  <c r="DX13" i="1"/>
  <c r="DX21" i="1" s="1"/>
  <c r="DW13" i="1"/>
  <c r="DW21" i="1" s="1"/>
  <c r="DV13" i="1"/>
  <c r="DV21" i="1" s="1"/>
  <c r="DU13" i="1"/>
  <c r="DU21" i="1" s="1"/>
  <c r="DT13" i="1"/>
  <c r="DT21" i="1" s="1"/>
  <c r="DS13" i="1"/>
  <c r="DS21" i="1" s="1"/>
  <c r="DR13" i="1"/>
  <c r="DR21" i="1" s="1"/>
  <c r="DQ13" i="1"/>
  <c r="DQ21" i="1" s="1"/>
  <c r="CG13" i="1"/>
  <c r="CG21" i="1" s="1"/>
  <c r="CE13" i="1"/>
  <c r="CE21" i="1" s="1"/>
  <c r="CD13" i="1"/>
  <c r="CD21" i="1" s="1"/>
  <c r="CC13" i="1"/>
  <c r="CC21" i="1" s="1"/>
  <c r="CB13" i="1"/>
  <c r="CB21" i="1" s="1"/>
  <c r="CA13" i="1"/>
  <c r="CA21" i="1" s="1"/>
  <c r="BZ13" i="1"/>
  <c r="BZ21" i="1" s="1"/>
  <c r="BW13" i="1"/>
  <c r="BW21" i="1" s="1"/>
  <c r="BV13" i="1"/>
  <c r="BV21" i="1" s="1"/>
  <c r="BU13" i="1"/>
  <c r="BU21" i="1" s="1"/>
  <c r="BT13" i="1"/>
  <c r="BT21" i="1" s="1"/>
  <c r="BS13" i="1"/>
  <c r="BS21" i="1" s="1"/>
  <c r="BO13" i="1"/>
  <c r="BO21" i="1" s="1"/>
  <c r="BM13" i="1"/>
  <c r="BM21" i="1" s="1"/>
  <c r="BK13" i="1"/>
  <c r="BK21" i="1" s="1"/>
  <c r="BH13" i="1"/>
  <c r="BH21" i="1" s="1"/>
  <c r="BE13" i="1"/>
  <c r="BE21" i="1" s="1"/>
  <c r="BB13" i="1"/>
  <c r="BB21" i="1" s="1"/>
  <c r="AY13" i="1"/>
  <c r="AY21" i="1" s="1"/>
  <c r="AS13" i="1"/>
  <c r="AS21" i="1" s="1"/>
  <c r="AR13" i="1"/>
  <c r="AR21" i="1" s="1"/>
  <c r="AQ13" i="1"/>
  <c r="AQ21" i="1" s="1"/>
  <c r="AP13" i="1"/>
  <c r="AP21" i="1" s="1"/>
  <c r="AN13" i="1"/>
  <c r="AN21" i="1" s="1"/>
  <c r="AJ13" i="1"/>
  <c r="AJ21" i="1" s="1"/>
  <c r="AI13" i="1"/>
  <c r="AI21" i="1" s="1"/>
  <c r="AG13" i="1"/>
  <c r="AG21" i="1" s="1"/>
  <c r="AF13" i="1"/>
  <c r="AF21" i="1" s="1"/>
  <c r="AE13" i="1"/>
  <c r="AE21" i="1" s="1"/>
  <c r="AC13" i="1"/>
  <c r="AC21" i="1" s="1"/>
  <c r="AA13" i="1"/>
  <c r="AA21" i="1" s="1"/>
  <c r="Z13" i="1"/>
  <c r="Z21" i="1" s="1"/>
  <c r="Y13" i="1"/>
  <c r="Y21" i="1" s="1"/>
  <c r="X13" i="1"/>
  <c r="X21" i="1" s="1"/>
  <c r="W13" i="1"/>
  <c r="W21" i="1" s="1"/>
  <c r="U13" i="1"/>
  <c r="U21" i="1" s="1"/>
  <c r="Q13" i="1"/>
  <c r="Q21" i="1" s="1"/>
  <c r="P13" i="1"/>
  <c r="P21" i="1" s="1"/>
  <c r="L13" i="1"/>
  <c r="L21" i="1" s="1"/>
  <c r="J13" i="1"/>
  <c r="J21" i="1" s="1"/>
  <c r="I13" i="1"/>
  <c r="I21" i="1" s="1"/>
  <c r="E13" i="1"/>
  <c r="E21" i="1" s="1"/>
  <c r="C13" i="1"/>
  <c r="C21" i="1" s="1"/>
  <c r="B13" i="1"/>
  <c r="B21" i="1" s="1"/>
  <c r="VN12" i="1"/>
  <c r="VN20" i="1" s="1"/>
  <c r="VH12" i="1"/>
  <c r="VH20" i="1" s="1"/>
  <c r="VG12" i="1"/>
  <c r="VG20" i="1" s="1"/>
  <c r="VF12" i="1"/>
  <c r="VF20" i="1" s="1"/>
  <c r="VE12" i="1"/>
  <c r="VE20" i="1" s="1"/>
  <c r="VD12" i="1"/>
  <c r="VD20" i="1" s="1"/>
  <c r="VC12" i="1"/>
  <c r="VC20" i="1" s="1"/>
  <c r="VB12" i="1"/>
  <c r="VB20" i="1" s="1"/>
  <c r="VA12" i="1"/>
  <c r="VA20" i="1" s="1"/>
  <c r="UZ12" i="1"/>
  <c r="UZ20" i="1" s="1"/>
  <c r="UY12" i="1"/>
  <c r="UY20" i="1" s="1"/>
  <c r="UX12" i="1"/>
  <c r="UX20" i="1" s="1"/>
  <c r="UW12" i="1"/>
  <c r="UW20" i="1" s="1"/>
  <c r="UV12" i="1"/>
  <c r="UV20" i="1" s="1"/>
  <c r="UQ12" i="1"/>
  <c r="UQ20" i="1" s="1"/>
  <c r="UP12" i="1"/>
  <c r="UP20" i="1" s="1"/>
  <c r="UO12" i="1"/>
  <c r="UO20" i="1" s="1"/>
  <c r="UN12" i="1"/>
  <c r="UN20" i="1" s="1"/>
  <c r="UM12" i="1"/>
  <c r="UM20" i="1" s="1"/>
  <c r="UL12" i="1"/>
  <c r="UL20" i="1" s="1"/>
  <c r="UK12" i="1"/>
  <c r="UK20" i="1" s="1"/>
  <c r="UI12" i="1"/>
  <c r="UI20" i="1" s="1"/>
  <c r="UH12" i="1"/>
  <c r="UH20" i="1" s="1"/>
  <c r="UG12" i="1"/>
  <c r="UG20" i="1" s="1"/>
  <c r="UF12" i="1"/>
  <c r="UF20" i="1" s="1"/>
  <c r="TX12" i="1"/>
  <c r="TX20" i="1" s="1"/>
  <c r="TW12" i="1"/>
  <c r="TW20" i="1" s="1"/>
  <c r="TV12" i="1"/>
  <c r="TV20" i="1" s="1"/>
  <c r="TU12" i="1"/>
  <c r="TU20" i="1" s="1"/>
  <c r="TT12" i="1"/>
  <c r="TT20" i="1" s="1"/>
  <c r="TS12" i="1"/>
  <c r="TS20" i="1" s="1"/>
  <c r="TR12" i="1"/>
  <c r="TR20" i="1" s="1"/>
  <c r="TQ12" i="1"/>
  <c r="TQ20" i="1" s="1"/>
  <c r="TP12" i="1"/>
  <c r="TP20" i="1" s="1"/>
  <c r="TE12" i="1"/>
  <c r="TE20" i="1" s="1"/>
  <c r="TD12" i="1"/>
  <c r="TD20" i="1" s="1"/>
  <c r="TC12" i="1"/>
  <c r="TC20" i="1" s="1"/>
  <c r="TB12" i="1"/>
  <c r="TB20" i="1" s="1"/>
  <c r="TA12" i="1"/>
  <c r="TA20" i="1" s="1"/>
  <c r="SZ12" i="1"/>
  <c r="SZ20" i="1" s="1"/>
  <c r="SY12" i="1"/>
  <c r="SY20" i="1" s="1"/>
  <c r="SX12" i="1"/>
  <c r="SX20" i="1" s="1"/>
  <c r="SW12" i="1"/>
  <c r="SW20" i="1" s="1"/>
  <c r="SR12" i="1"/>
  <c r="SR20" i="1" s="1"/>
  <c r="SQ12" i="1"/>
  <c r="SQ20" i="1" s="1"/>
  <c r="SP12" i="1"/>
  <c r="SP20" i="1" s="1"/>
  <c r="SO12" i="1"/>
  <c r="SO20" i="1" s="1"/>
  <c r="SN12" i="1"/>
  <c r="SN20" i="1" s="1"/>
  <c r="SM12" i="1"/>
  <c r="SM20" i="1" s="1"/>
  <c r="SL12" i="1"/>
  <c r="SL20" i="1" s="1"/>
  <c r="SK12" i="1"/>
  <c r="SK20" i="1" s="1"/>
  <c r="SJ12" i="1"/>
  <c r="SJ20" i="1" s="1"/>
  <c r="RZ12" i="1"/>
  <c r="RZ20" i="1" s="1"/>
  <c r="RY12" i="1"/>
  <c r="RY20" i="1" s="1"/>
  <c r="RX12" i="1"/>
  <c r="RX20" i="1" s="1"/>
  <c r="RW12" i="1"/>
  <c r="RW20" i="1" s="1"/>
  <c r="RV12" i="1"/>
  <c r="RV20" i="1" s="1"/>
  <c r="RU12" i="1"/>
  <c r="RU20" i="1" s="1"/>
  <c r="RT12" i="1"/>
  <c r="RT20" i="1" s="1"/>
  <c r="RS12" i="1"/>
  <c r="RS20" i="1" s="1"/>
  <c r="RR12" i="1"/>
  <c r="RR20" i="1" s="1"/>
  <c r="RQ12" i="1"/>
  <c r="RQ20" i="1" s="1"/>
  <c r="RP12" i="1"/>
  <c r="RP20" i="1" s="1"/>
  <c r="RO12" i="1"/>
  <c r="RO20" i="1" s="1"/>
  <c r="RN12" i="1"/>
  <c r="RN20" i="1" s="1"/>
  <c r="RM12" i="1"/>
  <c r="RM20" i="1" s="1"/>
  <c r="RL12" i="1"/>
  <c r="RL20" i="1" s="1"/>
  <c r="RK12" i="1"/>
  <c r="RK20" i="1" s="1"/>
  <c r="RJ12" i="1"/>
  <c r="RJ20" i="1" s="1"/>
  <c r="RC12" i="1"/>
  <c r="RC20" i="1" s="1"/>
  <c r="RB12" i="1"/>
  <c r="RB20" i="1" s="1"/>
  <c r="RA12" i="1"/>
  <c r="RA20" i="1" s="1"/>
  <c r="QZ12" i="1"/>
  <c r="QZ20" i="1" s="1"/>
  <c r="QY12" i="1"/>
  <c r="QY20" i="1" s="1"/>
  <c r="QX12" i="1"/>
  <c r="QX20" i="1" s="1"/>
  <c r="QW12" i="1"/>
  <c r="QW20" i="1" s="1"/>
  <c r="QV12" i="1"/>
  <c r="QV20" i="1" s="1"/>
  <c r="QU12" i="1"/>
  <c r="QU20" i="1" s="1"/>
  <c r="QT12" i="1"/>
  <c r="QT20" i="1" s="1"/>
  <c r="QS12" i="1"/>
  <c r="QS20" i="1" s="1"/>
  <c r="QR12" i="1"/>
  <c r="QR20" i="1" s="1"/>
  <c r="QQ12" i="1"/>
  <c r="QQ20" i="1" s="1"/>
  <c r="QP12" i="1"/>
  <c r="QP20" i="1" s="1"/>
  <c r="QO12" i="1"/>
  <c r="QO20" i="1" s="1"/>
  <c r="QN12" i="1"/>
  <c r="QN20" i="1" s="1"/>
  <c r="QM12" i="1"/>
  <c r="QM20" i="1" s="1"/>
  <c r="QL12" i="1"/>
  <c r="QL20" i="1" s="1"/>
  <c r="QK12" i="1"/>
  <c r="QK20" i="1" s="1"/>
  <c r="QE12" i="1"/>
  <c r="QE20" i="1" s="1"/>
  <c r="QD12" i="1"/>
  <c r="QD20" i="1" s="1"/>
  <c r="QC12" i="1"/>
  <c r="QC20" i="1" s="1"/>
  <c r="QB12" i="1"/>
  <c r="QB20" i="1" s="1"/>
  <c r="QA12" i="1"/>
  <c r="QA20" i="1" s="1"/>
  <c r="PZ12" i="1"/>
  <c r="PZ20" i="1" s="1"/>
  <c r="PY12" i="1"/>
  <c r="PY20" i="1" s="1"/>
  <c r="PX12" i="1"/>
  <c r="PX20" i="1" s="1"/>
  <c r="PW12" i="1"/>
  <c r="PW20" i="1" s="1"/>
  <c r="PV12" i="1"/>
  <c r="PV20" i="1" s="1"/>
  <c r="PU12" i="1"/>
  <c r="PU20" i="1" s="1"/>
  <c r="PJ12" i="1"/>
  <c r="PJ20" i="1" s="1"/>
  <c r="PI12" i="1"/>
  <c r="PI20" i="1" s="1"/>
  <c r="PH12" i="1"/>
  <c r="PH20" i="1" s="1"/>
  <c r="PG12" i="1"/>
  <c r="PG20" i="1" s="1"/>
  <c r="PF12" i="1"/>
  <c r="PF20" i="1" s="1"/>
  <c r="PE12" i="1"/>
  <c r="PE20" i="1" s="1"/>
  <c r="PD12" i="1"/>
  <c r="PD20" i="1" s="1"/>
  <c r="PC12" i="1"/>
  <c r="PC20" i="1" s="1"/>
  <c r="PB12" i="1"/>
  <c r="PB20" i="1" s="1"/>
  <c r="PA12" i="1"/>
  <c r="PA20" i="1" s="1"/>
  <c r="OZ12" i="1"/>
  <c r="OZ20" i="1" s="1"/>
  <c r="OY12" i="1"/>
  <c r="OY20" i="1" s="1"/>
  <c r="OU12" i="1"/>
  <c r="OU20" i="1" s="1"/>
  <c r="OT12" i="1"/>
  <c r="OT20" i="1" s="1"/>
  <c r="OS12" i="1"/>
  <c r="OS20" i="1" s="1"/>
  <c r="OR12" i="1"/>
  <c r="OR20" i="1" s="1"/>
  <c r="OQ12" i="1"/>
  <c r="OQ20" i="1" s="1"/>
  <c r="OP12" i="1"/>
  <c r="OP20" i="1" s="1"/>
  <c r="OO12" i="1"/>
  <c r="OO20" i="1" s="1"/>
  <c r="ON12" i="1"/>
  <c r="ON20" i="1" s="1"/>
  <c r="NU12" i="1"/>
  <c r="NU20" i="1" s="1"/>
  <c r="LD12" i="1"/>
  <c r="LD20" i="1" s="1"/>
  <c r="KO12" i="1"/>
  <c r="KO20" i="1" s="1"/>
  <c r="KM12" i="1"/>
  <c r="KM20" i="1" s="1"/>
  <c r="KL12" i="1"/>
  <c r="KL20" i="1" s="1"/>
  <c r="KK12" i="1"/>
  <c r="KK20" i="1" s="1"/>
  <c r="KJ12" i="1"/>
  <c r="KJ20" i="1" s="1"/>
  <c r="KI12" i="1"/>
  <c r="KI20" i="1" s="1"/>
  <c r="KH12" i="1"/>
  <c r="KH20" i="1" s="1"/>
  <c r="KG12" i="1"/>
  <c r="KG20" i="1" s="1"/>
  <c r="KF12" i="1"/>
  <c r="KF20" i="1" s="1"/>
  <c r="KE12" i="1"/>
  <c r="KE20" i="1" s="1"/>
  <c r="KD12" i="1"/>
  <c r="KD20" i="1" s="1"/>
  <c r="KC12" i="1"/>
  <c r="KC20" i="1" s="1"/>
  <c r="KB12" i="1"/>
  <c r="KB20" i="1" s="1"/>
  <c r="KA12" i="1"/>
  <c r="KA20" i="1" s="1"/>
  <c r="JZ12" i="1"/>
  <c r="JZ20" i="1" s="1"/>
  <c r="JY12" i="1"/>
  <c r="JY20" i="1" s="1"/>
  <c r="JX12" i="1"/>
  <c r="JX20" i="1" s="1"/>
  <c r="JW12" i="1"/>
  <c r="JW20" i="1" s="1"/>
  <c r="JV12" i="1"/>
  <c r="JV20" i="1" s="1"/>
  <c r="JI12" i="1"/>
  <c r="JI20" i="1" s="1"/>
  <c r="IX12" i="1"/>
  <c r="IX20" i="1" s="1"/>
  <c r="IW12" i="1"/>
  <c r="IW20" i="1" s="1"/>
  <c r="IV12" i="1"/>
  <c r="IV20" i="1" s="1"/>
  <c r="IU12" i="1"/>
  <c r="IU20" i="1" s="1"/>
  <c r="IT12" i="1"/>
  <c r="IT20" i="1" s="1"/>
  <c r="IS12" i="1"/>
  <c r="IS20" i="1" s="1"/>
  <c r="IR12" i="1"/>
  <c r="IR20" i="1" s="1"/>
  <c r="IQ12" i="1"/>
  <c r="IQ20" i="1" s="1"/>
  <c r="IP12" i="1"/>
  <c r="IP20" i="1" s="1"/>
  <c r="IO12" i="1"/>
  <c r="IO20" i="1" s="1"/>
  <c r="IN12" i="1"/>
  <c r="IN20" i="1" s="1"/>
  <c r="IM12" i="1"/>
  <c r="IM20" i="1" s="1"/>
  <c r="IL12" i="1"/>
  <c r="IL20" i="1" s="1"/>
  <c r="II12" i="1"/>
  <c r="II20" i="1" s="1"/>
  <c r="IH12" i="1"/>
  <c r="IH20" i="1" s="1"/>
  <c r="IG12" i="1"/>
  <c r="IG20" i="1" s="1"/>
  <c r="IF12" i="1"/>
  <c r="IF20" i="1" s="1"/>
  <c r="IE12" i="1"/>
  <c r="IE20" i="1" s="1"/>
  <c r="IC12" i="1"/>
  <c r="IC20" i="1" s="1"/>
  <c r="IB12" i="1"/>
  <c r="IB20" i="1" s="1"/>
  <c r="HR12" i="1"/>
  <c r="HR20" i="1" s="1"/>
  <c r="HQ12" i="1"/>
  <c r="HQ20" i="1" s="1"/>
  <c r="HN12" i="1"/>
  <c r="HN20" i="1" s="1"/>
  <c r="HK12" i="1"/>
  <c r="HK20" i="1" s="1"/>
  <c r="HJ12" i="1"/>
  <c r="HJ20" i="1" s="1"/>
  <c r="HF12" i="1"/>
  <c r="HF20" i="1" s="1"/>
  <c r="GQ12" i="1"/>
  <c r="GQ20" i="1" s="1"/>
  <c r="GP12" i="1"/>
  <c r="GP20" i="1" s="1"/>
  <c r="FZ12" i="1"/>
  <c r="FZ20" i="1" s="1"/>
  <c r="FW12" i="1"/>
  <c r="FW20" i="1" s="1"/>
  <c r="FV12" i="1"/>
  <c r="FV20" i="1" s="1"/>
  <c r="FU12" i="1"/>
  <c r="FU20" i="1" s="1"/>
  <c r="FT12" i="1"/>
  <c r="FT20" i="1" s="1"/>
  <c r="FS12" i="1"/>
  <c r="FS20" i="1" s="1"/>
  <c r="FR12" i="1"/>
  <c r="FR20" i="1" s="1"/>
  <c r="FQ12" i="1"/>
  <c r="FQ20" i="1" s="1"/>
  <c r="FL12" i="1"/>
  <c r="FL20" i="1" s="1"/>
  <c r="FK12" i="1"/>
  <c r="FK20" i="1" s="1"/>
  <c r="FJ12" i="1"/>
  <c r="FJ20" i="1" s="1"/>
  <c r="EQ12" i="1"/>
  <c r="EQ20" i="1" s="1"/>
  <c r="EP12" i="1"/>
  <c r="EP20" i="1" s="1"/>
  <c r="EO12" i="1"/>
  <c r="EO20" i="1" s="1"/>
  <c r="EN12" i="1"/>
  <c r="EN20" i="1" s="1"/>
  <c r="EJ12" i="1"/>
  <c r="EJ20" i="1" s="1"/>
  <c r="DX12" i="1"/>
  <c r="DX20" i="1" s="1"/>
  <c r="DW12" i="1"/>
  <c r="DW20" i="1" s="1"/>
  <c r="DV12" i="1"/>
  <c r="DV20" i="1" s="1"/>
  <c r="DU12" i="1"/>
  <c r="DU20" i="1" s="1"/>
  <c r="DT12" i="1"/>
  <c r="DT20" i="1" s="1"/>
  <c r="DS12" i="1"/>
  <c r="DS20" i="1" s="1"/>
  <c r="DR12" i="1"/>
  <c r="DR20" i="1" s="1"/>
  <c r="DQ12" i="1"/>
  <c r="DQ20" i="1" s="1"/>
  <c r="CG12" i="1"/>
  <c r="CG20" i="1" s="1"/>
  <c r="CE12" i="1"/>
  <c r="CE20" i="1" s="1"/>
  <c r="CD12" i="1"/>
  <c r="CD20" i="1" s="1"/>
  <c r="CC12" i="1"/>
  <c r="CC20" i="1" s="1"/>
  <c r="CB12" i="1"/>
  <c r="CB20" i="1" s="1"/>
  <c r="CA12" i="1"/>
  <c r="CA20" i="1" s="1"/>
  <c r="BZ12" i="1"/>
  <c r="BZ20" i="1" s="1"/>
  <c r="BW12" i="1"/>
  <c r="BW20" i="1" s="1"/>
  <c r="BV12" i="1"/>
  <c r="BV20" i="1" s="1"/>
  <c r="BU12" i="1"/>
  <c r="BU20" i="1" s="1"/>
  <c r="BT12" i="1"/>
  <c r="BT20" i="1" s="1"/>
  <c r="BS12" i="1"/>
  <c r="BS20" i="1" s="1"/>
  <c r="BO12" i="1"/>
  <c r="BO20" i="1" s="1"/>
  <c r="BM12" i="1"/>
  <c r="BM20" i="1" s="1"/>
  <c r="BK12" i="1"/>
  <c r="BK20" i="1" s="1"/>
  <c r="BH12" i="1"/>
  <c r="BH20" i="1" s="1"/>
  <c r="BE12" i="1"/>
  <c r="BE20" i="1" s="1"/>
  <c r="BB12" i="1"/>
  <c r="BB20" i="1" s="1"/>
  <c r="AY12" i="1"/>
  <c r="AY20" i="1" s="1"/>
  <c r="AS12" i="1"/>
  <c r="AS20" i="1" s="1"/>
  <c r="AR12" i="1"/>
  <c r="AR20" i="1" s="1"/>
  <c r="AQ12" i="1"/>
  <c r="AQ20" i="1" s="1"/>
  <c r="AP12" i="1"/>
  <c r="AP20" i="1" s="1"/>
  <c r="AN12" i="1"/>
  <c r="AN20" i="1" s="1"/>
  <c r="AJ12" i="1"/>
  <c r="AJ20" i="1" s="1"/>
  <c r="AI12" i="1"/>
  <c r="AI20" i="1" s="1"/>
  <c r="AG12" i="1"/>
  <c r="AG20" i="1" s="1"/>
  <c r="AF12" i="1"/>
  <c r="AF20" i="1" s="1"/>
  <c r="AE12" i="1"/>
  <c r="AE20" i="1" s="1"/>
  <c r="AC12" i="1"/>
  <c r="AC20" i="1" s="1"/>
  <c r="AA12" i="1"/>
  <c r="AA20" i="1" s="1"/>
  <c r="Z12" i="1"/>
  <c r="Z20" i="1" s="1"/>
  <c r="Y12" i="1"/>
  <c r="Y20" i="1" s="1"/>
  <c r="X12" i="1"/>
  <c r="X20" i="1" s="1"/>
  <c r="W12" i="1"/>
  <c r="W20" i="1" s="1"/>
  <c r="U12" i="1"/>
  <c r="U20" i="1" s="1"/>
  <c r="Q12" i="1"/>
  <c r="Q20" i="1" s="1"/>
  <c r="P12" i="1"/>
  <c r="P20" i="1" s="1"/>
  <c r="L12" i="1"/>
  <c r="L20" i="1" s="1"/>
  <c r="J12" i="1"/>
  <c r="J20" i="1" s="1"/>
  <c r="I12" i="1"/>
  <c r="I20" i="1" s="1"/>
  <c r="E12" i="1"/>
  <c r="E20" i="1" s="1"/>
  <c r="C12" i="1"/>
  <c r="C20" i="1" s="1"/>
  <c r="B12" i="1"/>
  <c r="B20" i="1" s="1"/>
  <c r="VN11" i="1"/>
  <c r="VN19" i="1" s="1"/>
  <c r="VH11" i="1"/>
  <c r="VH19" i="1" s="1"/>
  <c r="VG11" i="1"/>
  <c r="VG19" i="1" s="1"/>
  <c r="VF11" i="1"/>
  <c r="VF19" i="1" s="1"/>
  <c r="VE11" i="1"/>
  <c r="VE19" i="1" s="1"/>
  <c r="VD11" i="1"/>
  <c r="VD19" i="1" s="1"/>
  <c r="VC11" i="1"/>
  <c r="VC19" i="1" s="1"/>
  <c r="VB11" i="1"/>
  <c r="VB19" i="1" s="1"/>
  <c r="VA11" i="1"/>
  <c r="VA19" i="1" s="1"/>
  <c r="UZ11" i="1"/>
  <c r="UZ19" i="1" s="1"/>
  <c r="UY11" i="1"/>
  <c r="UY19" i="1" s="1"/>
  <c r="UX11" i="1"/>
  <c r="UX19" i="1" s="1"/>
  <c r="UW11" i="1"/>
  <c r="UW19" i="1" s="1"/>
  <c r="UV11" i="1"/>
  <c r="UV19" i="1" s="1"/>
  <c r="UQ11" i="1"/>
  <c r="UQ19" i="1" s="1"/>
  <c r="UP11" i="1"/>
  <c r="UP19" i="1" s="1"/>
  <c r="UO11" i="1"/>
  <c r="UO19" i="1" s="1"/>
  <c r="UN11" i="1"/>
  <c r="UN19" i="1" s="1"/>
  <c r="UM11" i="1"/>
  <c r="UM19" i="1" s="1"/>
  <c r="UL11" i="1"/>
  <c r="UL19" i="1" s="1"/>
  <c r="UK11" i="1"/>
  <c r="UK19" i="1" s="1"/>
  <c r="UI11" i="1"/>
  <c r="UI19" i="1" s="1"/>
  <c r="UH11" i="1"/>
  <c r="UH19" i="1" s="1"/>
  <c r="UG11" i="1"/>
  <c r="UG19" i="1" s="1"/>
  <c r="UF11" i="1"/>
  <c r="UF19" i="1" s="1"/>
  <c r="TX11" i="1"/>
  <c r="TX19" i="1" s="1"/>
  <c r="TW11" i="1"/>
  <c r="TW19" i="1" s="1"/>
  <c r="TV11" i="1"/>
  <c r="TV19" i="1" s="1"/>
  <c r="TU11" i="1"/>
  <c r="TU19" i="1" s="1"/>
  <c r="TT11" i="1"/>
  <c r="TT19" i="1" s="1"/>
  <c r="TS11" i="1"/>
  <c r="TS19" i="1" s="1"/>
  <c r="TR11" i="1"/>
  <c r="TR19" i="1" s="1"/>
  <c r="TQ11" i="1"/>
  <c r="TQ19" i="1" s="1"/>
  <c r="TP11" i="1"/>
  <c r="TP19" i="1" s="1"/>
  <c r="TE11" i="1"/>
  <c r="TE19" i="1" s="1"/>
  <c r="TD11" i="1"/>
  <c r="TD19" i="1" s="1"/>
  <c r="TC11" i="1"/>
  <c r="TC19" i="1" s="1"/>
  <c r="TB11" i="1"/>
  <c r="TB19" i="1" s="1"/>
  <c r="TA11" i="1"/>
  <c r="TA19" i="1" s="1"/>
  <c r="SZ11" i="1"/>
  <c r="SZ19" i="1" s="1"/>
  <c r="SY11" i="1"/>
  <c r="SY19" i="1" s="1"/>
  <c r="SX11" i="1"/>
  <c r="SX19" i="1" s="1"/>
  <c r="SW11" i="1"/>
  <c r="SW19" i="1" s="1"/>
  <c r="SR11" i="1"/>
  <c r="SR19" i="1" s="1"/>
  <c r="SQ11" i="1"/>
  <c r="SQ19" i="1" s="1"/>
  <c r="SP11" i="1"/>
  <c r="SP19" i="1" s="1"/>
  <c r="SO11" i="1"/>
  <c r="SO19" i="1" s="1"/>
  <c r="SN11" i="1"/>
  <c r="SN19" i="1" s="1"/>
  <c r="SM11" i="1"/>
  <c r="SM19" i="1" s="1"/>
  <c r="SL11" i="1"/>
  <c r="SL19" i="1" s="1"/>
  <c r="SK11" i="1"/>
  <c r="SK19" i="1" s="1"/>
  <c r="SJ11" i="1"/>
  <c r="SJ19" i="1" s="1"/>
  <c r="RZ11" i="1"/>
  <c r="RZ19" i="1" s="1"/>
  <c r="RY11" i="1"/>
  <c r="RY19" i="1" s="1"/>
  <c r="RX11" i="1"/>
  <c r="RX19" i="1" s="1"/>
  <c r="RW11" i="1"/>
  <c r="RW19" i="1" s="1"/>
  <c r="RV11" i="1"/>
  <c r="RV19" i="1" s="1"/>
  <c r="RU11" i="1"/>
  <c r="RU19" i="1" s="1"/>
  <c r="RT11" i="1"/>
  <c r="RT19" i="1" s="1"/>
  <c r="RS11" i="1"/>
  <c r="RS19" i="1" s="1"/>
  <c r="RR11" i="1"/>
  <c r="RR19" i="1" s="1"/>
  <c r="RQ11" i="1"/>
  <c r="RQ19" i="1" s="1"/>
  <c r="RP11" i="1"/>
  <c r="RP19" i="1" s="1"/>
  <c r="RO11" i="1"/>
  <c r="RO19" i="1" s="1"/>
  <c r="RN11" i="1"/>
  <c r="RN19" i="1" s="1"/>
  <c r="RM11" i="1"/>
  <c r="RM19" i="1" s="1"/>
  <c r="RL11" i="1"/>
  <c r="RL19" i="1" s="1"/>
  <c r="RK11" i="1"/>
  <c r="RK19" i="1" s="1"/>
  <c r="RJ11" i="1"/>
  <c r="RJ19" i="1" s="1"/>
  <c r="RC11" i="1"/>
  <c r="RC19" i="1" s="1"/>
  <c r="RB11" i="1"/>
  <c r="RB19" i="1" s="1"/>
  <c r="RA11" i="1"/>
  <c r="RA19" i="1" s="1"/>
  <c r="QZ11" i="1"/>
  <c r="QZ19" i="1" s="1"/>
  <c r="QY11" i="1"/>
  <c r="QY19" i="1" s="1"/>
  <c r="QX11" i="1"/>
  <c r="QX19" i="1" s="1"/>
  <c r="QW11" i="1"/>
  <c r="QW19" i="1" s="1"/>
  <c r="QV11" i="1"/>
  <c r="QV19" i="1" s="1"/>
  <c r="QU11" i="1"/>
  <c r="QU19" i="1" s="1"/>
  <c r="QT11" i="1"/>
  <c r="QT19" i="1" s="1"/>
  <c r="QS11" i="1"/>
  <c r="QS19" i="1" s="1"/>
  <c r="QR11" i="1"/>
  <c r="QR19" i="1" s="1"/>
  <c r="QQ11" i="1"/>
  <c r="QQ19" i="1" s="1"/>
  <c r="QP11" i="1"/>
  <c r="QP19" i="1" s="1"/>
  <c r="QO11" i="1"/>
  <c r="QO19" i="1" s="1"/>
  <c r="QN11" i="1"/>
  <c r="QN19" i="1" s="1"/>
  <c r="QM11" i="1"/>
  <c r="QM19" i="1" s="1"/>
  <c r="QL11" i="1"/>
  <c r="QL19" i="1" s="1"/>
  <c r="QK11" i="1"/>
  <c r="QK19" i="1" s="1"/>
  <c r="QE11" i="1"/>
  <c r="QE19" i="1" s="1"/>
  <c r="QD11" i="1"/>
  <c r="QD19" i="1" s="1"/>
  <c r="QC11" i="1"/>
  <c r="QC19" i="1" s="1"/>
  <c r="QB11" i="1"/>
  <c r="QB19" i="1" s="1"/>
  <c r="QA11" i="1"/>
  <c r="QA19" i="1" s="1"/>
  <c r="PZ11" i="1"/>
  <c r="PZ19" i="1" s="1"/>
  <c r="PY11" i="1"/>
  <c r="PY19" i="1" s="1"/>
  <c r="PX11" i="1"/>
  <c r="PX19" i="1" s="1"/>
  <c r="PW11" i="1"/>
  <c r="PW19" i="1" s="1"/>
  <c r="PV11" i="1"/>
  <c r="PV19" i="1" s="1"/>
  <c r="PU11" i="1"/>
  <c r="PU19" i="1" s="1"/>
  <c r="PJ11" i="1"/>
  <c r="PJ19" i="1" s="1"/>
  <c r="PI11" i="1"/>
  <c r="PI19" i="1" s="1"/>
  <c r="PH11" i="1"/>
  <c r="PH19" i="1" s="1"/>
  <c r="PG11" i="1"/>
  <c r="PG19" i="1" s="1"/>
  <c r="PF11" i="1"/>
  <c r="PF19" i="1" s="1"/>
  <c r="PE11" i="1"/>
  <c r="PE19" i="1" s="1"/>
  <c r="PD11" i="1"/>
  <c r="PD19" i="1" s="1"/>
  <c r="PC11" i="1"/>
  <c r="PC19" i="1" s="1"/>
  <c r="PB11" i="1"/>
  <c r="PB19" i="1" s="1"/>
  <c r="PA11" i="1"/>
  <c r="PA19" i="1" s="1"/>
  <c r="OZ11" i="1"/>
  <c r="OZ19" i="1" s="1"/>
  <c r="OY11" i="1"/>
  <c r="OY19" i="1" s="1"/>
  <c r="OU11" i="1"/>
  <c r="OU19" i="1" s="1"/>
  <c r="OT11" i="1"/>
  <c r="OT19" i="1" s="1"/>
  <c r="OS11" i="1"/>
  <c r="OS19" i="1" s="1"/>
  <c r="OR11" i="1"/>
  <c r="OR19" i="1" s="1"/>
  <c r="OQ11" i="1"/>
  <c r="OQ19" i="1" s="1"/>
  <c r="OP11" i="1"/>
  <c r="OP19" i="1" s="1"/>
  <c r="OO11" i="1"/>
  <c r="OO19" i="1" s="1"/>
  <c r="ON11" i="1"/>
  <c r="ON19" i="1" s="1"/>
  <c r="NU11" i="1"/>
  <c r="NU19" i="1" s="1"/>
  <c r="LD11" i="1"/>
  <c r="LD19" i="1" s="1"/>
  <c r="KO11" i="1"/>
  <c r="KO19" i="1" s="1"/>
  <c r="KM11" i="1"/>
  <c r="KM19" i="1" s="1"/>
  <c r="KL11" i="1"/>
  <c r="KL19" i="1" s="1"/>
  <c r="KK11" i="1"/>
  <c r="KK19" i="1" s="1"/>
  <c r="KJ11" i="1"/>
  <c r="KJ19" i="1" s="1"/>
  <c r="KI11" i="1"/>
  <c r="KI19" i="1" s="1"/>
  <c r="KH11" i="1"/>
  <c r="KH19" i="1" s="1"/>
  <c r="KG11" i="1"/>
  <c r="KG19" i="1" s="1"/>
  <c r="KF11" i="1"/>
  <c r="KF19" i="1" s="1"/>
  <c r="KE11" i="1"/>
  <c r="KE19" i="1" s="1"/>
  <c r="KD11" i="1"/>
  <c r="KD19" i="1" s="1"/>
  <c r="KC11" i="1"/>
  <c r="KC19" i="1" s="1"/>
  <c r="KB11" i="1"/>
  <c r="KB19" i="1" s="1"/>
  <c r="KA11" i="1"/>
  <c r="KA19" i="1" s="1"/>
  <c r="JZ11" i="1"/>
  <c r="JZ19" i="1" s="1"/>
  <c r="JY11" i="1"/>
  <c r="JY19" i="1" s="1"/>
  <c r="JX11" i="1"/>
  <c r="JX19" i="1" s="1"/>
  <c r="JW11" i="1"/>
  <c r="JW19" i="1" s="1"/>
  <c r="JV11" i="1"/>
  <c r="JV19" i="1" s="1"/>
  <c r="JI11" i="1"/>
  <c r="JI19" i="1" s="1"/>
  <c r="IX11" i="1"/>
  <c r="IX19" i="1" s="1"/>
  <c r="IW11" i="1"/>
  <c r="IW19" i="1" s="1"/>
  <c r="IV11" i="1"/>
  <c r="IV19" i="1" s="1"/>
  <c r="IU11" i="1"/>
  <c r="IU19" i="1" s="1"/>
  <c r="IT11" i="1"/>
  <c r="IT19" i="1" s="1"/>
  <c r="IS11" i="1"/>
  <c r="IS19" i="1" s="1"/>
  <c r="IR11" i="1"/>
  <c r="IR19" i="1" s="1"/>
  <c r="IQ11" i="1"/>
  <c r="IQ19" i="1" s="1"/>
  <c r="IP11" i="1"/>
  <c r="IP19" i="1" s="1"/>
  <c r="IO11" i="1"/>
  <c r="IO19" i="1" s="1"/>
  <c r="IN11" i="1"/>
  <c r="IN19" i="1" s="1"/>
  <c r="IM11" i="1"/>
  <c r="IM19" i="1" s="1"/>
  <c r="IL11" i="1"/>
  <c r="IL19" i="1" s="1"/>
  <c r="II11" i="1"/>
  <c r="II19" i="1" s="1"/>
  <c r="IH11" i="1"/>
  <c r="IH19" i="1" s="1"/>
  <c r="IG11" i="1"/>
  <c r="IG19" i="1" s="1"/>
  <c r="IF11" i="1"/>
  <c r="IF19" i="1" s="1"/>
  <c r="IE11" i="1"/>
  <c r="IE19" i="1" s="1"/>
  <c r="IC11" i="1"/>
  <c r="IC19" i="1" s="1"/>
  <c r="IB11" i="1"/>
  <c r="IB19" i="1" s="1"/>
  <c r="HR11" i="1"/>
  <c r="HR19" i="1" s="1"/>
  <c r="HQ11" i="1"/>
  <c r="HQ19" i="1" s="1"/>
  <c r="HN11" i="1"/>
  <c r="HN19" i="1" s="1"/>
  <c r="HK11" i="1"/>
  <c r="HK19" i="1" s="1"/>
  <c r="HJ11" i="1"/>
  <c r="HJ19" i="1" s="1"/>
  <c r="HF11" i="1"/>
  <c r="HF19" i="1" s="1"/>
  <c r="GQ11" i="1"/>
  <c r="GQ19" i="1" s="1"/>
  <c r="GP11" i="1"/>
  <c r="GP19" i="1" s="1"/>
  <c r="FZ11" i="1"/>
  <c r="FZ19" i="1" s="1"/>
  <c r="FW11" i="1"/>
  <c r="FW19" i="1" s="1"/>
  <c r="FV11" i="1"/>
  <c r="FV19" i="1" s="1"/>
  <c r="FU11" i="1"/>
  <c r="FU19" i="1" s="1"/>
  <c r="FT11" i="1"/>
  <c r="FT19" i="1" s="1"/>
  <c r="FS11" i="1"/>
  <c r="FS19" i="1" s="1"/>
  <c r="FR11" i="1"/>
  <c r="FR19" i="1" s="1"/>
  <c r="FQ11" i="1"/>
  <c r="FQ19" i="1" s="1"/>
  <c r="FL11" i="1"/>
  <c r="FL19" i="1" s="1"/>
  <c r="FK11" i="1"/>
  <c r="FK19" i="1" s="1"/>
  <c r="FJ11" i="1"/>
  <c r="FJ19" i="1" s="1"/>
  <c r="EQ11" i="1"/>
  <c r="EQ19" i="1" s="1"/>
  <c r="EP11" i="1"/>
  <c r="EP19" i="1" s="1"/>
  <c r="EO11" i="1"/>
  <c r="EO19" i="1" s="1"/>
  <c r="EN11" i="1"/>
  <c r="EN19" i="1" s="1"/>
  <c r="EJ11" i="1"/>
  <c r="EJ19" i="1" s="1"/>
  <c r="DX11" i="1"/>
  <c r="DX19" i="1" s="1"/>
  <c r="DW11" i="1"/>
  <c r="DW19" i="1" s="1"/>
  <c r="DV11" i="1"/>
  <c r="DV19" i="1" s="1"/>
  <c r="DU11" i="1"/>
  <c r="DU19" i="1" s="1"/>
  <c r="DT11" i="1"/>
  <c r="DT19" i="1" s="1"/>
  <c r="DS11" i="1"/>
  <c r="DS19" i="1" s="1"/>
  <c r="DR11" i="1"/>
  <c r="DR19" i="1" s="1"/>
  <c r="DQ11" i="1"/>
  <c r="DQ19" i="1" s="1"/>
  <c r="CG11" i="1"/>
  <c r="CG19" i="1" s="1"/>
  <c r="CE11" i="1"/>
  <c r="CE19" i="1" s="1"/>
  <c r="CD11" i="1"/>
  <c r="CD19" i="1" s="1"/>
  <c r="CC11" i="1"/>
  <c r="CC19" i="1" s="1"/>
  <c r="CB11" i="1"/>
  <c r="CB19" i="1" s="1"/>
  <c r="CA11" i="1"/>
  <c r="CA19" i="1" s="1"/>
  <c r="BZ11" i="1"/>
  <c r="BZ19" i="1" s="1"/>
  <c r="BW11" i="1"/>
  <c r="BW19" i="1" s="1"/>
  <c r="BV11" i="1"/>
  <c r="BV19" i="1" s="1"/>
  <c r="BU11" i="1"/>
  <c r="BU19" i="1" s="1"/>
  <c r="BT11" i="1"/>
  <c r="BT19" i="1" s="1"/>
  <c r="BS11" i="1"/>
  <c r="BS19" i="1" s="1"/>
  <c r="BO11" i="1"/>
  <c r="BO19" i="1" s="1"/>
  <c r="BM11" i="1"/>
  <c r="BM19" i="1" s="1"/>
  <c r="BK11" i="1"/>
  <c r="BK19" i="1" s="1"/>
  <c r="BH11" i="1"/>
  <c r="BH19" i="1" s="1"/>
  <c r="BE11" i="1"/>
  <c r="BE19" i="1" s="1"/>
  <c r="BB11" i="1"/>
  <c r="BB19" i="1" s="1"/>
  <c r="AY11" i="1"/>
  <c r="AY19" i="1" s="1"/>
  <c r="AS11" i="1"/>
  <c r="AS19" i="1" s="1"/>
  <c r="AR11" i="1"/>
  <c r="AR19" i="1" s="1"/>
  <c r="AQ11" i="1"/>
  <c r="AQ19" i="1" s="1"/>
  <c r="AP11" i="1"/>
  <c r="AP19" i="1" s="1"/>
  <c r="AN11" i="1"/>
  <c r="AN19" i="1" s="1"/>
  <c r="AJ11" i="1"/>
  <c r="AJ19" i="1" s="1"/>
  <c r="AI11" i="1"/>
  <c r="AI19" i="1" s="1"/>
  <c r="AG11" i="1"/>
  <c r="AG19" i="1" s="1"/>
  <c r="AF11" i="1"/>
  <c r="AF19" i="1" s="1"/>
  <c r="AE11" i="1"/>
  <c r="AE19" i="1" s="1"/>
  <c r="AC11" i="1"/>
  <c r="AC19" i="1" s="1"/>
  <c r="AA11" i="1"/>
  <c r="AA19" i="1" s="1"/>
  <c r="Z11" i="1"/>
  <c r="Z19" i="1" s="1"/>
  <c r="Y11" i="1"/>
  <c r="Y19" i="1" s="1"/>
  <c r="X11" i="1"/>
  <c r="X19" i="1" s="1"/>
  <c r="W11" i="1"/>
  <c r="W19" i="1" s="1"/>
  <c r="U11" i="1"/>
  <c r="U19" i="1" s="1"/>
  <c r="Q11" i="1"/>
  <c r="Q19" i="1" s="1"/>
  <c r="P11" i="1"/>
  <c r="P19" i="1" s="1"/>
  <c r="L11" i="1"/>
  <c r="L19" i="1" s="1"/>
  <c r="J11" i="1"/>
  <c r="J19" i="1" s="1"/>
  <c r="I11" i="1"/>
  <c r="I19" i="1" s="1"/>
  <c r="E11" i="1"/>
  <c r="E19" i="1" s="1"/>
  <c r="C11" i="1"/>
  <c r="C19" i="1" s="1"/>
  <c r="B11" i="1"/>
  <c r="B19" i="1" s="1"/>
  <c r="VH10" i="1"/>
  <c r="VH18" i="1" s="1"/>
  <c r="VG10" i="1"/>
  <c r="VG18" i="1" s="1"/>
  <c r="VF10" i="1"/>
  <c r="VF18" i="1" s="1"/>
  <c r="VE10" i="1"/>
  <c r="VE18" i="1" s="1"/>
  <c r="VD10" i="1"/>
  <c r="VD18" i="1" s="1"/>
  <c r="VC10" i="1"/>
  <c r="VC18" i="1" s="1"/>
  <c r="VB10" i="1"/>
  <c r="VB18" i="1" s="1"/>
  <c r="VA10" i="1"/>
  <c r="VA18" i="1" s="1"/>
  <c r="QS10" i="1"/>
  <c r="QS18" i="1" s="1"/>
  <c r="QR10" i="1"/>
  <c r="QR18" i="1" s="1"/>
  <c r="QQ10" i="1"/>
  <c r="QQ18" i="1" s="1"/>
  <c r="PF10" i="1"/>
  <c r="PF18" i="1" s="1"/>
  <c r="PE10" i="1"/>
  <c r="PE18" i="1" s="1"/>
  <c r="PD10" i="1"/>
  <c r="PD18" i="1" s="1"/>
  <c r="PC10" i="1"/>
  <c r="PC18" i="1" s="1"/>
  <c r="OU10" i="1"/>
  <c r="OU18" i="1" s="1"/>
  <c r="ON10" i="1"/>
  <c r="ON18" i="1" s="1"/>
  <c r="NU10" i="1"/>
  <c r="NU18" i="1" s="1"/>
  <c r="JI10" i="1"/>
  <c r="JI18" i="1" s="1"/>
  <c r="HF10" i="1"/>
  <c r="HF18" i="1" s="1"/>
  <c r="GQ10" i="1"/>
  <c r="GQ18" i="1" s="1"/>
  <c r="GP10" i="1"/>
  <c r="GP18" i="1" s="1"/>
  <c r="FZ10" i="1"/>
  <c r="FZ18" i="1" s="1"/>
  <c r="EQ10" i="1"/>
  <c r="EQ18" i="1" s="1"/>
  <c r="EP10" i="1"/>
  <c r="EP18" i="1" s="1"/>
  <c r="EO10" i="1"/>
  <c r="EO18" i="1" s="1"/>
  <c r="EN10" i="1"/>
  <c r="EN18" i="1" s="1"/>
  <c r="EJ10" i="1"/>
  <c r="EJ18" i="1" s="1"/>
  <c r="CG10" i="1"/>
  <c r="CG18" i="1" s="1"/>
  <c r="CE10" i="1"/>
  <c r="CE18" i="1" s="1"/>
  <c r="CD10" i="1"/>
  <c r="CD18" i="1" s="1"/>
  <c r="CC10" i="1"/>
  <c r="CC18" i="1" s="1"/>
  <c r="CB10" i="1"/>
  <c r="CB18" i="1" s="1"/>
  <c r="CA10" i="1"/>
  <c r="CA18" i="1" s="1"/>
  <c r="BZ10" i="1"/>
  <c r="BZ18" i="1" s="1"/>
  <c r="BW10" i="1"/>
  <c r="BW18" i="1" s="1"/>
  <c r="BV10" i="1"/>
  <c r="BV18" i="1" s="1"/>
  <c r="BU10" i="1"/>
  <c r="BU18" i="1" s="1"/>
  <c r="BT10" i="1"/>
  <c r="BT18" i="1" s="1"/>
  <c r="BS10" i="1"/>
  <c r="BS18" i="1" s="1"/>
  <c r="BO10" i="1"/>
  <c r="BO18" i="1" s="1"/>
  <c r="BM10" i="1"/>
  <c r="BM18" i="1" s="1"/>
  <c r="BK10" i="1"/>
  <c r="BK18" i="1" s="1"/>
  <c r="BH10" i="1"/>
  <c r="BH18" i="1" s="1"/>
  <c r="BE10" i="1"/>
  <c r="BE18" i="1" s="1"/>
  <c r="BB10" i="1"/>
  <c r="BB18" i="1" s="1"/>
  <c r="AY10" i="1"/>
  <c r="AY18" i="1" s="1"/>
  <c r="AS10" i="1"/>
  <c r="AS18" i="1" s="1"/>
  <c r="AR10" i="1"/>
  <c r="AR18" i="1" s="1"/>
  <c r="AQ10" i="1"/>
  <c r="AQ18" i="1" s="1"/>
  <c r="AP10" i="1"/>
  <c r="AP18" i="1" s="1"/>
  <c r="AN10" i="1"/>
  <c r="AN18" i="1" s="1"/>
  <c r="AJ10" i="1"/>
  <c r="AJ18" i="1" s="1"/>
  <c r="AI10" i="1"/>
  <c r="AI18" i="1" s="1"/>
  <c r="AG10" i="1"/>
  <c r="AG18" i="1" s="1"/>
  <c r="AF10" i="1"/>
  <c r="AF18" i="1" s="1"/>
  <c r="AE10" i="1"/>
  <c r="AE18" i="1" s="1"/>
  <c r="AC10" i="1"/>
  <c r="AC18" i="1" s="1"/>
  <c r="AA10" i="1"/>
  <c r="AA18" i="1" s="1"/>
  <c r="Z10" i="1"/>
  <c r="Z18" i="1" s="1"/>
  <c r="Y10" i="1"/>
  <c r="Y18" i="1" s="1"/>
  <c r="X10" i="1"/>
  <c r="X18" i="1" s="1"/>
  <c r="W10" i="1"/>
  <c r="W18" i="1" s="1"/>
  <c r="U10" i="1"/>
  <c r="U18" i="1" s="1"/>
  <c r="Q10" i="1"/>
  <c r="Q18" i="1" s="1"/>
  <c r="P10" i="1"/>
  <c r="P18" i="1" s="1"/>
  <c r="L10" i="1"/>
  <c r="L18" i="1" s="1"/>
  <c r="J10" i="1"/>
  <c r="J18" i="1" s="1"/>
  <c r="I10" i="1"/>
  <c r="I18" i="1" s="1"/>
  <c r="E10" i="1"/>
  <c r="E18" i="1" s="1"/>
  <c r="C10" i="1"/>
  <c r="C18" i="1" s="1"/>
  <c r="B10" i="1"/>
  <c r="B18" i="1" s="1"/>
  <c r="VH9" i="1"/>
  <c r="VH17" i="1" s="1"/>
  <c r="VG9" i="1"/>
  <c r="VG17" i="1" s="1"/>
  <c r="VF9" i="1"/>
  <c r="VF17" i="1" s="1"/>
  <c r="VE9" i="1"/>
  <c r="VE17" i="1" s="1"/>
  <c r="VD9" i="1"/>
  <c r="VD17" i="1" s="1"/>
  <c r="VC9" i="1"/>
  <c r="VC17" i="1" s="1"/>
  <c r="VB9" i="1"/>
  <c r="VB17" i="1" s="1"/>
  <c r="VA9" i="1"/>
  <c r="VA17" i="1" s="1"/>
  <c r="UZ9" i="1"/>
  <c r="UZ17" i="1" s="1"/>
  <c r="UY9" i="1"/>
  <c r="UY17" i="1" s="1"/>
  <c r="UX9" i="1"/>
  <c r="UX17" i="1" s="1"/>
  <c r="UW9" i="1"/>
  <c r="UW17" i="1" s="1"/>
  <c r="UV9" i="1"/>
  <c r="UV17" i="1" s="1"/>
  <c r="UQ9" i="1"/>
  <c r="UQ17" i="1" s="1"/>
  <c r="UP9" i="1"/>
  <c r="UP17" i="1" s="1"/>
  <c r="UO9" i="1"/>
  <c r="UO17" i="1" s="1"/>
  <c r="UN9" i="1"/>
  <c r="UN17" i="1" s="1"/>
  <c r="UM9" i="1"/>
  <c r="UM17" i="1" s="1"/>
  <c r="UL9" i="1"/>
  <c r="UL17" i="1" s="1"/>
  <c r="UK9" i="1"/>
  <c r="UK17" i="1" s="1"/>
  <c r="TU9" i="1"/>
  <c r="TU17" i="1" s="1"/>
  <c r="TT9" i="1"/>
  <c r="TT17" i="1" s="1"/>
  <c r="TB9" i="1"/>
  <c r="TB17" i="1" s="1"/>
  <c r="TA9" i="1"/>
  <c r="TA17" i="1" s="1"/>
  <c r="RW9" i="1"/>
  <c r="RW17" i="1" s="1"/>
  <c r="RV9" i="1"/>
  <c r="RV17" i="1" s="1"/>
  <c r="QZ9" i="1"/>
  <c r="QZ17" i="1" s="1"/>
  <c r="QY9" i="1"/>
  <c r="QY17" i="1" s="1"/>
  <c r="QX9" i="1"/>
  <c r="QX17" i="1" s="1"/>
  <c r="QS9" i="1"/>
  <c r="QS17" i="1" s="1"/>
  <c r="QR9" i="1"/>
  <c r="QR17" i="1" s="1"/>
  <c r="QQ9" i="1"/>
  <c r="QQ17" i="1" s="1"/>
  <c r="QO9" i="1"/>
  <c r="QO17" i="1" s="1"/>
  <c r="QN9" i="1"/>
  <c r="QN17" i="1" s="1"/>
  <c r="QE9" i="1"/>
  <c r="QE17" i="1" s="1"/>
  <c r="QD9" i="1"/>
  <c r="QD17" i="1" s="1"/>
  <c r="QC9" i="1"/>
  <c r="QC17" i="1" s="1"/>
  <c r="PJ9" i="1"/>
  <c r="PJ17" i="1" s="1"/>
  <c r="PI9" i="1"/>
  <c r="PI17" i="1" s="1"/>
  <c r="PH9" i="1"/>
  <c r="PH17" i="1" s="1"/>
  <c r="PG9" i="1"/>
  <c r="PG17" i="1" s="1"/>
  <c r="PF9" i="1"/>
  <c r="PF17" i="1" s="1"/>
  <c r="PE9" i="1"/>
  <c r="PE17" i="1" s="1"/>
  <c r="PD9" i="1"/>
  <c r="PD17" i="1" s="1"/>
  <c r="PC9" i="1"/>
  <c r="PC17" i="1" s="1"/>
  <c r="OU9" i="1"/>
  <c r="OU17" i="1" s="1"/>
  <c r="OT9" i="1"/>
  <c r="OT17" i="1" s="1"/>
  <c r="OS9" i="1"/>
  <c r="OS17" i="1" s="1"/>
  <c r="OR9" i="1"/>
  <c r="OR17" i="1" s="1"/>
  <c r="OQ9" i="1"/>
  <c r="OQ17" i="1" s="1"/>
  <c r="OP9" i="1"/>
  <c r="OP17" i="1" s="1"/>
  <c r="OO9" i="1"/>
  <c r="OO17" i="1" s="1"/>
  <c r="ON9" i="1"/>
  <c r="ON17" i="1" s="1"/>
  <c r="OD9" i="1"/>
  <c r="OD17" i="1" s="1"/>
  <c r="OC9" i="1"/>
  <c r="OC17" i="1" s="1"/>
  <c r="OB9" i="1"/>
  <c r="OB17" i="1" s="1"/>
  <c r="OA9" i="1"/>
  <c r="OA17" i="1" s="1"/>
  <c r="NZ9" i="1"/>
  <c r="NZ17" i="1" s="1"/>
  <c r="NY9" i="1"/>
  <c r="NY17" i="1" s="1"/>
  <c r="NX9" i="1"/>
  <c r="NX17" i="1" s="1"/>
  <c r="NW9" i="1"/>
  <c r="NW17" i="1" s="1"/>
  <c r="NV9" i="1"/>
  <c r="NV17" i="1" s="1"/>
  <c r="NU9" i="1"/>
  <c r="NU17" i="1" s="1"/>
  <c r="NN9" i="1"/>
  <c r="NN17" i="1" s="1"/>
  <c r="NM9" i="1"/>
  <c r="NM17" i="1" s="1"/>
  <c r="NL9" i="1"/>
  <c r="NL17" i="1" s="1"/>
  <c r="NK9" i="1"/>
  <c r="NK17" i="1" s="1"/>
  <c r="NJ9" i="1"/>
  <c r="NJ17" i="1" s="1"/>
  <c r="NI9" i="1"/>
  <c r="NI17" i="1" s="1"/>
  <c r="NH9" i="1"/>
  <c r="NH17" i="1" s="1"/>
  <c r="NG9" i="1"/>
  <c r="NG17" i="1" s="1"/>
  <c r="ND9" i="1"/>
  <c r="ND17" i="1" s="1"/>
  <c r="NC9" i="1"/>
  <c r="NC17" i="1" s="1"/>
  <c r="NB9" i="1"/>
  <c r="NB17" i="1" s="1"/>
  <c r="NA9" i="1"/>
  <c r="NA17" i="1" s="1"/>
  <c r="MZ9" i="1"/>
  <c r="MZ17" i="1" s="1"/>
  <c r="MY9" i="1"/>
  <c r="MY17" i="1" s="1"/>
  <c r="MX9" i="1"/>
  <c r="MX17" i="1" s="1"/>
  <c r="MW9" i="1"/>
  <c r="MW17" i="1" s="1"/>
  <c r="MV9" i="1"/>
  <c r="MV17" i="1" s="1"/>
  <c r="MU9" i="1"/>
  <c r="MU17" i="1" s="1"/>
  <c r="MT9" i="1"/>
  <c r="MT17" i="1" s="1"/>
  <c r="MS9" i="1"/>
  <c r="MS17" i="1" s="1"/>
  <c r="MR9" i="1"/>
  <c r="MR17" i="1" s="1"/>
  <c r="MQ9" i="1"/>
  <c r="MQ17" i="1" s="1"/>
  <c r="MP9" i="1"/>
  <c r="MP17" i="1" s="1"/>
  <c r="MO9" i="1"/>
  <c r="MO17" i="1" s="1"/>
  <c r="MN9" i="1"/>
  <c r="MN17" i="1" s="1"/>
  <c r="MM9" i="1"/>
  <c r="MM17" i="1" s="1"/>
  <c r="ML9" i="1"/>
  <c r="ML17" i="1" s="1"/>
  <c r="MK9" i="1"/>
  <c r="MK17" i="1" s="1"/>
  <c r="MJ9" i="1"/>
  <c r="MJ17" i="1" s="1"/>
  <c r="MI9" i="1"/>
  <c r="MI17" i="1" s="1"/>
  <c r="MH9" i="1"/>
  <c r="MH17" i="1" s="1"/>
  <c r="MG9" i="1"/>
  <c r="MG17" i="1" s="1"/>
  <c r="MF9" i="1"/>
  <c r="MF17" i="1" s="1"/>
  <c r="ME9" i="1"/>
  <c r="ME17" i="1" s="1"/>
  <c r="MD9" i="1"/>
  <c r="MD17" i="1" s="1"/>
  <c r="MC9" i="1"/>
  <c r="MC17" i="1" s="1"/>
  <c r="MB9" i="1"/>
  <c r="MB17" i="1" s="1"/>
  <c r="MA9" i="1"/>
  <c r="MA17" i="1" s="1"/>
  <c r="LZ9" i="1"/>
  <c r="LZ17" i="1" s="1"/>
  <c r="LP9" i="1"/>
  <c r="LP17" i="1" s="1"/>
  <c r="LO9" i="1"/>
  <c r="LO17" i="1" s="1"/>
  <c r="LN9" i="1"/>
  <c r="LN17" i="1" s="1"/>
  <c r="LM9" i="1"/>
  <c r="LM17" i="1" s="1"/>
  <c r="LL9" i="1"/>
  <c r="LL17" i="1" s="1"/>
  <c r="LK9" i="1"/>
  <c r="LK17" i="1" s="1"/>
  <c r="LJ9" i="1"/>
  <c r="LJ17" i="1" s="1"/>
  <c r="LI9" i="1"/>
  <c r="LI17" i="1" s="1"/>
  <c r="LH9" i="1"/>
  <c r="LH17" i="1" s="1"/>
  <c r="LG9" i="1"/>
  <c r="LG17" i="1" s="1"/>
  <c r="LF9" i="1"/>
  <c r="LF17" i="1" s="1"/>
  <c r="LE9" i="1"/>
  <c r="LE17" i="1" s="1"/>
  <c r="LD9" i="1"/>
  <c r="LD17" i="1" s="1"/>
  <c r="LC9" i="1"/>
  <c r="LC17" i="1" s="1"/>
  <c r="KO9" i="1"/>
  <c r="KO17" i="1" s="1"/>
  <c r="KM9" i="1"/>
  <c r="KM17" i="1" s="1"/>
  <c r="KL9" i="1"/>
  <c r="KL17" i="1" s="1"/>
  <c r="KK9" i="1"/>
  <c r="KK17" i="1" s="1"/>
  <c r="KJ9" i="1"/>
  <c r="KJ17" i="1" s="1"/>
  <c r="KI9" i="1"/>
  <c r="KI17" i="1" s="1"/>
  <c r="KH9" i="1"/>
  <c r="KH17" i="1" s="1"/>
  <c r="KG9" i="1"/>
  <c r="KG17" i="1" s="1"/>
  <c r="KF9" i="1"/>
  <c r="KF17" i="1" s="1"/>
  <c r="KE9" i="1"/>
  <c r="KE17" i="1" s="1"/>
  <c r="KD9" i="1"/>
  <c r="KD17" i="1" s="1"/>
  <c r="KC9" i="1"/>
  <c r="KC17" i="1" s="1"/>
  <c r="KB9" i="1"/>
  <c r="KB17" i="1" s="1"/>
  <c r="KA9" i="1"/>
  <c r="KA17" i="1" s="1"/>
  <c r="JZ9" i="1"/>
  <c r="JZ17" i="1" s="1"/>
  <c r="JY9" i="1"/>
  <c r="JY17" i="1" s="1"/>
  <c r="JX9" i="1"/>
  <c r="JX17" i="1" s="1"/>
  <c r="JW9" i="1"/>
  <c r="JW17" i="1" s="1"/>
  <c r="JV9" i="1"/>
  <c r="JV17" i="1" s="1"/>
  <c r="JI9" i="1"/>
  <c r="JI17" i="1" s="1"/>
  <c r="IX9" i="1"/>
  <c r="IX17" i="1" s="1"/>
  <c r="IW9" i="1"/>
  <c r="IW17" i="1" s="1"/>
  <c r="IV9" i="1"/>
  <c r="IV17" i="1" s="1"/>
  <c r="IU9" i="1"/>
  <c r="IU17" i="1" s="1"/>
  <c r="IT9" i="1"/>
  <c r="IT17" i="1" s="1"/>
  <c r="IS9" i="1"/>
  <c r="IS17" i="1" s="1"/>
  <c r="IR9" i="1"/>
  <c r="IR17" i="1" s="1"/>
  <c r="IQ9" i="1"/>
  <c r="IQ17" i="1" s="1"/>
  <c r="IP9" i="1"/>
  <c r="IP17" i="1" s="1"/>
  <c r="IO9" i="1"/>
  <c r="IO17" i="1" s="1"/>
  <c r="IN9" i="1"/>
  <c r="IN17" i="1" s="1"/>
  <c r="IM9" i="1"/>
  <c r="IM17" i="1" s="1"/>
  <c r="IL9" i="1"/>
  <c r="IL17" i="1" s="1"/>
  <c r="II9" i="1"/>
  <c r="II17" i="1" s="1"/>
  <c r="IH9" i="1"/>
  <c r="IH17" i="1" s="1"/>
  <c r="IG9" i="1"/>
  <c r="IG17" i="1" s="1"/>
  <c r="IF9" i="1"/>
  <c r="IF17" i="1" s="1"/>
  <c r="IE9" i="1"/>
  <c r="IE17" i="1" s="1"/>
  <c r="IC9" i="1"/>
  <c r="IC17" i="1" s="1"/>
  <c r="IB9" i="1"/>
  <c r="IB17" i="1" s="1"/>
  <c r="HR9" i="1"/>
  <c r="HR17" i="1" s="1"/>
  <c r="HQ9" i="1"/>
  <c r="HQ17" i="1" s="1"/>
  <c r="HN9" i="1"/>
  <c r="HN17" i="1" s="1"/>
  <c r="HK9" i="1"/>
  <c r="HK17" i="1" s="1"/>
  <c r="HJ9" i="1"/>
  <c r="HJ17" i="1" s="1"/>
  <c r="HF9" i="1"/>
  <c r="HF17" i="1" s="1"/>
  <c r="GQ9" i="1"/>
  <c r="GQ17" i="1" s="1"/>
  <c r="GP9" i="1"/>
  <c r="GP17" i="1" s="1"/>
  <c r="FZ9" i="1"/>
  <c r="FZ17" i="1" s="1"/>
  <c r="FW9" i="1"/>
  <c r="FW17" i="1" s="1"/>
  <c r="FV9" i="1"/>
  <c r="FV17" i="1" s="1"/>
  <c r="FU9" i="1"/>
  <c r="FU17" i="1" s="1"/>
  <c r="FT9" i="1"/>
  <c r="FT17" i="1" s="1"/>
  <c r="FS9" i="1"/>
  <c r="FS17" i="1" s="1"/>
  <c r="FR9" i="1"/>
  <c r="FR17" i="1" s="1"/>
  <c r="FQ9" i="1"/>
  <c r="FQ17" i="1" s="1"/>
  <c r="FL9" i="1"/>
  <c r="FL17" i="1" s="1"/>
  <c r="FK9" i="1"/>
  <c r="FK17" i="1" s="1"/>
  <c r="FJ9" i="1"/>
  <c r="FJ17" i="1" s="1"/>
  <c r="EQ9" i="1"/>
  <c r="EQ17" i="1" s="1"/>
  <c r="EP9" i="1"/>
  <c r="EP17" i="1" s="1"/>
  <c r="EO9" i="1"/>
  <c r="EO17" i="1" s="1"/>
  <c r="EN9" i="1"/>
  <c r="EN17" i="1" s="1"/>
  <c r="EJ9" i="1"/>
  <c r="EJ17" i="1" s="1"/>
  <c r="DX9" i="1"/>
  <c r="DX17" i="1" s="1"/>
  <c r="DW9" i="1"/>
  <c r="DW17" i="1" s="1"/>
  <c r="DV9" i="1"/>
  <c r="DV17" i="1" s="1"/>
  <c r="DU9" i="1"/>
  <c r="DU17" i="1" s="1"/>
  <c r="DT9" i="1"/>
  <c r="DT17" i="1" s="1"/>
  <c r="DS9" i="1"/>
  <c r="DS17" i="1" s="1"/>
  <c r="DR9" i="1"/>
  <c r="DR17" i="1" s="1"/>
  <c r="DQ9" i="1"/>
  <c r="DQ17" i="1" s="1"/>
  <c r="CG9" i="1"/>
  <c r="CG17" i="1" s="1"/>
  <c r="CE9" i="1"/>
  <c r="CE17" i="1" s="1"/>
  <c r="CD9" i="1"/>
  <c r="CD17" i="1" s="1"/>
  <c r="CC9" i="1"/>
  <c r="CC17" i="1" s="1"/>
  <c r="CB9" i="1"/>
  <c r="CB17" i="1" s="1"/>
  <c r="CA9" i="1"/>
  <c r="CA17" i="1" s="1"/>
  <c r="BZ9" i="1"/>
  <c r="BZ17" i="1" s="1"/>
  <c r="BW9" i="1"/>
  <c r="BW17" i="1" s="1"/>
  <c r="BV9" i="1"/>
  <c r="BV17" i="1" s="1"/>
  <c r="BU9" i="1"/>
  <c r="BU17" i="1" s="1"/>
  <c r="BT9" i="1"/>
  <c r="BT17" i="1" s="1"/>
  <c r="BS9" i="1"/>
  <c r="BS17" i="1" s="1"/>
  <c r="BO9" i="1"/>
  <c r="BO17" i="1" s="1"/>
  <c r="BM9" i="1"/>
  <c r="BM17" i="1" s="1"/>
  <c r="BK9" i="1"/>
  <c r="BK17" i="1" s="1"/>
  <c r="BH9" i="1"/>
  <c r="BH17" i="1" s="1"/>
  <c r="BE9" i="1"/>
  <c r="BE17" i="1" s="1"/>
  <c r="BB9" i="1"/>
  <c r="BB17" i="1" s="1"/>
  <c r="AY9" i="1"/>
  <c r="AY17" i="1" s="1"/>
  <c r="AS9" i="1"/>
  <c r="AS17" i="1" s="1"/>
  <c r="AR9" i="1"/>
  <c r="AR17" i="1" s="1"/>
  <c r="AQ9" i="1"/>
  <c r="AQ17" i="1" s="1"/>
  <c r="AP9" i="1"/>
  <c r="AP17" i="1" s="1"/>
  <c r="AN9" i="1"/>
  <c r="AN17" i="1" s="1"/>
  <c r="AJ9" i="1"/>
  <c r="AJ17" i="1" s="1"/>
  <c r="AI9" i="1"/>
  <c r="AI17" i="1" s="1"/>
  <c r="AG9" i="1"/>
  <c r="AG17" i="1" s="1"/>
  <c r="AF9" i="1"/>
  <c r="AF17" i="1" s="1"/>
  <c r="AE9" i="1"/>
  <c r="AE17" i="1" s="1"/>
  <c r="AC9" i="1"/>
  <c r="AC17" i="1" s="1"/>
  <c r="AA9" i="1"/>
  <c r="AA17" i="1" s="1"/>
  <c r="Z9" i="1"/>
  <c r="Z17" i="1" s="1"/>
  <c r="Y9" i="1"/>
  <c r="Y17" i="1" s="1"/>
  <c r="X9" i="1"/>
  <c r="X17" i="1" s="1"/>
  <c r="W9" i="1"/>
  <c r="W17" i="1" s="1"/>
  <c r="U9" i="1"/>
  <c r="U17" i="1" s="1"/>
  <c r="Q9" i="1"/>
  <c r="Q17" i="1" s="1"/>
  <c r="P9" i="1"/>
  <c r="P17" i="1" s="1"/>
  <c r="L9" i="1"/>
  <c r="L17" i="1" s="1"/>
  <c r="J9" i="1"/>
  <c r="J17" i="1" s="1"/>
  <c r="I9" i="1"/>
  <c r="I17" i="1" s="1"/>
  <c r="E9" i="1"/>
  <c r="E17" i="1" s="1"/>
  <c r="C9" i="1"/>
  <c r="C17" i="1" s="1"/>
  <c r="B9" i="1"/>
  <c r="B17" i="1" s="1"/>
  <c r="A9" i="1"/>
  <c r="VH8" i="1"/>
  <c r="VH16" i="1" s="1"/>
  <c r="VG8" i="1"/>
  <c r="VG16" i="1" s="1"/>
  <c r="VF8" i="1"/>
  <c r="VF16" i="1" s="1"/>
  <c r="VE8" i="1"/>
  <c r="VE16" i="1" s="1"/>
  <c r="VD8" i="1"/>
  <c r="VD16" i="1" s="1"/>
  <c r="VC8" i="1"/>
  <c r="VC16" i="1" s="1"/>
  <c r="VB8" i="1"/>
  <c r="VB16" i="1" s="1"/>
  <c r="VA8" i="1"/>
  <c r="VA16" i="1" s="1"/>
  <c r="UI8" i="1"/>
  <c r="UI16" i="1" s="1"/>
  <c r="UH8" i="1"/>
  <c r="UH16" i="1" s="1"/>
  <c r="UG8" i="1"/>
  <c r="UG16" i="1" s="1"/>
  <c r="UF8" i="1"/>
  <c r="UF16" i="1" s="1"/>
  <c r="TX8" i="1"/>
  <c r="TX16" i="1" s="1"/>
  <c r="TW8" i="1"/>
  <c r="TW16" i="1" s="1"/>
  <c r="TV8" i="1"/>
  <c r="TV16" i="1" s="1"/>
  <c r="TU8" i="1"/>
  <c r="TU16" i="1" s="1"/>
  <c r="TT8" i="1"/>
  <c r="TT16" i="1" s="1"/>
  <c r="TS8" i="1"/>
  <c r="TS16" i="1" s="1"/>
  <c r="TR8" i="1"/>
  <c r="TR16" i="1" s="1"/>
  <c r="TQ8" i="1"/>
  <c r="TQ16" i="1" s="1"/>
  <c r="TP8" i="1"/>
  <c r="TP16" i="1" s="1"/>
  <c r="TE8" i="1"/>
  <c r="TE16" i="1" s="1"/>
  <c r="TD8" i="1"/>
  <c r="TD16" i="1" s="1"/>
  <c r="TC8" i="1"/>
  <c r="TC16" i="1" s="1"/>
  <c r="TB8" i="1"/>
  <c r="TB16" i="1" s="1"/>
  <c r="TA8" i="1"/>
  <c r="TA16" i="1" s="1"/>
  <c r="SZ8" i="1"/>
  <c r="SZ16" i="1" s="1"/>
  <c r="SY8" i="1"/>
  <c r="SY16" i="1" s="1"/>
  <c r="SX8" i="1"/>
  <c r="SX16" i="1" s="1"/>
  <c r="SW8" i="1"/>
  <c r="SW16" i="1" s="1"/>
  <c r="SR8" i="1"/>
  <c r="SR16" i="1" s="1"/>
  <c r="SQ8" i="1"/>
  <c r="SQ16" i="1" s="1"/>
  <c r="SP8" i="1"/>
  <c r="SP16" i="1" s="1"/>
  <c r="SO8" i="1"/>
  <c r="SO16" i="1" s="1"/>
  <c r="SN8" i="1"/>
  <c r="SN16" i="1" s="1"/>
  <c r="SM8" i="1"/>
  <c r="SM16" i="1" s="1"/>
  <c r="SL8" i="1"/>
  <c r="SL16" i="1" s="1"/>
  <c r="SK8" i="1"/>
  <c r="SK16" i="1" s="1"/>
  <c r="SJ8" i="1"/>
  <c r="SJ16" i="1" s="1"/>
  <c r="RZ8" i="1"/>
  <c r="RZ16" i="1" s="1"/>
  <c r="RY8" i="1"/>
  <c r="RY16" i="1" s="1"/>
  <c r="RX8" i="1"/>
  <c r="RX16" i="1" s="1"/>
  <c r="RW8" i="1"/>
  <c r="RW16" i="1" s="1"/>
  <c r="RV8" i="1"/>
  <c r="RV16" i="1" s="1"/>
  <c r="RU8" i="1"/>
  <c r="RU16" i="1" s="1"/>
  <c r="RT8" i="1"/>
  <c r="RT16" i="1" s="1"/>
  <c r="RS8" i="1"/>
  <c r="RS16" i="1" s="1"/>
  <c r="RR8" i="1"/>
  <c r="RR16" i="1" s="1"/>
  <c r="RQ8" i="1"/>
  <c r="RQ16" i="1" s="1"/>
  <c r="RP8" i="1"/>
  <c r="RP16" i="1" s="1"/>
  <c r="RO8" i="1"/>
  <c r="RO16" i="1" s="1"/>
  <c r="RN8" i="1"/>
  <c r="RN16" i="1" s="1"/>
  <c r="RM8" i="1"/>
  <c r="RM16" i="1" s="1"/>
  <c r="RL8" i="1"/>
  <c r="RL16" i="1" s="1"/>
  <c r="RK8" i="1"/>
  <c r="RK16" i="1" s="1"/>
  <c r="RJ8" i="1"/>
  <c r="RJ16" i="1" s="1"/>
  <c r="RC8" i="1"/>
  <c r="RC16" i="1" s="1"/>
  <c r="RB8" i="1"/>
  <c r="RB16" i="1" s="1"/>
  <c r="RA8" i="1"/>
  <c r="RA16" i="1" s="1"/>
  <c r="QZ8" i="1"/>
  <c r="QZ16" i="1" s="1"/>
  <c r="QY8" i="1"/>
  <c r="QY16" i="1" s="1"/>
  <c r="QX8" i="1"/>
  <c r="QX16" i="1" s="1"/>
  <c r="QW8" i="1"/>
  <c r="QW16" i="1" s="1"/>
  <c r="QV8" i="1"/>
  <c r="QV16" i="1" s="1"/>
  <c r="QU8" i="1"/>
  <c r="QU16" i="1" s="1"/>
  <c r="QT8" i="1"/>
  <c r="QT16" i="1" s="1"/>
  <c r="QP8" i="1"/>
  <c r="QP16" i="1" s="1"/>
  <c r="QO8" i="1"/>
  <c r="QO16" i="1" s="1"/>
  <c r="QN8" i="1"/>
  <c r="QN16" i="1" s="1"/>
  <c r="QM8" i="1"/>
  <c r="QM16" i="1" s="1"/>
  <c r="QL8" i="1"/>
  <c r="QL16" i="1" s="1"/>
  <c r="QK8" i="1"/>
  <c r="QK16" i="1" s="1"/>
  <c r="QD8" i="1"/>
  <c r="QD16" i="1" s="1"/>
  <c r="QC8" i="1"/>
  <c r="QC16" i="1" s="1"/>
  <c r="PF8" i="1"/>
  <c r="PF16" i="1" s="1"/>
  <c r="PE8" i="1"/>
  <c r="PE16" i="1" s="1"/>
  <c r="PD8" i="1"/>
  <c r="PD16" i="1" s="1"/>
  <c r="PC8" i="1"/>
  <c r="PC16" i="1" s="1"/>
  <c r="PB8" i="1"/>
  <c r="PB16" i="1" s="1"/>
  <c r="PA8" i="1"/>
  <c r="PA16" i="1" s="1"/>
  <c r="OZ8" i="1"/>
  <c r="OZ16" i="1" s="1"/>
  <c r="OY8" i="1"/>
  <c r="OY16" i="1" s="1"/>
  <c r="OU8" i="1"/>
  <c r="OU16" i="1" s="1"/>
  <c r="ON8" i="1"/>
  <c r="ON16" i="1" s="1"/>
  <c r="NU8" i="1"/>
  <c r="NU16" i="1" s="1"/>
  <c r="JI8" i="1"/>
  <c r="JI16" i="1" s="1"/>
  <c r="IX8" i="1"/>
  <c r="IX16" i="1" s="1"/>
  <c r="IW8" i="1"/>
  <c r="IW16" i="1" s="1"/>
  <c r="IV8" i="1"/>
  <c r="IV16" i="1" s="1"/>
  <c r="IU8" i="1"/>
  <c r="IU16" i="1" s="1"/>
  <c r="IT8" i="1"/>
  <c r="IT16" i="1" s="1"/>
  <c r="IS8" i="1"/>
  <c r="IS16" i="1" s="1"/>
  <c r="IR8" i="1"/>
  <c r="IR16" i="1" s="1"/>
  <c r="IQ8" i="1"/>
  <c r="IQ16" i="1" s="1"/>
  <c r="IP8" i="1"/>
  <c r="IP16" i="1" s="1"/>
  <c r="IO8" i="1"/>
  <c r="IO16" i="1" s="1"/>
  <c r="IN8" i="1"/>
  <c r="IN16" i="1" s="1"/>
  <c r="IM8" i="1"/>
  <c r="IM16" i="1" s="1"/>
  <c r="IL8" i="1"/>
  <c r="IL16" i="1" s="1"/>
  <c r="II8" i="1"/>
  <c r="II16" i="1" s="1"/>
  <c r="IH8" i="1"/>
  <c r="IH16" i="1" s="1"/>
  <c r="IG8" i="1"/>
  <c r="IG16" i="1" s="1"/>
  <c r="IF8" i="1"/>
  <c r="IF16" i="1" s="1"/>
  <c r="IE8" i="1"/>
  <c r="IE16" i="1" s="1"/>
  <c r="IC8" i="1"/>
  <c r="IC16" i="1" s="1"/>
  <c r="IB8" i="1"/>
  <c r="IB16" i="1" s="1"/>
  <c r="HR8" i="1"/>
  <c r="HR16" i="1" s="1"/>
  <c r="HQ8" i="1"/>
  <c r="HQ16" i="1" s="1"/>
  <c r="HN8" i="1"/>
  <c r="HN16" i="1" s="1"/>
  <c r="HK8" i="1"/>
  <c r="HK16" i="1" s="1"/>
  <c r="HJ8" i="1"/>
  <c r="HJ16" i="1" s="1"/>
  <c r="HF8" i="1"/>
  <c r="HF16" i="1" s="1"/>
  <c r="GQ8" i="1"/>
  <c r="GQ16" i="1" s="1"/>
  <c r="GP8" i="1"/>
  <c r="GP16" i="1" s="1"/>
  <c r="FZ8" i="1"/>
  <c r="FZ16" i="1" s="1"/>
  <c r="EQ8" i="1"/>
  <c r="EQ16" i="1" s="1"/>
  <c r="EP8" i="1"/>
  <c r="EP16" i="1" s="1"/>
  <c r="EO8" i="1"/>
  <c r="EO16" i="1" s="1"/>
  <c r="EN8" i="1"/>
  <c r="EN16" i="1" s="1"/>
  <c r="EJ8" i="1"/>
  <c r="EJ16" i="1" s="1"/>
  <c r="CG8" i="1"/>
  <c r="CG16" i="1" s="1"/>
  <c r="CE8" i="1"/>
  <c r="CE16" i="1" s="1"/>
  <c r="CD8" i="1"/>
  <c r="CD16" i="1" s="1"/>
  <c r="CC8" i="1"/>
  <c r="CC16" i="1" s="1"/>
  <c r="CB8" i="1"/>
  <c r="CB16" i="1" s="1"/>
  <c r="CA8" i="1"/>
  <c r="CA16" i="1" s="1"/>
  <c r="BZ8" i="1"/>
  <c r="BZ16" i="1" s="1"/>
  <c r="BW8" i="1"/>
  <c r="BW16" i="1" s="1"/>
  <c r="BV8" i="1"/>
  <c r="BV16" i="1" s="1"/>
  <c r="BU8" i="1"/>
  <c r="BU16" i="1" s="1"/>
  <c r="BT8" i="1"/>
  <c r="BT16" i="1" s="1"/>
  <c r="BS8" i="1"/>
  <c r="BS16" i="1" s="1"/>
  <c r="BO8" i="1"/>
  <c r="BO16" i="1" s="1"/>
  <c r="BM8" i="1"/>
  <c r="BM16" i="1" s="1"/>
  <c r="BK8" i="1"/>
  <c r="BK16" i="1" s="1"/>
  <c r="BH8" i="1"/>
  <c r="BH16" i="1" s="1"/>
  <c r="BE8" i="1"/>
  <c r="BE16" i="1" s="1"/>
  <c r="BB8" i="1"/>
  <c r="BB16" i="1" s="1"/>
  <c r="AY8" i="1"/>
  <c r="AY16" i="1" s="1"/>
  <c r="AS8" i="1"/>
  <c r="AS16" i="1" s="1"/>
  <c r="AR8" i="1"/>
  <c r="AR16" i="1" s="1"/>
  <c r="AQ8" i="1"/>
  <c r="AQ16" i="1" s="1"/>
  <c r="AP8" i="1"/>
  <c r="AP16" i="1" s="1"/>
  <c r="AN8" i="1"/>
  <c r="AN16" i="1" s="1"/>
  <c r="AJ8" i="1"/>
  <c r="AJ16" i="1" s="1"/>
  <c r="AI8" i="1"/>
  <c r="AI16" i="1" s="1"/>
  <c r="AG8" i="1"/>
  <c r="AG16" i="1" s="1"/>
  <c r="AF8" i="1"/>
  <c r="AF16" i="1" s="1"/>
  <c r="AE8" i="1"/>
  <c r="AE16" i="1" s="1"/>
  <c r="AC8" i="1"/>
  <c r="AC16" i="1" s="1"/>
  <c r="AA8" i="1"/>
  <c r="AA16" i="1" s="1"/>
  <c r="Z8" i="1"/>
  <c r="Z16" i="1" s="1"/>
  <c r="Y8" i="1"/>
  <c r="Y16" i="1" s="1"/>
  <c r="X8" i="1"/>
  <c r="X16" i="1" s="1"/>
  <c r="W8" i="1"/>
  <c r="W16" i="1" s="1"/>
  <c r="U8" i="1"/>
  <c r="U16" i="1" s="1"/>
  <c r="Q8" i="1"/>
  <c r="Q16" i="1" s="1"/>
  <c r="P8" i="1"/>
  <c r="P16" i="1" s="1"/>
  <c r="L8" i="1"/>
  <c r="L16" i="1" s="1"/>
  <c r="J8" i="1"/>
  <c r="J16" i="1" s="1"/>
  <c r="I8" i="1"/>
  <c r="I16" i="1" s="1"/>
  <c r="E8" i="1"/>
  <c r="E16" i="1" s="1"/>
  <c r="C8" i="1"/>
  <c r="C16" i="1" s="1"/>
  <c r="B8" i="1"/>
  <c r="B16" i="1" s="1"/>
  <c r="A8" i="1"/>
  <c r="A16" i="1" s="1"/>
  <c r="VH7" i="1"/>
  <c r="VH15" i="1" s="1"/>
  <c r="VG7" i="1"/>
  <c r="VG15" i="1" s="1"/>
  <c r="VF7" i="1"/>
  <c r="VF15" i="1" s="1"/>
  <c r="VE7" i="1"/>
  <c r="VE15" i="1" s="1"/>
  <c r="VD7" i="1"/>
  <c r="VD15" i="1" s="1"/>
  <c r="VC7" i="1"/>
  <c r="VC15" i="1" s="1"/>
  <c r="VB7" i="1"/>
  <c r="VB15" i="1" s="1"/>
  <c r="VA7" i="1"/>
  <c r="VA15" i="1" s="1"/>
  <c r="UI7" i="1"/>
  <c r="UI15" i="1" s="1"/>
  <c r="UH7" i="1"/>
  <c r="UH15" i="1" s="1"/>
  <c r="UG7" i="1"/>
  <c r="UG15" i="1" s="1"/>
  <c r="UF7" i="1"/>
  <c r="UF15" i="1" s="1"/>
  <c r="TX7" i="1"/>
  <c r="TX15" i="1" s="1"/>
  <c r="TW7" i="1"/>
  <c r="TW15" i="1" s="1"/>
  <c r="TV7" i="1"/>
  <c r="TV15" i="1" s="1"/>
  <c r="TU7" i="1"/>
  <c r="TU15" i="1" s="1"/>
  <c r="TT7" i="1"/>
  <c r="TT15" i="1" s="1"/>
  <c r="TS7" i="1"/>
  <c r="TS15" i="1" s="1"/>
  <c r="TR7" i="1"/>
  <c r="TR15" i="1" s="1"/>
  <c r="TQ7" i="1"/>
  <c r="TQ15" i="1" s="1"/>
  <c r="TP7" i="1"/>
  <c r="TP15" i="1" s="1"/>
  <c r="TE7" i="1"/>
  <c r="TE15" i="1" s="1"/>
  <c r="TD7" i="1"/>
  <c r="TD15" i="1" s="1"/>
  <c r="TC7" i="1"/>
  <c r="TC15" i="1" s="1"/>
  <c r="TB7" i="1"/>
  <c r="TB15" i="1" s="1"/>
  <c r="TA7" i="1"/>
  <c r="TA15" i="1" s="1"/>
  <c r="SZ7" i="1"/>
  <c r="SZ15" i="1" s="1"/>
  <c r="SY7" i="1"/>
  <c r="SY15" i="1" s="1"/>
  <c r="SX7" i="1"/>
  <c r="SX15" i="1" s="1"/>
  <c r="SW7" i="1"/>
  <c r="SW15" i="1" s="1"/>
  <c r="SR7" i="1"/>
  <c r="SR15" i="1" s="1"/>
  <c r="SQ7" i="1"/>
  <c r="SQ15" i="1" s="1"/>
  <c r="SP7" i="1"/>
  <c r="SP15" i="1" s="1"/>
  <c r="SO7" i="1"/>
  <c r="SO15" i="1" s="1"/>
  <c r="SN7" i="1"/>
  <c r="SN15" i="1" s="1"/>
  <c r="SM7" i="1"/>
  <c r="SM15" i="1" s="1"/>
  <c r="SL7" i="1"/>
  <c r="SL15" i="1" s="1"/>
  <c r="SK7" i="1"/>
  <c r="SK15" i="1" s="1"/>
  <c r="SJ7" i="1"/>
  <c r="SJ15" i="1" s="1"/>
  <c r="RZ7" i="1"/>
  <c r="RZ15" i="1" s="1"/>
  <c r="RY7" i="1"/>
  <c r="RY15" i="1" s="1"/>
  <c r="RX7" i="1"/>
  <c r="RX15" i="1" s="1"/>
  <c r="RW7" i="1"/>
  <c r="RW15" i="1" s="1"/>
  <c r="RV7" i="1"/>
  <c r="RV15" i="1" s="1"/>
  <c r="RU7" i="1"/>
  <c r="RU15" i="1" s="1"/>
  <c r="RT7" i="1"/>
  <c r="RT15" i="1" s="1"/>
  <c r="RS7" i="1"/>
  <c r="RS15" i="1" s="1"/>
  <c r="RR7" i="1"/>
  <c r="RR15" i="1" s="1"/>
  <c r="RQ7" i="1"/>
  <c r="RQ15" i="1" s="1"/>
  <c r="RP7" i="1"/>
  <c r="RP15" i="1" s="1"/>
  <c r="RO7" i="1"/>
  <c r="RO15" i="1" s="1"/>
  <c r="RN7" i="1"/>
  <c r="RN15" i="1" s="1"/>
  <c r="RM7" i="1"/>
  <c r="RM15" i="1" s="1"/>
  <c r="RL7" i="1"/>
  <c r="RL15" i="1" s="1"/>
  <c r="RK7" i="1"/>
  <c r="RK15" i="1" s="1"/>
  <c r="RJ7" i="1"/>
  <c r="RJ15" i="1" s="1"/>
  <c r="RC7" i="1"/>
  <c r="RC15" i="1" s="1"/>
  <c r="RB7" i="1"/>
  <c r="RB15" i="1" s="1"/>
  <c r="RA7" i="1"/>
  <c r="RA15" i="1" s="1"/>
  <c r="QZ7" i="1"/>
  <c r="QZ15" i="1" s="1"/>
  <c r="QY7" i="1"/>
  <c r="QY15" i="1" s="1"/>
  <c r="QX7" i="1"/>
  <c r="QX15" i="1" s="1"/>
  <c r="QW7" i="1"/>
  <c r="QW15" i="1" s="1"/>
  <c r="QV7" i="1"/>
  <c r="QV15" i="1" s="1"/>
  <c r="QU7" i="1"/>
  <c r="QU15" i="1" s="1"/>
  <c r="QT7" i="1"/>
  <c r="QT15" i="1" s="1"/>
  <c r="QP7" i="1"/>
  <c r="QP15" i="1" s="1"/>
  <c r="QO7" i="1"/>
  <c r="QO15" i="1" s="1"/>
  <c r="QN7" i="1"/>
  <c r="QN15" i="1" s="1"/>
  <c r="QM7" i="1"/>
  <c r="QM15" i="1" s="1"/>
  <c r="QL7" i="1"/>
  <c r="QL15" i="1" s="1"/>
  <c r="QK7" i="1"/>
  <c r="QK15" i="1" s="1"/>
  <c r="QD7" i="1"/>
  <c r="QD15" i="1" s="1"/>
  <c r="QC7" i="1"/>
  <c r="QC15" i="1" s="1"/>
  <c r="PF7" i="1"/>
  <c r="PF15" i="1" s="1"/>
  <c r="PE7" i="1"/>
  <c r="PE15" i="1" s="1"/>
  <c r="PD7" i="1"/>
  <c r="PD15" i="1" s="1"/>
  <c r="PC7" i="1"/>
  <c r="PC15" i="1" s="1"/>
  <c r="PB7" i="1"/>
  <c r="PB15" i="1" s="1"/>
  <c r="PA7" i="1"/>
  <c r="PA15" i="1" s="1"/>
  <c r="OZ7" i="1"/>
  <c r="OZ15" i="1" s="1"/>
  <c r="OY7" i="1"/>
  <c r="OY15" i="1" s="1"/>
  <c r="OU7" i="1"/>
  <c r="OU15" i="1" s="1"/>
  <c r="ON7" i="1"/>
  <c r="ON15" i="1" s="1"/>
  <c r="NU7" i="1"/>
  <c r="NU15" i="1" s="1"/>
  <c r="JI7" i="1"/>
  <c r="JI15" i="1" s="1"/>
  <c r="IX7" i="1"/>
  <c r="IX15" i="1" s="1"/>
  <c r="IW7" i="1"/>
  <c r="IW15" i="1" s="1"/>
  <c r="IV7" i="1"/>
  <c r="IV15" i="1" s="1"/>
  <c r="IU7" i="1"/>
  <c r="IU15" i="1" s="1"/>
  <c r="IT7" i="1"/>
  <c r="IT15" i="1" s="1"/>
  <c r="IS7" i="1"/>
  <c r="IS15" i="1" s="1"/>
  <c r="IR7" i="1"/>
  <c r="IR15" i="1" s="1"/>
  <c r="IQ7" i="1"/>
  <c r="IQ15" i="1" s="1"/>
  <c r="IP7" i="1"/>
  <c r="IP15" i="1" s="1"/>
  <c r="IO7" i="1"/>
  <c r="IO15" i="1" s="1"/>
  <c r="IN7" i="1"/>
  <c r="IN15" i="1" s="1"/>
  <c r="IM7" i="1"/>
  <c r="IM15" i="1" s="1"/>
  <c r="IL7" i="1"/>
  <c r="IL15" i="1" s="1"/>
  <c r="II7" i="1"/>
  <c r="II15" i="1" s="1"/>
  <c r="IH7" i="1"/>
  <c r="IH15" i="1" s="1"/>
  <c r="IG7" i="1"/>
  <c r="IG15" i="1" s="1"/>
  <c r="IF7" i="1"/>
  <c r="IF15" i="1" s="1"/>
  <c r="IE7" i="1"/>
  <c r="IE15" i="1" s="1"/>
  <c r="IC7" i="1"/>
  <c r="IC15" i="1" s="1"/>
  <c r="IB7" i="1"/>
  <c r="IB15" i="1" s="1"/>
  <c r="HR7" i="1"/>
  <c r="HR15" i="1" s="1"/>
  <c r="HQ7" i="1"/>
  <c r="HQ15" i="1" s="1"/>
  <c r="HN7" i="1"/>
  <c r="HN15" i="1" s="1"/>
  <c r="HK7" i="1"/>
  <c r="HK15" i="1" s="1"/>
  <c r="HJ7" i="1"/>
  <c r="HJ15" i="1" s="1"/>
  <c r="HF7" i="1"/>
  <c r="HF15" i="1" s="1"/>
  <c r="GQ7" i="1"/>
  <c r="GQ15" i="1" s="1"/>
  <c r="GP7" i="1"/>
  <c r="GP15" i="1" s="1"/>
  <c r="FZ7" i="1"/>
  <c r="FZ15" i="1" s="1"/>
  <c r="EQ7" i="1"/>
  <c r="EQ15" i="1" s="1"/>
  <c r="EP7" i="1"/>
  <c r="EP15" i="1" s="1"/>
  <c r="EO7" i="1"/>
  <c r="EO15" i="1" s="1"/>
  <c r="EN7" i="1"/>
  <c r="EN15" i="1" s="1"/>
  <c r="EJ7" i="1"/>
  <c r="EJ15" i="1" s="1"/>
  <c r="CG7" i="1"/>
  <c r="CG15" i="1" s="1"/>
  <c r="CE7" i="1"/>
  <c r="CE15" i="1" s="1"/>
  <c r="CD7" i="1"/>
  <c r="CD15" i="1" s="1"/>
  <c r="CC7" i="1"/>
  <c r="CC15" i="1" s="1"/>
  <c r="CB7" i="1"/>
  <c r="CB15" i="1" s="1"/>
  <c r="CA7" i="1"/>
  <c r="CA15" i="1" s="1"/>
  <c r="BZ7" i="1"/>
  <c r="BZ15" i="1" s="1"/>
  <c r="BW7" i="1"/>
  <c r="BW15" i="1" s="1"/>
  <c r="BV7" i="1"/>
  <c r="BV15" i="1" s="1"/>
  <c r="BU7" i="1"/>
  <c r="BU15" i="1" s="1"/>
  <c r="BT7" i="1"/>
  <c r="BT15" i="1" s="1"/>
  <c r="BS7" i="1"/>
  <c r="BS15" i="1" s="1"/>
  <c r="BO7" i="1"/>
  <c r="BO15" i="1" s="1"/>
  <c r="BM7" i="1"/>
  <c r="BM15" i="1" s="1"/>
  <c r="BK7" i="1"/>
  <c r="BK15" i="1" s="1"/>
  <c r="BH7" i="1"/>
  <c r="BH15" i="1" s="1"/>
  <c r="BE7" i="1"/>
  <c r="BE15" i="1" s="1"/>
  <c r="BB7" i="1"/>
  <c r="BB15" i="1" s="1"/>
  <c r="AY7" i="1"/>
  <c r="AY15" i="1" s="1"/>
  <c r="AS7" i="1"/>
  <c r="AS15" i="1" s="1"/>
  <c r="AR7" i="1"/>
  <c r="AR15" i="1" s="1"/>
  <c r="AQ7" i="1"/>
  <c r="AQ15" i="1" s="1"/>
  <c r="AP7" i="1"/>
  <c r="AP15" i="1" s="1"/>
  <c r="AN7" i="1"/>
  <c r="AN15" i="1" s="1"/>
  <c r="AJ7" i="1"/>
  <c r="AJ15" i="1" s="1"/>
  <c r="AI7" i="1"/>
  <c r="AI15" i="1" s="1"/>
  <c r="AG7" i="1"/>
  <c r="AG15" i="1" s="1"/>
  <c r="AF7" i="1"/>
  <c r="AF15" i="1" s="1"/>
  <c r="AE7" i="1"/>
  <c r="AE15" i="1" s="1"/>
  <c r="AC7" i="1"/>
  <c r="AC15" i="1" s="1"/>
  <c r="AA7" i="1"/>
  <c r="AA15" i="1" s="1"/>
  <c r="Z7" i="1"/>
  <c r="Z15" i="1" s="1"/>
  <c r="Y7" i="1"/>
  <c r="Y15" i="1" s="1"/>
  <c r="X7" i="1"/>
  <c r="X15" i="1" s="1"/>
  <c r="W7" i="1"/>
  <c r="W15" i="1" s="1"/>
  <c r="U7" i="1"/>
  <c r="U15" i="1" s="1"/>
  <c r="Q7" i="1"/>
  <c r="Q15" i="1" s="1"/>
  <c r="P7" i="1"/>
  <c r="P15" i="1" s="1"/>
  <c r="L7" i="1"/>
  <c r="L15" i="1" s="1"/>
  <c r="J7" i="1"/>
  <c r="J15" i="1" s="1"/>
  <c r="I7" i="1"/>
  <c r="I15" i="1" s="1"/>
  <c r="E7" i="1"/>
  <c r="E15" i="1" s="1"/>
  <c r="C7" i="1"/>
  <c r="C15" i="1" s="1"/>
  <c r="B7" i="1"/>
  <c r="B15" i="1" s="1"/>
  <c r="A7" i="1"/>
  <c r="A15" i="1" s="1"/>
  <c r="VH6" i="1"/>
  <c r="VG6" i="1"/>
  <c r="VF6" i="1"/>
  <c r="VE6" i="1"/>
  <c r="VD6" i="1"/>
  <c r="VC6" i="1"/>
  <c r="VB6" i="1"/>
  <c r="VA6" i="1"/>
  <c r="US6" i="1"/>
  <c r="US7" i="1" s="1"/>
  <c r="US15" i="1" s="1"/>
  <c r="QK6" i="1"/>
  <c r="QL6" i="1" s="1"/>
  <c r="QL10" i="1" s="1"/>
  <c r="QL18" i="1" s="1"/>
  <c r="PT6" i="1"/>
  <c r="PT7" i="1" s="1"/>
  <c r="PT15" i="1" s="1"/>
  <c r="PS6" i="1"/>
  <c r="PS7" i="1" s="1"/>
  <c r="PS15" i="1" s="1"/>
  <c r="PR6" i="1"/>
  <c r="PQ6" i="1"/>
  <c r="PQ9" i="1" s="1"/>
  <c r="PQ17" i="1" s="1"/>
  <c r="PM6" i="1"/>
  <c r="PM9" i="1" s="1"/>
  <c r="PM17" i="1" s="1"/>
  <c r="PK6" i="1"/>
  <c r="PK10" i="1" s="1"/>
  <c r="PK18" i="1" s="1"/>
  <c r="PG6" i="1"/>
  <c r="OV6" i="1"/>
  <c r="OV14" i="1" s="1"/>
  <c r="OV22" i="1" s="1"/>
  <c r="OM6" i="1"/>
  <c r="OM12" i="1" s="1"/>
  <c r="OM20" i="1" s="1"/>
  <c r="OJ6" i="1"/>
  <c r="OG6" i="1"/>
  <c r="NV6" i="1"/>
  <c r="MV6" i="1" s="1"/>
  <c r="NS6" i="1"/>
  <c r="NR6" i="1"/>
  <c r="NR9" i="1" s="1"/>
  <c r="NR17" i="1" s="1"/>
  <c r="NQ6" i="1"/>
  <c r="NQ9" i="1" s="1"/>
  <c r="NQ17" i="1" s="1"/>
  <c r="NO6" i="1"/>
  <c r="NO9" i="1" s="1"/>
  <c r="NO17" i="1" s="1"/>
  <c r="NG6" i="1"/>
  <c r="NL6" i="1" s="1"/>
  <c r="NF6" i="1"/>
  <c r="NC6" i="1"/>
  <c r="NC7" i="1" s="1"/>
  <c r="NC15" i="1" s="1"/>
  <c r="NB6" i="1"/>
  <c r="NB10" i="1" s="1"/>
  <c r="NB18" i="1" s="1"/>
  <c r="NA6" i="1"/>
  <c r="NA12" i="1" s="1"/>
  <c r="NA20" i="1" s="1"/>
  <c r="MZ6" i="1"/>
  <c r="MZ7" i="1" s="1"/>
  <c r="MZ15" i="1" s="1"/>
  <c r="MY6" i="1"/>
  <c r="MY7" i="1" s="1"/>
  <c r="MY15" i="1" s="1"/>
  <c r="MX6" i="1"/>
  <c r="MX8" i="1" s="1"/>
  <c r="MX16" i="1" s="1"/>
  <c r="MW6" i="1"/>
  <c r="MK6" i="1"/>
  <c r="MK7" i="1" s="1"/>
  <c r="MK15" i="1" s="1"/>
  <c r="LZ6" i="1"/>
  <c r="MJ6" i="1" s="1"/>
  <c r="KD6" i="1"/>
  <c r="KD10" i="1" s="1"/>
  <c r="KD18" i="1" s="1"/>
  <c r="JV6" i="1"/>
  <c r="JV8" i="1" s="1"/>
  <c r="JV16" i="1" s="1"/>
  <c r="JU6" i="1"/>
  <c r="JU11" i="1" s="1"/>
  <c r="JU19" i="1" s="1"/>
  <c r="JR6" i="1"/>
  <c r="JR8" i="1" s="1"/>
  <c r="JR16" i="1" s="1"/>
  <c r="JJ6" i="1"/>
  <c r="JJ8" i="1" s="1"/>
  <c r="JJ16" i="1" s="1"/>
  <c r="IW6" i="1"/>
  <c r="IW10" i="1" s="1"/>
  <c r="IW18" i="1" s="1"/>
  <c r="HM6" i="1"/>
  <c r="HM8" i="1" s="1"/>
  <c r="HM16" i="1" s="1"/>
  <c r="HI6" i="1"/>
  <c r="HI9" i="1" s="1"/>
  <c r="HI17" i="1" s="1"/>
  <c r="HH6" i="1"/>
  <c r="HH9" i="1" s="1"/>
  <c r="HH17" i="1" s="1"/>
  <c r="HG6" i="1"/>
  <c r="HG9" i="1" s="1"/>
  <c r="HG17" i="1" s="1"/>
  <c r="GS6" i="1"/>
  <c r="GS9" i="1" s="1"/>
  <c r="GS17" i="1" s="1"/>
  <c r="GR6" i="1"/>
  <c r="GR9" i="1" s="1"/>
  <c r="GR17" i="1" s="1"/>
  <c r="GB6" i="1"/>
  <c r="GC6" i="1" s="1"/>
  <c r="GC8" i="1" s="1"/>
  <c r="GC16" i="1" s="1"/>
  <c r="GA6" i="1"/>
  <c r="GA7" i="1" s="1"/>
  <c r="GA15" i="1" s="1"/>
  <c r="FX6" i="1"/>
  <c r="FH6" i="1"/>
  <c r="ER6" i="1"/>
  <c r="ER7" i="1" s="1"/>
  <c r="ER15" i="1" s="1"/>
  <c r="EE6" i="1"/>
  <c r="EE10" i="1" s="1"/>
  <c r="EE18" i="1" s="1"/>
  <c r="EC6" i="1"/>
  <c r="EC9" i="1" s="1"/>
  <c r="EC17" i="1" s="1"/>
  <c r="EB6" i="1"/>
  <c r="DZ6" i="1"/>
  <c r="DY6" i="1"/>
  <c r="DM6" i="1"/>
  <c r="DP6" i="1" s="1"/>
  <c r="DP14" i="1" s="1"/>
  <c r="DP22" i="1" s="1"/>
  <c r="DI6" i="1"/>
  <c r="DI11" i="1" s="1"/>
  <c r="DI19" i="1" s="1"/>
  <c r="CH6" i="1"/>
  <c r="CH9" i="1" s="1"/>
  <c r="CH17" i="1" s="1"/>
  <c r="CF6" i="1"/>
  <c r="CF10" i="1" s="1"/>
  <c r="CF18" i="1" s="1"/>
  <c r="BR6" i="1"/>
  <c r="BQ6" i="1"/>
  <c r="BP6" i="1"/>
  <c r="FQ6" i="1" s="1"/>
  <c r="FR6" i="1" s="1"/>
  <c r="BN6" i="1"/>
  <c r="BL6" i="1"/>
  <c r="BL7" i="1" s="1"/>
  <c r="BL15" i="1" s="1"/>
  <c r="BI6" i="1"/>
  <c r="BI10" i="1" s="1"/>
  <c r="BI18" i="1" s="1"/>
  <c r="BF6" i="1"/>
  <c r="BF11" i="1" s="1"/>
  <c r="BF19" i="1" s="1"/>
  <c r="BC6" i="1"/>
  <c r="AZ6" i="1"/>
  <c r="AW6" i="1"/>
  <c r="AO6" i="1"/>
  <c r="PI6" i="1" s="1"/>
  <c r="PJ6" i="1" s="1"/>
  <c r="AL6" i="1"/>
  <c r="AK6" i="1"/>
  <c r="AD6" i="1"/>
  <c r="T6" i="1"/>
  <c r="AV6" i="1" s="1"/>
  <c r="R6" i="1"/>
  <c r="R8" i="1" s="1"/>
  <c r="R16" i="1" s="1"/>
  <c r="K6" i="1"/>
  <c r="K9" i="1" s="1"/>
  <c r="K17" i="1" s="1"/>
  <c r="F6" i="1"/>
  <c r="F8" i="1" s="1"/>
  <c r="F16" i="1" s="1"/>
  <c r="D6" i="1"/>
  <c r="D7" i="1" s="1"/>
  <c r="D15" i="1" s="1"/>
  <c r="BL2" i="1"/>
  <c r="A2" i="1"/>
  <c r="VO6" i="1" s="1"/>
  <c r="NX6" i="1" l="1"/>
  <c r="NX7" i="1" s="1"/>
  <c r="NX15" i="1" s="1"/>
  <c r="OA6" i="1"/>
  <c r="OA8" i="1" s="1"/>
  <c r="OA16" i="1" s="1"/>
  <c r="OC6" i="1"/>
  <c r="OD6" i="1" s="1"/>
  <c r="OD11" i="1" s="1"/>
  <c r="OD19" i="1" s="1"/>
  <c r="DN6" i="1"/>
  <c r="JW6" i="1"/>
  <c r="JW7" i="1" s="1"/>
  <c r="JW15" i="1" s="1"/>
  <c r="DO6" i="1"/>
  <c r="JZ6" i="1"/>
  <c r="JZ8" i="1" s="1"/>
  <c r="JZ16" i="1" s="1"/>
  <c r="KA6" i="1"/>
  <c r="KA8" i="1" s="1"/>
  <c r="KA16" i="1" s="1"/>
  <c r="CI6" i="1"/>
  <c r="CI7" i="1" s="1"/>
  <c r="CI15" i="1" s="1"/>
  <c r="IX6" i="1"/>
  <c r="IX10" i="1" s="1"/>
  <c r="IX18" i="1" s="1"/>
  <c r="KB6" i="1"/>
  <c r="KB10" i="1" s="1"/>
  <c r="KB18" i="1" s="1"/>
  <c r="DD6" i="1"/>
  <c r="DD10" i="1" s="1"/>
  <c r="DD18" i="1" s="1"/>
  <c r="JL6" i="1"/>
  <c r="JM6" i="1"/>
  <c r="JM9" i="1" s="1"/>
  <c r="JM17" i="1" s="1"/>
  <c r="GS10" i="1"/>
  <c r="GS18" i="1" s="1"/>
  <c r="JK6" i="1"/>
  <c r="KC6" i="1"/>
  <c r="PK7" i="1"/>
  <c r="PK15" i="1" s="1"/>
  <c r="PT11" i="1"/>
  <c r="PT19" i="1" s="1"/>
  <c r="OA7" i="1"/>
  <c r="OA15" i="1" s="1"/>
  <c r="JO6" i="1"/>
  <c r="JO11" i="1" s="1"/>
  <c r="JO19" i="1" s="1"/>
  <c r="CM6" i="1"/>
  <c r="CM9" i="1" s="1"/>
  <c r="CM17" i="1" s="1"/>
  <c r="H6" i="1"/>
  <c r="H9" i="1" s="1"/>
  <c r="H17" i="1" s="1"/>
  <c r="CX6" i="1"/>
  <c r="CX10" i="1" s="1"/>
  <c r="CX18" i="1" s="1"/>
  <c r="CL6" i="1"/>
  <c r="CL8" i="1" s="1"/>
  <c r="CL16" i="1" s="1"/>
  <c r="CY6" i="1"/>
  <c r="CY7" i="1" s="1"/>
  <c r="CY15" i="1" s="1"/>
  <c r="DA6" i="1"/>
  <c r="DA8" i="1" s="1"/>
  <c r="DA16" i="1" s="1"/>
  <c r="S6" i="1"/>
  <c r="DB6" i="1"/>
  <c r="JX6" i="1"/>
  <c r="JX8" i="1" s="1"/>
  <c r="JX16" i="1" s="1"/>
  <c r="DC6" i="1"/>
  <c r="DC9" i="1" s="1"/>
  <c r="DC17" i="1" s="1"/>
  <c r="GD6" i="1"/>
  <c r="GD8" i="1" s="1"/>
  <c r="GD16" i="1" s="1"/>
  <c r="OW6" i="1"/>
  <c r="OW10" i="1" s="1"/>
  <c r="OW18" i="1" s="1"/>
  <c r="QM6" i="1"/>
  <c r="QM10" i="1" s="1"/>
  <c r="QM18" i="1" s="1"/>
  <c r="PK11" i="1"/>
  <c r="PK19" i="1" s="1"/>
  <c r="CO6" i="1"/>
  <c r="CO10" i="1" s="1"/>
  <c r="CO18" i="1" s="1"/>
  <c r="DE6" i="1"/>
  <c r="DE7" i="1" s="1"/>
  <c r="DE15" i="1" s="1"/>
  <c r="MB6" i="1"/>
  <c r="MB14" i="1" s="1"/>
  <c r="MB22" i="1" s="1"/>
  <c r="PQ7" i="1"/>
  <c r="PQ15" i="1" s="1"/>
  <c r="MZ8" i="1"/>
  <c r="MZ16" i="1" s="1"/>
  <c r="CP6" i="1"/>
  <c r="CP12" i="1" s="1"/>
  <c r="CP20" i="1" s="1"/>
  <c r="MC6" i="1"/>
  <c r="NV8" i="1"/>
  <c r="NV16" i="1" s="1"/>
  <c r="PK8" i="1"/>
  <c r="PK16" i="1" s="1"/>
  <c r="BI9" i="1"/>
  <c r="BI17" i="1" s="1"/>
  <c r="HI10" i="1"/>
  <c r="HI18" i="1" s="1"/>
  <c r="CQ6" i="1"/>
  <c r="CQ7" i="1" s="1"/>
  <c r="CQ15" i="1" s="1"/>
  <c r="DJ6" i="1"/>
  <c r="DJ14" i="1" s="1"/>
  <c r="DJ22" i="1" s="1"/>
  <c r="EM6" i="1"/>
  <c r="EM12" i="1" s="1"/>
  <c r="EM20" i="1" s="1"/>
  <c r="ME6" i="1"/>
  <c r="NY6" i="1"/>
  <c r="NY13" i="1" s="1"/>
  <c r="NY21" i="1" s="1"/>
  <c r="PL6" i="1"/>
  <c r="BI7" i="1"/>
  <c r="BI15" i="1" s="1"/>
  <c r="OV7" i="1"/>
  <c r="OV15" i="1" s="1"/>
  <c r="V6" i="1"/>
  <c r="V12" i="1" s="1"/>
  <c r="V20" i="1" s="1"/>
  <c r="CR6" i="1"/>
  <c r="CR11" i="1" s="1"/>
  <c r="CR19" i="1" s="1"/>
  <c r="DK6" i="1"/>
  <c r="DK14" i="1" s="1"/>
  <c r="DK22" i="1" s="1"/>
  <c r="ND6" i="1"/>
  <c r="NE6" i="1" s="1"/>
  <c r="NE9" i="1" s="1"/>
  <c r="NE17" i="1" s="1"/>
  <c r="PK9" i="1"/>
  <c r="PK17" i="1" s="1"/>
  <c r="JJ10" i="1"/>
  <c r="JJ18" i="1" s="1"/>
  <c r="PM10" i="1"/>
  <c r="PM18" i="1" s="1"/>
  <c r="CS6" i="1"/>
  <c r="CS11" i="1" s="1"/>
  <c r="CS19" i="1" s="1"/>
  <c r="DL6" i="1"/>
  <c r="DL13" i="1" s="1"/>
  <c r="DL21" i="1" s="1"/>
  <c r="MG6" i="1"/>
  <c r="PP6" i="1"/>
  <c r="PP8" i="1" s="1"/>
  <c r="PP16" i="1" s="1"/>
  <c r="HI7" i="1"/>
  <c r="HI15" i="1" s="1"/>
  <c r="AO8" i="1"/>
  <c r="AO16" i="1" s="1"/>
  <c r="OV8" i="1"/>
  <c r="OV16" i="1" s="1"/>
  <c r="JU10" i="1"/>
  <c r="JU18" i="1" s="1"/>
  <c r="MF6" i="1"/>
  <c r="MF7" i="1" s="1"/>
  <c r="MF15" i="1" s="1"/>
  <c r="R1" i="1"/>
  <c r="CU6" i="1"/>
  <c r="CU8" i="1" s="1"/>
  <c r="CU16" i="1" s="1"/>
  <c r="JY6" i="1"/>
  <c r="MH6" i="1"/>
  <c r="MH11" i="1" s="1"/>
  <c r="MH19" i="1" s="1"/>
  <c r="LZ10" i="1"/>
  <c r="LZ18" i="1" s="1"/>
  <c r="BY6" i="1"/>
  <c r="BY8" i="1" s="1"/>
  <c r="BY16" i="1" s="1"/>
  <c r="MI6" i="1"/>
  <c r="MI8" i="1" s="1"/>
  <c r="MI16" i="1" s="1"/>
  <c r="DI8" i="1"/>
  <c r="DI16" i="1" s="1"/>
  <c r="EE8" i="1"/>
  <c r="EE16" i="1" s="1"/>
  <c r="QK9" i="1"/>
  <c r="QK17" i="1" s="1"/>
  <c r="NV10" i="1"/>
  <c r="NV18" i="1" s="1"/>
  <c r="BI11" i="1"/>
  <c r="BI19" i="1" s="1"/>
  <c r="US8" i="1"/>
  <c r="US16" i="1" s="1"/>
  <c r="FR10" i="1"/>
  <c r="FR18" i="1" s="1"/>
  <c r="FR7" i="1"/>
  <c r="FR15" i="1" s="1"/>
  <c r="FR8" i="1"/>
  <c r="FR16" i="1" s="1"/>
  <c r="AV11" i="1"/>
  <c r="AV19" i="1" s="1"/>
  <c r="AV14" i="1"/>
  <c r="AV22" i="1" s="1"/>
  <c r="AV12" i="1"/>
  <c r="AV20" i="1" s="1"/>
  <c r="AV8" i="1"/>
  <c r="AV16" i="1" s="1"/>
  <c r="AV13" i="1"/>
  <c r="AV21" i="1" s="1"/>
  <c r="AV10" i="1"/>
  <c r="AV18" i="1" s="1"/>
  <c r="AV7" i="1"/>
  <c r="AV15" i="1" s="1"/>
  <c r="AV9" i="1"/>
  <c r="AV17" i="1" s="1"/>
  <c r="EB14" i="1"/>
  <c r="EB22" i="1" s="1"/>
  <c r="EB11" i="1"/>
  <c r="EB19" i="1" s="1"/>
  <c r="EB13" i="1"/>
  <c r="EB21" i="1" s="1"/>
  <c r="EB12" i="1"/>
  <c r="EB20" i="1" s="1"/>
  <c r="EB8" i="1"/>
  <c r="EB16" i="1" s="1"/>
  <c r="EB9" i="1"/>
  <c r="EB17" i="1" s="1"/>
  <c r="EB7" i="1"/>
  <c r="EB15" i="1" s="1"/>
  <c r="MW14" i="1"/>
  <c r="MW22" i="1" s="1"/>
  <c r="MW12" i="1"/>
  <c r="MW20" i="1" s="1"/>
  <c r="MW8" i="1"/>
  <c r="MW16" i="1" s="1"/>
  <c r="MW10" i="1"/>
  <c r="MW18" i="1" s="1"/>
  <c r="MW13" i="1"/>
  <c r="MW21" i="1" s="1"/>
  <c r="MW11" i="1"/>
  <c r="MW19" i="1" s="1"/>
  <c r="AD14" i="1"/>
  <c r="AD22" i="1" s="1"/>
  <c r="AD10" i="1"/>
  <c r="AD18" i="1" s="1"/>
  <c r="AD12" i="1"/>
  <c r="AD20" i="1" s="1"/>
  <c r="AD13" i="1"/>
  <c r="AD21" i="1" s="1"/>
  <c r="AD11" i="1"/>
  <c r="AD19" i="1" s="1"/>
  <c r="UO6" i="1"/>
  <c r="UM6" i="1"/>
  <c r="AD7" i="1"/>
  <c r="AD15" i="1" s="1"/>
  <c r="UK6" i="1"/>
  <c r="AD9" i="1"/>
  <c r="AD17" i="1" s="1"/>
  <c r="DO14" i="1"/>
  <c r="DO22" i="1" s="1"/>
  <c r="DO13" i="1"/>
  <c r="DO21" i="1" s="1"/>
  <c r="DO12" i="1"/>
  <c r="DO20" i="1" s="1"/>
  <c r="DO7" i="1"/>
  <c r="DO15" i="1" s="1"/>
  <c r="DO11" i="1"/>
  <c r="DO19" i="1" s="1"/>
  <c r="DO8" i="1"/>
  <c r="DO16" i="1" s="1"/>
  <c r="DO10" i="1"/>
  <c r="DO18" i="1" s="1"/>
  <c r="AK12" i="1"/>
  <c r="AK20" i="1" s="1"/>
  <c r="AK14" i="1"/>
  <c r="AK22" i="1" s="1"/>
  <c r="AK13" i="1"/>
  <c r="AK21" i="1" s="1"/>
  <c r="AK8" i="1"/>
  <c r="AK16" i="1" s="1"/>
  <c r="AK11" i="1"/>
  <c r="AK19" i="1" s="1"/>
  <c r="BG6" i="1"/>
  <c r="R2" i="1"/>
  <c r="PI10" i="1"/>
  <c r="PI18" i="1" s="1"/>
  <c r="PI7" i="1"/>
  <c r="PI15" i="1" s="1"/>
  <c r="BN14" i="1"/>
  <c r="BN22" i="1" s="1"/>
  <c r="BN10" i="1"/>
  <c r="BN18" i="1" s="1"/>
  <c r="BN11" i="1"/>
  <c r="BN19" i="1" s="1"/>
  <c r="BN12" i="1"/>
  <c r="BN20" i="1" s="1"/>
  <c r="BN7" i="1"/>
  <c r="BN15" i="1" s="1"/>
  <c r="BN13" i="1"/>
  <c r="BN21" i="1" s="1"/>
  <c r="S25" i="1"/>
  <c r="R10" i="1"/>
  <c r="R18" i="1" s="1"/>
  <c r="R14" i="1"/>
  <c r="R22" i="1" s="1"/>
  <c r="R12" i="1"/>
  <c r="R20" i="1" s="1"/>
  <c r="R13" i="1"/>
  <c r="R21" i="1" s="1"/>
  <c r="R11" i="1"/>
  <c r="R19" i="1" s="1"/>
  <c r="RJ6" i="1"/>
  <c r="SS6" i="1"/>
  <c r="R7" i="1"/>
  <c r="R15" i="1" s="1"/>
  <c r="SU6" i="1"/>
  <c r="DY14" i="1"/>
  <c r="DY22" i="1" s="1"/>
  <c r="DY13" i="1"/>
  <c r="DY21" i="1" s="1"/>
  <c r="DY12" i="1"/>
  <c r="DY20" i="1" s="1"/>
  <c r="DY9" i="1"/>
  <c r="DY17" i="1" s="1"/>
  <c r="DY10" i="1"/>
  <c r="DY18" i="1" s="1"/>
  <c r="DY7" i="1"/>
  <c r="DY15" i="1" s="1"/>
  <c r="DY11" i="1"/>
  <c r="DY19" i="1" s="1"/>
  <c r="GE6" i="1"/>
  <c r="NF14" i="1"/>
  <c r="NF22" i="1" s="1"/>
  <c r="NF10" i="1"/>
  <c r="NF18" i="1" s="1"/>
  <c r="NF13" i="1"/>
  <c r="NF21" i="1" s="1"/>
  <c r="NF12" i="1"/>
  <c r="NF20" i="1" s="1"/>
  <c r="NF11" i="1"/>
  <c r="NF19" i="1" s="1"/>
  <c r="NF7" i="1"/>
  <c r="NF15" i="1" s="1"/>
  <c r="AK7" i="1"/>
  <c r="AK15" i="1" s="1"/>
  <c r="EE7" i="1"/>
  <c r="EE15" i="1" s="1"/>
  <c r="GA8" i="1"/>
  <c r="GA16" i="1" s="1"/>
  <c r="NC10" i="1"/>
  <c r="NC18" i="1" s="1"/>
  <c r="S14" i="1"/>
  <c r="S22" i="1" s="1"/>
  <c r="S10" i="1"/>
  <c r="S18" i="1" s="1"/>
  <c r="S12" i="1"/>
  <c r="S20" i="1" s="1"/>
  <c r="UD6" i="1"/>
  <c r="TF6" i="1"/>
  <c r="SH6" i="1"/>
  <c r="UC6" i="1"/>
  <c r="SG6" i="1"/>
  <c r="RI6" i="1"/>
  <c r="S11" i="1"/>
  <c r="S19" i="1" s="1"/>
  <c r="UB6" i="1"/>
  <c r="SF6" i="1"/>
  <c r="RH6" i="1"/>
  <c r="UA6" i="1"/>
  <c r="TO6" i="1"/>
  <c r="SE6" i="1"/>
  <c r="RG6" i="1"/>
  <c r="TY6" i="1"/>
  <c r="TM6" i="1"/>
  <c r="SC6" i="1"/>
  <c r="RE6" i="1"/>
  <c r="S8" i="1"/>
  <c r="S16" i="1" s="1"/>
  <c r="TL6" i="1"/>
  <c r="SB6" i="1"/>
  <c r="RD6" i="1"/>
  <c r="S9" i="1"/>
  <c r="S17" i="1" s="1"/>
  <c r="TI6" i="1"/>
  <c r="UE6" i="1"/>
  <c r="TG6" i="1"/>
  <c r="SI6" i="1"/>
  <c r="KC8" i="1"/>
  <c r="KC16" i="1" s="1"/>
  <c r="KC10" i="1"/>
  <c r="KC18" i="1" s="1"/>
  <c r="MC14" i="1"/>
  <c r="MC22" i="1" s="1"/>
  <c r="MC13" i="1"/>
  <c r="MC21" i="1" s="1"/>
  <c r="MC11" i="1"/>
  <c r="MC19" i="1" s="1"/>
  <c r="MC12" i="1"/>
  <c r="MC20" i="1" s="1"/>
  <c r="MC10" i="1"/>
  <c r="MC18" i="1" s="1"/>
  <c r="MC7" i="1"/>
  <c r="MC15" i="1" s="1"/>
  <c r="MC8" i="1"/>
  <c r="MC16" i="1" s="1"/>
  <c r="OA14" i="1"/>
  <c r="OA22" i="1" s="1"/>
  <c r="OA12" i="1"/>
  <c r="OA20" i="1" s="1"/>
  <c r="OA10" i="1"/>
  <c r="OA18" i="1" s="1"/>
  <c r="OA13" i="1"/>
  <c r="OA21" i="1" s="1"/>
  <c r="OA11" i="1"/>
  <c r="OA19" i="1" s="1"/>
  <c r="AK10" i="1"/>
  <c r="AK18" i="1" s="1"/>
  <c r="CY11" i="1"/>
  <c r="CY19" i="1" s="1"/>
  <c r="HH13" i="1"/>
  <c r="HH21" i="1" s="1"/>
  <c r="OK6" i="1"/>
  <c r="OI6" i="1"/>
  <c r="OH6" i="1"/>
  <c r="OF6" i="1"/>
  <c r="OE6" i="1"/>
  <c r="OL6" i="1"/>
  <c r="NT6" i="1"/>
  <c r="NP6" i="1"/>
  <c r="AW12" i="1"/>
  <c r="AW13" i="1"/>
  <c r="AW14" i="1"/>
  <c r="AW8" i="1"/>
  <c r="AW16" i="1" s="1"/>
  <c r="AW11" i="1"/>
  <c r="AW9" i="1"/>
  <c r="AW17" i="1" s="1"/>
  <c r="BQ13" i="1"/>
  <c r="BQ21" i="1" s="1"/>
  <c r="BQ11" i="1"/>
  <c r="BQ19" i="1" s="1"/>
  <c r="BQ14" i="1"/>
  <c r="BQ22" i="1" s="1"/>
  <c r="BQ12" i="1"/>
  <c r="BQ20" i="1" s="1"/>
  <c r="BQ9" i="1"/>
  <c r="BQ17" i="1" s="1"/>
  <c r="BQ7" i="1"/>
  <c r="BQ15" i="1" s="1"/>
  <c r="BQ10" i="1"/>
  <c r="BQ18" i="1" s="1"/>
  <c r="CR14" i="1"/>
  <c r="CR22" i="1" s="1"/>
  <c r="CR13" i="1"/>
  <c r="CR21" i="1" s="1"/>
  <c r="CR9" i="1"/>
  <c r="CR17" i="1" s="1"/>
  <c r="CR10" i="1"/>
  <c r="CR18" i="1" s="1"/>
  <c r="CR7" i="1"/>
  <c r="CR15" i="1" s="1"/>
  <c r="DZ14" i="1"/>
  <c r="DZ22" i="1" s="1"/>
  <c r="DZ12" i="1"/>
  <c r="DZ20" i="1" s="1"/>
  <c r="DZ10" i="1"/>
  <c r="DZ18" i="1" s="1"/>
  <c r="DZ13" i="1"/>
  <c r="DZ21" i="1" s="1"/>
  <c r="DZ7" i="1"/>
  <c r="DZ15" i="1" s="1"/>
  <c r="DZ8" i="1"/>
  <c r="DZ16" i="1" s="1"/>
  <c r="DZ11" i="1"/>
  <c r="DZ19" i="1" s="1"/>
  <c r="DZ9" i="1"/>
  <c r="DZ17" i="1" s="1"/>
  <c r="NG14" i="1"/>
  <c r="NG22" i="1" s="1"/>
  <c r="NG13" i="1"/>
  <c r="NG21" i="1" s="1"/>
  <c r="NG12" i="1"/>
  <c r="NG20" i="1" s="1"/>
  <c r="NG7" i="1"/>
  <c r="NG15" i="1" s="1"/>
  <c r="NK6" i="1"/>
  <c r="MM6" i="1"/>
  <c r="NJ6" i="1"/>
  <c r="NG11" i="1"/>
  <c r="NG19" i="1" s="1"/>
  <c r="NG10" i="1"/>
  <c r="NG18" i="1" s="1"/>
  <c r="NH6" i="1"/>
  <c r="NG8" i="1"/>
  <c r="NG16" i="1" s="1"/>
  <c r="S24" i="1"/>
  <c r="T12" i="1"/>
  <c r="T20" i="1" s="1"/>
  <c r="T14" i="1"/>
  <c r="T22" i="1" s="1"/>
  <c r="T13" i="1"/>
  <c r="T21" i="1" s="1"/>
  <c r="T11" i="1"/>
  <c r="T19" i="1" s="1"/>
  <c r="T10" i="1"/>
  <c r="T18" i="1" s="1"/>
  <c r="SR6" i="1"/>
  <c r="T7" i="1"/>
  <c r="T15" i="1" s="1"/>
  <c r="T8" i="1"/>
  <c r="T16" i="1" s="1"/>
  <c r="PU6" i="1"/>
  <c r="QO6" i="1"/>
  <c r="QO10" i="1" s="1"/>
  <c r="QO18" i="1" s="1"/>
  <c r="AX6" i="1"/>
  <c r="BR14" i="1"/>
  <c r="BR22" i="1" s="1"/>
  <c r="BR13" i="1"/>
  <c r="BR21" i="1" s="1"/>
  <c r="BR12" i="1"/>
  <c r="BR20" i="1" s="1"/>
  <c r="BR11" i="1"/>
  <c r="BR19" i="1" s="1"/>
  <c r="BR9" i="1"/>
  <c r="BR17" i="1" s="1"/>
  <c r="BR7" i="1"/>
  <c r="BR15" i="1" s="1"/>
  <c r="BR8" i="1"/>
  <c r="BR16" i="1" s="1"/>
  <c r="CS12" i="1"/>
  <c r="CS20" i="1" s="1"/>
  <c r="CS13" i="1"/>
  <c r="CS21" i="1" s="1"/>
  <c r="CS9" i="1"/>
  <c r="CS17" i="1" s="1"/>
  <c r="CS14" i="1"/>
  <c r="CS22" i="1" s="1"/>
  <c r="EA6" i="1"/>
  <c r="ME14" i="1"/>
  <c r="ME22" i="1" s="1"/>
  <c r="ME13" i="1"/>
  <c r="ME21" i="1" s="1"/>
  <c r="ME10" i="1"/>
  <c r="ME18" i="1" s="1"/>
  <c r="ME12" i="1"/>
  <c r="ME20" i="1" s="1"/>
  <c r="ME11" i="1"/>
  <c r="ME19" i="1" s="1"/>
  <c r="ME8" i="1"/>
  <c r="ME16" i="1" s="1"/>
  <c r="NI6" i="1"/>
  <c r="OC14" i="1"/>
  <c r="OC22" i="1" s="1"/>
  <c r="OC13" i="1"/>
  <c r="OC21" i="1" s="1"/>
  <c r="OC11" i="1"/>
  <c r="OC19" i="1" s="1"/>
  <c r="OC12" i="1"/>
  <c r="OC20" i="1" s="1"/>
  <c r="OC10" i="1"/>
  <c r="OC18" i="1" s="1"/>
  <c r="OC8" i="1"/>
  <c r="OC16" i="1" s="1"/>
  <c r="OC7" i="1"/>
  <c r="OC15" i="1" s="1"/>
  <c r="PG8" i="1"/>
  <c r="PG16" i="1" s="1"/>
  <c r="PG10" i="1"/>
  <c r="PG18" i="1" s="1"/>
  <c r="PH6" i="1"/>
  <c r="QD6" i="1"/>
  <c r="QD10" i="1" s="1"/>
  <c r="QD18" i="1" s="1"/>
  <c r="RF6" i="1"/>
  <c r="TZ6" i="1"/>
  <c r="DY8" i="1"/>
  <c r="DY16" i="1" s="1"/>
  <c r="DO9" i="1"/>
  <c r="DO17" i="1" s="1"/>
  <c r="DA11" i="1"/>
  <c r="DA19" i="1" s="1"/>
  <c r="MZ12" i="1"/>
  <c r="MZ20" i="1" s="1"/>
  <c r="AZ13" i="1"/>
  <c r="AZ21" i="1" s="1"/>
  <c r="AZ14" i="1"/>
  <c r="AZ22" i="1" s="1"/>
  <c r="AZ9" i="1"/>
  <c r="AZ17" i="1" s="1"/>
  <c r="AZ10" i="1"/>
  <c r="AZ18" i="1" s="1"/>
  <c r="AZ12" i="1"/>
  <c r="AZ20" i="1" s="1"/>
  <c r="AZ11" i="1"/>
  <c r="AZ19" i="1" s="1"/>
  <c r="AZ8" i="1"/>
  <c r="AZ16" i="1" s="1"/>
  <c r="H1" i="1"/>
  <c r="DZ1" i="1" s="1"/>
  <c r="BA6" i="1"/>
  <c r="BY13" i="1"/>
  <c r="BY21" i="1" s="1"/>
  <c r="BY9" i="1"/>
  <c r="BY17" i="1" s="1"/>
  <c r="BY10" i="1"/>
  <c r="BY18" i="1" s="1"/>
  <c r="BY12" i="1"/>
  <c r="BY20" i="1" s="1"/>
  <c r="BY7" i="1"/>
  <c r="BY15" i="1" s="1"/>
  <c r="BY14" i="1"/>
  <c r="BY22" i="1" s="1"/>
  <c r="BY11" i="1"/>
  <c r="BY19" i="1" s="1"/>
  <c r="DM13" i="1"/>
  <c r="DM21" i="1" s="1"/>
  <c r="DM14" i="1"/>
  <c r="DM22" i="1" s="1"/>
  <c r="DM12" i="1"/>
  <c r="DM20" i="1" s="1"/>
  <c r="DM9" i="1"/>
  <c r="DM17" i="1" s="1"/>
  <c r="DM7" i="1"/>
  <c r="DM15" i="1" s="1"/>
  <c r="DM11" i="1"/>
  <c r="DM19" i="1" s="1"/>
  <c r="EC12" i="1"/>
  <c r="EC20" i="1" s="1"/>
  <c r="EC14" i="1"/>
  <c r="EC22" i="1" s="1"/>
  <c r="EC13" i="1"/>
  <c r="EC21" i="1" s="1"/>
  <c r="EC8" i="1"/>
  <c r="EC16" i="1" s="1"/>
  <c r="EC11" i="1"/>
  <c r="EC19" i="1" s="1"/>
  <c r="ED6" i="1"/>
  <c r="EC10" i="1"/>
  <c r="EC18" i="1" s="1"/>
  <c r="MG14" i="1"/>
  <c r="MG22" i="1" s="1"/>
  <c r="MG13" i="1"/>
  <c r="MG21" i="1" s="1"/>
  <c r="MG10" i="1"/>
  <c r="MG18" i="1" s="1"/>
  <c r="MG12" i="1"/>
  <c r="MG20" i="1" s="1"/>
  <c r="MG7" i="1"/>
  <c r="MG15" i="1" s="1"/>
  <c r="MG11" i="1"/>
  <c r="MG19" i="1" s="1"/>
  <c r="NM6" i="1"/>
  <c r="OG11" i="1"/>
  <c r="OG19" i="1" s="1"/>
  <c r="OG12" i="1"/>
  <c r="OG20" i="1" s="1"/>
  <c r="OG14" i="1"/>
  <c r="OG22" i="1" s="1"/>
  <c r="OG8" i="1"/>
  <c r="OG16" i="1" s="1"/>
  <c r="OG13" i="1"/>
  <c r="OG21" i="1" s="1"/>
  <c r="OG9" i="1"/>
  <c r="OG17" i="1" s="1"/>
  <c r="KC7" i="1"/>
  <c r="KC15" i="1" s="1"/>
  <c r="MW7" i="1"/>
  <c r="MW15" i="1" s="1"/>
  <c r="OG7" i="1"/>
  <c r="OG15" i="1" s="1"/>
  <c r="NF8" i="1"/>
  <c r="NF16" i="1" s="1"/>
  <c r="BN9" i="1"/>
  <c r="BN17" i="1" s="1"/>
  <c r="BR10" i="1"/>
  <c r="BR18" i="1" s="1"/>
  <c r="OG10" i="1"/>
  <c r="OG18" i="1" s="1"/>
  <c r="V14" i="1"/>
  <c r="V22" i="1" s="1"/>
  <c r="V13" i="1"/>
  <c r="V21" i="1" s="1"/>
  <c r="V11" i="1"/>
  <c r="V19" i="1" s="1"/>
  <c r="V7" i="1"/>
  <c r="V15" i="1" s="1"/>
  <c r="NL13" i="1"/>
  <c r="NL21" i="1" s="1"/>
  <c r="NL14" i="1"/>
  <c r="NL22" i="1" s="1"/>
  <c r="NL12" i="1"/>
  <c r="NL20" i="1" s="1"/>
  <c r="NL10" i="1"/>
  <c r="NL18" i="1" s="1"/>
  <c r="NL11" i="1"/>
  <c r="NL19" i="1" s="1"/>
  <c r="NL8" i="1"/>
  <c r="NL16" i="1" s="1"/>
  <c r="BC14" i="1"/>
  <c r="BC22" i="1" s="1"/>
  <c r="BC13" i="1"/>
  <c r="BC21" i="1" s="1"/>
  <c r="BC10" i="1"/>
  <c r="BC18" i="1" s="1"/>
  <c r="BC11" i="1"/>
  <c r="BC19" i="1" s="1"/>
  <c r="BC12" i="1"/>
  <c r="BC20" i="1" s="1"/>
  <c r="BC9" i="1"/>
  <c r="BC17" i="1" s="1"/>
  <c r="BC8" i="1"/>
  <c r="BC16" i="1" s="1"/>
  <c r="CF14" i="1"/>
  <c r="CF22" i="1" s="1"/>
  <c r="CF11" i="1"/>
  <c r="CF19" i="1" s="1"/>
  <c r="CF13" i="1"/>
  <c r="CF21" i="1" s="1"/>
  <c r="CF12" i="1"/>
  <c r="CF20" i="1" s="1"/>
  <c r="CF9" i="1"/>
  <c r="CF17" i="1" s="1"/>
  <c r="CF8" i="1"/>
  <c r="CF16" i="1" s="1"/>
  <c r="CF7" i="1"/>
  <c r="CF15" i="1" s="1"/>
  <c r="CY14" i="1"/>
  <c r="CY22" i="1" s="1"/>
  <c r="CY10" i="1"/>
  <c r="CY18" i="1" s="1"/>
  <c r="CY12" i="1"/>
  <c r="CY20" i="1" s="1"/>
  <c r="CY13" i="1"/>
  <c r="CY21" i="1" s="1"/>
  <c r="CY8" i="1"/>
  <c r="CY16" i="1" s="1"/>
  <c r="CY9" i="1"/>
  <c r="CY17" i="1" s="1"/>
  <c r="DN14" i="1"/>
  <c r="DN22" i="1" s="1"/>
  <c r="DN12" i="1"/>
  <c r="DN20" i="1" s="1"/>
  <c r="DN11" i="1"/>
  <c r="DN19" i="1" s="1"/>
  <c r="DN7" i="1"/>
  <c r="DN15" i="1" s="1"/>
  <c r="DN8" i="1"/>
  <c r="DN16" i="1" s="1"/>
  <c r="DN10" i="1"/>
  <c r="DN18" i="1" s="1"/>
  <c r="DN13" i="1"/>
  <c r="DN21" i="1" s="1"/>
  <c r="DN9" i="1"/>
  <c r="DN17" i="1" s="1"/>
  <c r="EE12" i="1"/>
  <c r="EE20" i="1" s="1"/>
  <c r="EE13" i="1"/>
  <c r="EE21" i="1" s="1"/>
  <c r="EE9" i="1"/>
  <c r="EE17" i="1" s="1"/>
  <c r="EE11" i="1"/>
  <c r="EE19" i="1" s="1"/>
  <c r="EE14" i="1"/>
  <c r="EE22" i="1" s="1"/>
  <c r="JU13" i="1"/>
  <c r="JU21" i="1" s="1"/>
  <c r="JU9" i="1"/>
  <c r="JU17" i="1" s="1"/>
  <c r="JU14" i="1"/>
  <c r="JU22" i="1" s="1"/>
  <c r="JU12" i="1"/>
  <c r="JU20" i="1" s="1"/>
  <c r="JU8" i="1"/>
  <c r="JU16" i="1" s="1"/>
  <c r="JU7" i="1"/>
  <c r="JU15" i="1" s="1"/>
  <c r="MH14" i="1"/>
  <c r="MH22" i="1" s="1"/>
  <c r="MH10" i="1"/>
  <c r="MH18" i="1" s="1"/>
  <c r="MH13" i="1"/>
  <c r="MH21" i="1" s="1"/>
  <c r="MH7" i="1"/>
  <c r="MH15" i="1" s="1"/>
  <c r="MH8" i="1"/>
  <c r="MH16" i="1" s="1"/>
  <c r="MH12" i="1"/>
  <c r="MH20" i="1" s="1"/>
  <c r="NO14" i="1"/>
  <c r="NO22" i="1" s="1"/>
  <c r="NO11" i="1"/>
  <c r="NO19" i="1" s="1"/>
  <c r="NO12" i="1"/>
  <c r="NO20" i="1" s="1"/>
  <c r="NO13" i="1"/>
  <c r="NO21" i="1" s="1"/>
  <c r="NO10" i="1"/>
  <c r="NO18" i="1" s="1"/>
  <c r="NO8" i="1"/>
  <c r="NO16" i="1" s="1"/>
  <c r="OJ13" i="1"/>
  <c r="OJ21" i="1" s="1"/>
  <c r="OJ14" i="1"/>
  <c r="OJ22" i="1" s="1"/>
  <c r="OJ11" i="1"/>
  <c r="OJ19" i="1" s="1"/>
  <c r="OJ9" i="1"/>
  <c r="OJ17" i="1" s="1"/>
  <c r="OJ10" i="1"/>
  <c r="OJ18" i="1" s="1"/>
  <c r="OJ8" i="1"/>
  <c r="OJ16" i="1" s="1"/>
  <c r="OJ12" i="1"/>
  <c r="OJ20" i="1" s="1"/>
  <c r="PI8" i="1"/>
  <c r="PI16" i="1" s="1"/>
  <c r="QL9" i="1"/>
  <c r="QL17" i="1" s="1"/>
  <c r="D13" i="1"/>
  <c r="D21" i="1" s="1"/>
  <c r="D11" i="1"/>
  <c r="D19" i="1" s="1"/>
  <c r="D12" i="1"/>
  <c r="D20" i="1" s="1"/>
  <c r="D9" i="1"/>
  <c r="D17" i="1" s="1"/>
  <c r="D10" i="1"/>
  <c r="D18" i="1" s="1"/>
  <c r="D14" i="1"/>
  <c r="D22" i="1" s="1"/>
  <c r="D8" i="1"/>
  <c r="D16" i="1" s="1"/>
  <c r="BD6" i="1"/>
  <c r="NQ14" i="1"/>
  <c r="NQ22" i="1" s="1"/>
  <c r="NQ13" i="1"/>
  <c r="NQ21" i="1" s="1"/>
  <c r="NQ11" i="1"/>
  <c r="NQ19" i="1" s="1"/>
  <c r="NQ10" i="1"/>
  <c r="NQ18" i="1" s="1"/>
  <c r="NQ8" i="1"/>
  <c r="NQ16" i="1" s="1"/>
  <c r="NQ7" i="1"/>
  <c r="NQ15" i="1" s="1"/>
  <c r="NQ12" i="1"/>
  <c r="NQ20" i="1" s="1"/>
  <c r="OM14" i="1"/>
  <c r="OM22" i="1" s="1"/>
  <c r="OM13" i="1"/>
  <c r="OM21" i="1" s="1"/>
  <c r="OM10" i="1"/>
  <c r="OM18" i="1" s="1"/>
  <c r="OM9" i="1"/>
  <c r="OM17" i="1" s="1"/>
  <c r="OM8" i="1"/>
  <c r="OM16" i="1" s="1"/>
  <c r="OJ7" i="1"/>
  <c r="OJ15" i="1" s="1"/>
  <c r="NF9" i="1"/>
  <c r="NF17" i="1" s="1"/>
  <c r="PJ10" i="1"/>
  <c r="PJ18" i="1" s="1"/>
  <c r="PJ7" i="1"/>
  <c r="PJ15" i="1" s="1"/>
  <c r="PJ8" i="1"/>
  <c r="PJ16" i="1" s="1"/>
  <c r="DA13" i="1"/>
  <c r="DA21" i="1" s="1"/>
  <c r="DA12" i="1"/>
  <c r="DA20" i="1" s="1"/>
  <c r="DA10" i="1"/>
  <c r="DA18" i="1" s="1"/>
  <c r="DA7" i="1"/>
  <c r="DA15" i="1" s="1"/>
  <c r="DA14" i="1"/>
  <c r="DA22" i="1" s="1"/>
  <c r="DA9" i="1"/>
  <c r="DA17" i="1" s="1"/>
  <c r="DB14" i="1"/>
  <c r="DB22" i="1" s="1"/>
  <c r="DB13" i="1"/>
  <c r="DB21" i="1" s="1"/>
  <c r="DB11" i="1"/>
  <c r="DB19" i="1" s="1"/>
  <c r="DB10" i="1"/>
  <c r="DB18" i="1" s="1"/>
  <c r="DB7" i="1"/>
  <c r="DB15" i="1" s="1"/>
  <c r="DB8" i="1"/>
  <c r="DB16" i="1" s="1"/>
  <c r="DB12" i="1"/>
  <c r="DB20" i="1" s="1"/>
  <c r="FX11" i="1"/>
  <c r="FX19" i="1" s="1"/>
  <c r="FX14" i="1"/>
  <c r="FX22" i="1" s="1"/>
  <c r="FX13" i="1"/>
  <c r="FX21" i="1" s="1"/>
  <c r="FX8" i="1"/>
  <c r="FX16" i="1" s="1"/>
  <c r="FX12" i="1"/>
  <c r="FX20" i="1" s="1"/>
  <c r="FX9" i="1"/>
  <c r="FX17" i="1" s="1"/>
  <c r="FX7" i="1"/>
  <c r="FX15" i="1" s="1"/>
  <c r="FY6" i="1"/>
  <c r="GR14" i="1"/>
  <c r="GR22" i="1" s="1"/>
  <c r="GR13" i="1"/>
  <c r="GR21" i="1" s="1"/>
  <c r="GR12" i="1"/>
  <c r="GR20" i="1" s="1"/>
  <c r="GR10" i="1"/>
  <c r="GR18" i="1" s="1"/>
  <c r="GR7" i="1"/>
  <c r="GR15" i="1" s="1"/>
  <c r="GR11" i="1"/>
  <c r="GR19" i="1" s="1"/>
  <c r="GR8" i="1"/>
  <c r="GR16" i="1" s="1"/>
  <c r="JW10" i="1"/>
  <c r="JW18" i="1" s="1"/>
  <c r="JW8" i="1"/>
  <c r="JW16" i="1" s="1"/>
  <c r="MK12" i="1"/>
  <c r="MK20" i="1" s="1"/>
  <c r="MK10" i="1"/>
  <c r="MK18" i="1" s="1"/>
  <c r="MK8" i="1"/>
  <c r="MK16" i="1" s="1"/>
  <c r="MK11" i="1"/>
  <c r="MK19" i="1" s="1"/>
  <c r="MK13" i="1"/>
  <c r="MK21" i="1" s="1"/>
  <c r="ML6" i="1"/>
  <c r="MK14" i="1"/>
  <c r="MK22" i="1" s="1"/>
  <c r="NA14" i="1"/>
  <c r="NA22" i="1" s="1"/>
  <c r="NA13" i="1"/>
  <c r="NA21" i="1" s="1"/>
  <c r="NA10" i="1"/>
  <c r="NA18" i="1" s="1"/>
  <c r="NA8" i="1"/>
  <c r="NA16" i="1" s="1"/>
  <c r="NA11" i="1"/>
  <c r="NA19" i="1" s="1"/>
  <c r="NA7" i="1"/>
  <c r="NA15" i="1" s="1"/>
  <c r="NR14" i="1"/>
  <c r="NR22" i="1" s="1"/>
  <c r="NR10" i="1"/>
  <c r="NR18" i="1" s="1"/>
  <c r="NR13" i="1"/>
  <c r="NR21" i="1" s="1"/>
  <c r="NR11" i="1"/>
  <c r="NR19" i="1" s="1"/>
  <c r="NR8" i="1"/>
  <c r="NR16" i="1" s="1"/>
  <c r="NR7" i="1"/>
  <c r="NR15" i="1" s="1"/>
  <c r="NR12" i="1"/>
  <c r="NR20" i="1" s="1"/>
  <c r="TH6" i="1"/>
  <c r="UR6" i="1"/>
  <c r="AW7" i="1"/>
  <c r="AW15" i="1" s="1"/>
  <c r="OM7" i="1"/>
  <c r="OM15" i="1" s="1"/>
  <c r="BN8" i="1"/>
  <c r="BN16" i="1" s="1"/>
  <c r="OM11" i="1"/>
  <c r="OM19" i="1" s="1"/>
  <c r="FQ10" i="1"/>
  <c r="FQ18" i="1" s="1"/>
  <c r="FS6" i="1"/>
  <c r="FQ7" i="1"/>
  <c r="FQ15" i="1" s="1"/>
  <c r="MF11" i="1"/>
  <c r="MF19" i="1" s="1"/>
  <c r="MF10" i="1"/>
  <c r="MF18" i="1" s="1"/>
  <c r="V25" i="1"/>
  <c r="CH11" i="1"/>
  <c r="CH19" i="1" s="1"/>
  <c r="CH12" i="1"/>
  <c r="CH20" i="1" s="1"/>
  <c r="CH13" i="1"/>
  <c r="CH21" i="1" s="1"/>
  <c r="CH14" i="1"/>
  <c r="CH22" i="1" s="1"/>
  <c r="CH10" i="1"/>
  <c r="CH18" i="1" s="1"/>
  <c r="CH7" i="1"/>
  <c r="CH15" i="1" s="1"/>
  <c r="CH8" i="1"/>
  <c r="CH16" i="1" s="1"/>
  <c r="BF14" i="1"/>
  <c r="BF22" i="1" s="1"/>
  <c r="BF12" i="1"/>
  <c r="BF20" i="1" s="1"/>
  <c r="BF13" i="1"/>
  <c r="BF21" i="1" s="1"/>
  <c r="BF7" i="1"/>
  <c r="BF15" i="1" s="1"/>
  <c r="BF8" i="1"/>
  <c r="BF16" i="1" s="1"/>
  <c r="BF10" i="1"/>
  <c r="BF18" i="1" s="1"/>
  <c r="BF9" i="1"/>
  <c r="BF17" i="1" s="1"/>
  <c r="DP11" i="1"/>
  <c r="DP19" i="1" s="1"/>
  <c r="DP12" i="1"/>
  <c r="DP20" i="1" s="1"/>
  <c r="DP8" i="1"/>
  <c r="DP16" i="1" s="1"/>
  <c r="DP10" i="1"/>
  <c r="DP18" i="1" s="1"/>
  <c r="DP9" i="1"/>
  <c r="DP17" i="1" s="1"/>
  <c r="DP7" i="1"/>
  <c r="DP15" i="1" s="1"/>
  <c r="AL24" i="1"/>
  <c r="AL11" i="1"/>
  <c r="AL19" i="1" s="1"/>
  <c r="AL12" i="1"/>
  <c r="AL20" i="1" s="1"/>
  <c r="AL13" i="1"/>
  <c r="AL21" i="1" s="1"/>
  <c r="AL14" i="1"/>
  <c r="AL22" i="1" s="1"/>
  <c r="AL10" i="1"/>
  <c r="AL18" i="1" s="1"/>
  <c r="LC6" i="1"/>
  <c r="AL9" i="1"/>
  <c r="AL17" i="1" s="1"/>
  <c r="KN6" i="1"/>
  <c r="AL7" i="1"/>
  <c r="AL15" i="1" s="1"/>
  <c r="AL8" i="1"/>
  <c r="AL16" i="1" s="1"/>
  <c r="GS14" i="1"/>
  <c r="GS22" i="1" s="1"/>
  <c r="GS13" i="1"/>
  <c r="GS21" i="1" s="1"/>
  <c r="GS11" i="1"/>
  <c r="GS19" i="1" s="1"/>
  <c r="GS7" i="1"/>
  <c r="GS15" i="1" s="1"/>
  <c r="GT6" i="1"/>
  <c r="GS12" i="1"/>
  <c r="GS20" i="1" s="1"/>
  <c r="NS14" i="1"/>
  <c r="NS22" i="1" s="1"/>
  <c r="NS13" i="1"/>
  <c r="NS21" i="1" s="1"/>
  <c r="NS11" i="1"/>
  <c r="NS19" i="1" s="1"/>
  <c r="NS12" i="1"/>
  <c r="NS20" i="1" s="1"/>
  <c r="NS10" i="1"/>
  <c r="NS18" i="1" s="1"/>
  <c r="NS7" i="1"/>
  <c r="NS15" i="1" s="1"/>
  <c r="NS9" i="1"/>
  <c r="NS17" i="1" s="1"/>
  <c r="NS8" i="1"/>
  <c r="NS16" i="1" s="1"/>
  <c r="TJ6" i="1"/>
  <c r="PG7" i="1"/>
  <c r="PG15" i="1" s="1"/>
  <c r="FQ8" i="1"/>
  <c r="FQ16" i="1" s="1"/>
  <c r="GS8" i="1"/>
  <c r="GS16" i="1" s="1"/>
  <c r="R9" i="1"/>
  <c r="R17" i="1" s="1"/>
  <c r="AW10" i="1"/>
  <c r="AW18" i="1" s="1"/>
  <c r="S13" i="1"/>
  <c r="S21" i="1" s="1"/>
  <c r="BX6" i="1"/>
  <c r="F10" i="1"/>
  <c r="F18" i="1" s="1"/>
  <c r="F13" i="1"/>
  <c r="F21" i="1" s="1"/>
  <c r="F14" i="1"/>
  <c r="F22" i="1" s="1"/>
  <c r="F12" i="1"/>
  <c r="F20" i="1" s="1"/>
  <c r="F7" i="1"/>
  <c r="F15" i="1" s="1"/>
  <c r="F11" i="1"/>
  <c r="F19" i="1" s="1"/>
  <c r="F9" i="1"/>
  <c r="F17" i="1" s="1"/>
  <c r="CI12" i="1"/>
  <c r="CI20" i="1" s="1"/>
  <c r="C2" i="1"/>
  <c r="GA12" i="1"/>
  <c r="GA20" i="1" s="1"/>
  <c r="GA13" i="1"/>
  <c r="GA21" i="1" s="1"/>
  <c r="GA9" i="1"/>
  <c r="GA17" i="1" s="1"/>
  <c r="GA14" i="1"/>
  <c r="GA22" i="1" s="1"/>
  <c r="GA11" i="1"/>
  <c r="GA19" i="1" s="1"/>
  <c r="GA5" i="1"/>
  <c r="GA10" i="1"/>
  <c r="GA18" i="1" s="1"/>
  <c r="K14" i="1"/>
  <c r="K22" i="1" s="1"/>
  <c r="K13" i="1"/>
  <c r="K21" i="1" s="1"/>
  <c r="K11" i="1"/>
  <c r="K19" i="1" s="1"/>
  <c r="K12" i="1"/>
  <c r="K20" i="1" s="1"/>
  <c r="K7" i="1"/>
  <c r="K15" i="1" s="1"/>
  <c r="K8" i="1"/>
  <c r="K16" i="1" s="1"/>
  <c r="K10" i="1"/>
  <c r="K18" i="1" s="1"/>
  <c r="AM6" i="1"/>
  <c r="DD11" i="1"/>
  <c r="DD19" i="1" s="1"/>
  <c r="FH14" i="1"/>
  <c r="FH22" i="1" s="1"/>
  <c r="FH11" i="1"/>
  <c r="FH19" i="1" s="1"/>
  <c r="FH13" i="1"/>
  <c r="FH21" i="1" s="1"/>
  <c r="FH12" i="1"/>
  <c r="FH20" i="1" s="1"/>
  <c r="FH10" i="1"/>
  <c r="FH18" i="1" s="1"/>
  <c r="FI6" i="1"/>
  <c r="FH7" i="1"/>
  <c r="FH15" i="1" s="1"/>
  <c r="FH8" i="1"/>
  <c r="FH16" i="1" s="1"/>
  <c r="GB13" i="1"/>
  <c r="GB21" i="1" s="1"/>
  <c r="GB9" i="1"/>
  <c r="GB17" i="1" s="1"/>
  <c r="GB14" i="1"/>
  <c r="GB22" i="1" s="1"/>
  <c r="GB10" i="1"/>
  <c r="GB18" i="1" s="1"/>
  <c r="GB12" i="1"/>
  <c r="GB20" i="1" s="1"/>
  <c r="GB11" i="1"/>
  <c r="GB19" i="1" s="1"/>
  <c r="GB8" i="1"/>
  <c r="GB16" i="1" s="1"/>
  <c r="JK14" i="1"/>
  <c r="JK22" i="1" s="1"/>
  <c r="JK11" i="1"/>
  <c r="JK19" i="1" s="1"/>
  <c r="JK10" i="1"/>
  <c r="JK18" i="1" s="1"/>
  <c r="JK13" i="1"/>
  <c r="JK21" i="1" s="1"/>
  <c r="JK9" i="1"/>
  <c r="JK17" i="1" s="1"/>
  <c r="JK12" i="1"/>
  <c r="JK20" i="1" s="1"/>
  <c r="JK8" i="1"/>
  <c r="JK16" i="1" s="1"/>
  <c r="JY10" i="1"/>
  <c r="JY18" i="1" s="1"/>
  <c r="JY7" i="1"/>
  <c r="JY15" i="1" s="1"/>
  <c r="JY8" i="1"/>
  <c r="JY16" i="1" s="1"/>
  <c r="NC14" i="1"/>
  <c r="NC22" i="1" s="1"/>
  <c r="NC11" i="1"/>
  <c r="NC19" i="1" s="1"/>
  <c r="NC12" i="1"/>
  <c r="NC20" i="1" s="1"/>
  <c r="NC8" i="1"/>
  <c r="NC16" i="1" s="1"/>
  <c r="NC13" i="1"/>
  <c r="NC21" i="1" s="1"/>
  <c r="NU6" i="1"/>
  <c r="PR11" i="1"/>
  <c r="PR19" i="1" s="1"/>
  <c r="PR12" i="1"/>
  <c r="PR20" i="1" s="1"/>
  <c r="PR13" i="1"/>
  <c r="PR21" i="1" s="1"/>
  <c r="PR14" i="1"/>
  <c r="PR22" i="1" s="1"/>
  <c r="PR10" i="1"/>
  <c r="PR18" i="1" s="1"/>
  <c r="PR9" i="1"/>
  <c r="PR17" i="1" s="1"/>
  <c r="PR8" i="1"/>
  <c r="PR16" i="1" s="1"/>
  <c r="PR7" i="1"/>
  <c r="PR15" i="1" s="1"/>
  <c r="QQ6" i="1"/>
  <c r="SA6" i="1"/>
  <c r="TK6" i="1"/>
  <c r="UT6" i="1"/>
  <c r="AZ7" i="1"/>
  <c r="AZ15" i="1" s="1"/>
  <c r="GB7" i="1"/>
  <c r="GB15" i="1" s="1"/>
  <c r="BQ8" i="1"/>
  <c r="BQ16" i="1" s="1"/>
  <c r="T9" i="1"/>
  <c r="T17" i="1" s="1"/>
  <c r="DP13" i="1"/>
  <c r="DP21" i="1" s="1"/>
  <c r="OD14" i="1"/>
  <c r="OD22" i="1" s="1"/>
  <c r="OD10" i="1"/>
  <c r="OD18" i="1" s="1"/>
  <c r="OD13" i="1"/>
  <c r="OD21" i="1" s="1"/>
  <c r="OD12" i="1"/>
  <c r="OD20" i="1" s="1"/>
  <c r="OD8" i="1"/>
  <c r="OD16" i="1" s="1"/>
  <c r="OD7" i="1"/>
  <c r="OD15" i="1" s="1"/>
  <c r="HH14" i="1"/>
  <c r="HH22" i="1" s="1"/>
  <c r="HH11" i="1"/>
  <c r="HH19" i="1" s="1"/>
  <c r="HH8" i="1"/>
  <c r="HH16" i="1" s="1"/>
  <c r="HH12" i="1"/>
  <c r="HH20" i="1" s="1"/>
  <c r="HH10" i="1"/>
  <c r="HH18" i="1" s="1"/>
  <c r="HH7" i="1"/>
  <c r="HH15" i="1" s="1"/>
  <c r="MZ13" i="1"/>
  <c r="MZ21" i="1" s="1"/>
  <c r="MZ14" i="1"/>
  <c r="MZ22" i="1" s="1"/>
  <c r="MZ10" i="1"/>
  <c r="MZ18" i="1" s="1"/>
  <c r="MZ11" i="1"/>
  <c r="MZ19" i="1" s="1"/>
  <c r="G6" i="1"/>
  <c r="ER13" i="1"/>
  <c r="ER21" i="1" s="1"/>
  <c r="ER14" i="1"/>
  <c r="ER22" i="1" s="1"/>
  <c r="ER9" i="1"/>
  <c r="ER17" i="1" s="1"/>
  <c r="ER11" i="1"/>
  <c r="ER19" i="1" s="1"/>
  <c r="ER10" i="1"/>
  <c r="ER18" i="1" s="1"/>
  <c r="ER12" i="1"/>
  <c r="ER20" i="1" s="1"/>
  <c r="ER8" i="1"/>
  <c r="ER16" i="1" s="1"/>
  <c r="GC14" i="1"/>
  <c r="GC22" i="1" s="1"/>
  <c r="GC13" i="1"/>
  <c r="GC21" i="1" s="1"/>
  <c r="GC9" i="1"/>
  <c r="GC17" i="1" s="1"/>
  <c r="GC10" i="1"/>
  <c r="GC18" i="1" s="1"/>
  <c r="GC12" i="1"/>
  <c r="GC20" i="1" s="1"/>
  <c r="GC11" i="1"/>
  <c r="GC19" i="1" s="1"/>
  <c r="GC7" i="1"/>
  <c r="GC15" i="1" s="1"/>
  <c r="JZ10" i="1"/>
  <c r="JZ18" i="1" s="1"/>
  <c r="JZ7" i="1"/>
  <c r="JZ15" i="1" s="1"/>
  <c r="KO6" i="1"/>
  <c r="ND13" i="1"/>
  <c r="ND21" i="1" s="1"/>
  <c r="MX23" i="1"/>
  <c r="NC23" i="1"/>
  <c r="MY23" i="1"/>
  <c r="MV10" i="1"/>
  <c r="MV18" i="1" s="1"/>
  <c r="MV11" i="1"/>
  <c r="MV19" i="1" s="1"/>
  <c r="NB23" i="1"/>
  <c r="MV12" i="1"/>
  <c r="MV20" i="1" s="1"/>
  <c r="MV14" i="1"/>
  <c r="MV22" i="1" s="1"/>
  <c r="MV13" i="1"/>
  <c r="MV21" i="1" s="1"/>
  <c r="MV8" i="1"/>
  <c r="MV16" i="1" s="1"/>
  <c r="MV7" i="1"/>
  <c r="MV15" i="1" s="1"/>
  <c r="PS12" i="1"/>
  <c r="PS20" i="1" s="1"/>
  <c r="PS13" i="1"/>
  <c r="PS21" i="1" s="1"/>
  <c r="PS10" i="1"/>
  <c r="PS18" i="1" s="1"/>
  <c r="PS8" i="1"/>
  <c r="PS16" i="1" s="1"/>
  <c r="PS9" i="1"/>
  <c r="PS17" i="1" s="1"/>
  <c r="PS11" i="1"/>
  <c r="PS19" i="1" s="1"/>
  <c r="PS14" i="1"/>
  <c r="PS22" i="1" s="1"/>
  <c r="SD6" i="1"/>
  <c r="TN6" i="1"/>
  <c r="UU6" i="1"/>
  <c r="S7" i="1"/>
  <c r="S15" i="1" s="1"/>
  <c r="MB7" i="1"/>
  <c r="MB15" i="1" s="1"/>
  <c r="NL7" i="1"/>
  <c r="NL15" i="1" s="1"/>
  <c r="DM8" i="1"/>
  <c r="DM16" i="1" s="1"/>
  <c r="MG8" i="1"/>
  <c r="MG16" i="1" s="1"/>
  <c r="FH9" i="1"/>
  <c r="FH17" i="1" s="1"/>
  <c r="DM10" i="1"/>
  <c r="DM18" i="1" s="1"/>
  <c r="FX10" i="1"/>
  <c r="FX18" i="1" s="1"/>
  <c r="VO13" i="1"/>
  <c r="VO21" i="1" s="1"/>
  <c r="VO14" i="1"/>
  <c r="VO22" i="1" s="1"/>
  <c r="VO12" i="1"/>
  <c r="VO20" i="1" s="1"/>
  <c r="VO11" i="1"/>
  <c r="VO19" i="1" s="1"/>
  <c r="VO9" i="1"/>
  <c r="VO17" i="1" s="1"/>
  <c r="VO10" i="1"/>
  <c r="VO18" i="1" s="1"/>
  <c r="VO7" i="1"/>
  <c r="VO15" i="1" s="1"/>
  <c r="VO8" i="1"/>
  <c r="VO16" i="1" s="1"/>
  <c r="DC14" i="1"/>
  <c r="DC22" i="1" s="1"/>
  <c r="DC13" i="1"/>
  <c r="DC21" i="1" s="1"/>
  <c r="DC11" i="1"/>
  <c r="DC19" i="1" s="1"/>
  <c r="DC12" i="1"/>
  <c r="DC20" i="1" s="1"/>
  <c r="DC7" i="1"/>
  <c r="DC15" i="1" s="1"/>
  <c r="DC8" i="1"/>
  <c r="DC16" i="1" s="1"/>
  <c r="DC10" i="1"/>
  <c r="DC18" i="1" s="1"/>
  <c r="D2" i="1"/>
  <c r="BL13" i="1"/>
  <c r="BL21" i="1" s="1"/>
  <c r="BL9" i="1"/>
  <c r="BL17" i="1" s="1"/>
  <c r="BL10" i="1"/>
  <c r="BL18" i="1" s="1"/>
  <c r="BL11" i="1"/>
  <c r="BL19" i="1" s="1"/>
  <c r="BL14" i="1"/>
  <c r="BL22" i="1" s="1"/>
  <c r="BL12" i="1"/>
  <c r="BL20" i="1" s="1"/>
  <c r="BL8" i="1"/>
  <c r="BL16" i="1" s="1"/>
  <c r="ES6" i="1"/>
  <c r="GD14" i="1"/>
  <c r="GD22" i="1" s="1"/>
  <c r="GD13" i="1"/>
  <c r="GD21" i="1" s="1"/>
  <c r="JM14" i="1"/>
  <c r="JM22" i="1" s="1"/>
  <c r="JM13" i="1"/>
  <c r="JM21" i="1" s="1"/>
  <c r="JM12" i="1"/>
  <c r="JM20" i="1" s="1"/>
  <c r="JM10" i="1"/>
  <c r="JM18" i="1" s="1"/>
  <c r="JM7" i="1"/>
  <c r="JM15" i="1" s="1"/>
  <c r="JM11" i="1"/>
  <c r="JM19" i="1" s="1"/>
  <c r="KA7" i="1"/>
  <c r="KA15" i="1" s="1"/>
  <c r="KA10" i="1"/>
  <c r="KA18" i="1" s="1"/>
  <c r="MJ10" i="1"/>
  <c r="MJ18" i="1" s="1"/>
  <c r="MJ11" i="1"/>
  <c r="MJ19" i="1" s="1"/>
  <c r="MJ13" i="1"/>
  <c r="MJ21" i="1" s="1"/>
  <c r="MJ12" i="1"/>
  <c r="MJ20" i="1" s="1"/>
  <c r="MJ14" i="1"/>
  <c r="MJ22" i="1" s="1"/>
  <c r="MJ7" i="1"/>
  <c r="MJ15" i="1" s="1"/>
  <c r="MR6" i="1"/>
  <c r="NE7" i="1"/>
  <c r="NE15" i="1" s="1"/>
  <c r="NX13" i="1"/>
  <c r="NX21" i="1" s="1"/>
  <c r="NX12" i="1"/>
  <c r="NX20" i="1" s="1"/>
  <c r="NX14" i="1"/>
  <c r="NX22" i="1" s="1"/>
  <c r="NX10" i="1"/>
  <c r="NX18" i="1" s="1"/>
  <c r="NX11" i="1"/>
  <c r="NX19" i="1" s="1"/>
  <c r="OW14" i="1"/>
  <c r="OW22" i="1" s="1"/>
  <c r="SJ6" i="1"/>
  <c r="BC7" i="1"/>
  <c r="BC15" i="1" s="1"/>
  <c r="CS7" i="1"/>
  <c r="CS15" i="1" s="1"/>
  <c r="EC7" i="1"/>
  <c r="EC15" i="1" s="1"/>
  <c r="JK7" i="1"/>
  <c r="JK15" i="1" s="1"/>
  <c r="ME7" i="1"/>
  <c r="ME15" i="1" s="1"/>
  <c r="NO7" i="1"/>
  <c r="NO15" i="1" s="1"/>
  <c r="AD8" i="1"/>
  <c r="AD16" i="1" s="1"/>
  <c r="MJ8" i="1"/>
  <c r="MJ16" i="1" s="1"/>
  <c r="NX8" i="1"/>
  <c r="NX16" i="1" s="1"/>
  <c r="AK9" i="1"/>
  <c r="AK17" i="1" s="1"/>
  <c r="DB9" i="1"/>
  <c r="DB17" i="1" s="1"/>
  <c r="EB10" i="1"/>
  <c r="EB18" i="1" s="1"/>
  <c r="BP11" i="1"/>
  <c r="BP19" i="1" s="1"/>
  <c r="BP13" i="1"/>
  <c r="BP21" i="1" s="1"/>
  <c r="BP14" i="1"/>
  <c r="BP22" i="1" s="1"/>
  <c r="BP10" i="1"/>
  <c r="BP18" i="1" s="1"/>
  <c r="CN6" i="1"/>
  <c r="CZ6" i="1"/>
  <c r="DL14" i="1"/>
  <c r="DL22" i="1" s="1"/>
  <c r="HM13" i="1"/>
  <c r="HM21" i="1" s="1"/>
  <c r="HM14" i="1"/>
  <c r="HM22" i="1" s="1"/>
  <c r="HM12" i="1"/>
  <c r="HM20" i="1" s="1"/>
  <c r="HM9" i="1"/>
  <c r="HM17" i="1" s="1"/>
  <c r="HM10" i="1"/>
  <c r="HM18" i="1" s="1"/>
  <c r="JJ11" i="1"/>
  <c r="JJ19" i="1" s="1"/>
  <c r="JJ14" i="1"/>
  <c r="JJ22" i="1" s="1"/>
  <c r="JJ12" i="1"/>
  <c r="JJ20" i="1" s="1"/>
  <c r="MD6" i="1"/>
  <c r="NB14" i="1"/>
  <c r="NB22" i="1" s="1"/>
  <c r="NB11" i="1"/>
  <c r="NB19" i="1" s="1"/>
  <c r="NB13" i="1"/>
  <c r="NB21" i="1" s="1"/>
  <c r="NB12" i="1"/>
  <c r="NB20" i="1" s="1"/>
  <c r="NZ6" i="1"/>
  <c r="OV10" i="1"/>
  <c r="OV18" i="1" s="1"/>
  <c r="OB6" i="1"/>
  <c r="ON6" i="1"/>
  <c r="PQ14" i="1"/>
  <c r="PQ22" i="1" s="1"/>
  <c r="PQ11" i="1"/>
  <c r="PQ19" i="1" s="1"/>
  <c r="PQ12" i="1"/>
  <c r="PQ20" i="1" s="1"/>
  <c r="PQ13" i="1"/>
  <c r="PQ21" i="1" s="1"/>
  <c r="PQ10" i="1"/>
  <c r="PQ18" i="1" s="1"/>
  <c r="PQ8" i="1"/>
  <c r="PQ16" i="1" s="1"/>
  <c r="US10" i="1"/>
  <c r="US18" i="1" s="1"/>
  <c r="US11" i="1"/>
  <c r="US19" i="1" s="1"/>
  <c r="US14" i="1"/>
  <c r="US22" i="1" s="1"/>
  <c r="US12" i="1"/>
  <c r="US20" i="1" s="1"/>
  <c r="US9" i="1"/>
  <c r="US17" i="1" s="1"/>
  <c r="US13" i="1"/>
  <c r="US21" i="1" s="1"/>
  <c r="JR7" i="1"/>
  <c r="JR15" i="1" s="1"/>
  <c r="KD7" i="1"/>
  <c r="KD15" i="1" s="1"/>
  <c r="LZ7" i="1"/>
  <c r="LZ15" i="1" s="1"/>
  <c r="MX7" i="1"/>
  <c r="MX15" i="1" s="1"/>
  <c r="NV7" i="1"/>
  <c r="NV15" i="1" s="1"/>
  <c r="HM11" i="1"/>
  <c r="HM19" i="1" s="1"/>
  <c r="PM11" i="1"/>
  <c r="PM19" i="1" s="1"/>
  <c r="BI13" i="1"/>
  <c r="BI21" i="1" s="1"/>
  <c r="PT13" i="1"/>
  <c r="PT21" i="1" s="1"/>
  <c r="PT9" i="1"/>
  <c r="PT17" i="1" s="1"/>
  <c r="PT14" i="1"/>
  <c r="PT22" i="1" s="1"/>
  <c r="PT12" i="1"/>
  <c r="PT20" i="1" s="1"/>
  <c r="PT10" i="1"/>
  <c r="PT18" i="1" s="1"/>
  <c r="UV6" i="1"/>
  <c r="AO7" i="1"/>
  <c r="AO15" i="1" s="1"/>
  <c r="DI7" i="1"/>
  <c r="DI15" i="1" s="1"/>
  <c r="HM7" i="1"/>
  <c r="HM15" i="1" s="1"/>
  <c r="PM8" i="1"/>
  <c r="PM16" i="1" s="1"/>
  <c r="JV10" i="1"/>
  <c r="JV18" i="1" s="1"/>
  <c r="CT6" i="1"/>
  <c r="HG14" i="1"/>
  <c r="HG22" i="1" s="1"/>
  <c r="HG13" i="1"/>
  <c r="HG21" i="1" s="1"/>
  <c r="HG11" i="1"/>
  <c r="HG19" i="1" s="1"/>
  <c r="HG12" i="1"/>
  <c r="HG20" i="1" s="1"/>
  <c r="JJ7" i="1"/>
  <c r="JJ15" i="1" s="1"/>
  <c r="JV7" i="1"/>
  <c r="JV15" i="1" s="1"/>
  <c r="NB7" i="1"/>
  <c r="NB15" i="1" s="1"/>
  <c r="BP8" i="1"/>
  <c r="BP16" i="1" s="1"/>
  <c r="KD8" i="1"/>
  <c r="KD16" i="1" s="1"/>
  <c r="PK14" i="1"/>
  <c r="PK22" i="1" s="1"/>
  <c r="PK13" i="1"/>
  <c r="PK21" i="1" s="1"/>
  <c r="BP7" i="1"/>
  <c r="BP15" i="1" s="1"/>
  <c r="DL7" i="1"/>
  <c r="DL15" i="1" s="1"/>
  <c r="PL7" i="1"/>
  <c r="PL15" i="1" s="1"/>
  <c r="AO14" i="1"/>
  <c r="AO22" i="1" s="1"/>
  <c r="AO13" i="1"/>
  <c r="AO21" i="1" s="1"/>
  <c r="AO9" i="1"/>
  <c r="AO17" i="1" s="1"/>
  <c r="AO11" i="1"/>
  <c r="AO19" i="1" s="1"/>
  <c r="AO10" i="1"/>
  <c r="AO18" i="1" s="1"/>
  <c r="AO12" i="1"/>
  <c r="AO20" i="1" s="1"/>
  <c r="BI12" i="1"/>
  <c r="BI20" i="1" s="1"/>
  <c r="BI14" i="1"/>
  <c r="BI22" i="1" s="1"/>
  <c r="CJ6" i="1"/>
  <c r="CV6" i="1"/>
  <c r="EF6" i="1"/>
  <c r="HI14" i="1"/>
  <c r="HI22" i="1" s="1"/>
  <c r="HI12" i="1"/>
  <c r="HI20" i="1" s="1"/>
  <c r="HI11" i="1"/>
  <c r="HI19" i="1" s="1"/>
  <c r="HI13" i="1"/>
  <c r="HI21" i="1" s="1"/>
  <c r="JR14" i="1"/>
  <c r="JR22" i="1" s="1"/>
  <c r="JR11" i="1"/>
  <c r="JR19" i="1" s="1"/>
  <c r="JR12" i="1"/>
  <c r="JR20" i="1" s="1"/>
  <c r="JR13" i="1"/>
  <c r="JR21" i="1" s="1"/>
  <c r="JR10" i="1"/>
  <c r="JR18" i="1" s="1"/>
  <c r="JR9" i="1"/>
  <c r="JR17" i="1" s="1"/>
  <c r="MK23" i="1"/>
  <c r="LZ11" i="1"/>
  <c r="LZ19" i="1" s="1"/>
  <c r="LZ12" i="1"/>
  <c r="LZ20" i="1" s="1"/>
  <c r="LZ13" i="1"/>
  <c r="LZ21" i="1" s="1"/>
  <c r="LZ14" i="1"/>
  <c r="LZ22" i="1" s="1"/>
  <c r="MX11" i="1"/>
  <c r="MX19" i="1" s="1"/>
  <c r="MX14" i="1"/>
  <c r="MX22" i="1" s="1"/>
  <c r="MX12" i="1"/>
  <c r="MX20" i="1" s="1"/>
  <c r="MX13" i="1"/>
  <c r="MX21" i="1" s="1"/>
  <c r="MX10" i="1"/>
  <c r="MX18" i="1" s="1"/>
  <c r="NV11" i="1"/>
  <c r="NV19" i="1" s="1"/>
  <c r="NV12" i="1"/>
  <c r="NV20" i="1" s="1"/>
  <c r="NV13" i="1"/>
  <c r="NV21" i="1" s="1"/>
  <c r="NV14" i="1"/>
  <c r="NV22" i="1" s="1"/>
  <c r="BJ6" i="1"/>
  <c r="CK6" i="1"/>
  <c r="CW6" i="1"/>
  <c r="DI14" i="1"/>
  <c r="DI22" i="1" s="1"/>
  <c r="DI13" i="1"/>
  <c r="DI21" i="1" s="1"/>
  <c r="DI9" i="1"/>
  <c r="DI17" i="1" s="1"/>
  <c r="DI10" i="1"/>
  <c r="DI18" i="1" s="1"/>
  <c r="DI12" i="1"/>
  <c r="DI20" i="1" s="1"/>
  <c r="KE6" i="1"/>
  <c r="MA6" i="1"/>
  <c r="MY14" i="1"/>
  <c r="MY22" i="1" s="1"/>
  <c r="MY12" i="1"/>
  <c r="MY20" i="1" s="1"/>
  <c r="MY13" i="1"/>
  <c r="MY21" i="1" s="1"/>
  <c r="MY8" i="1"/>
  <c r="MY16" i="1" s="1"/>
  <c r="MY10" i="1"/>
  <c r="MY18" i="1" s="1"/>
  <c r="MY11" i="1"/>
  <c r="MY19" i="1" s="1"/>
  <c r="NW6" i="1"/>
  <c r="OV13" i="1"/>
  <c r="OV21" i="1" s="1"/>
  <c r="OV11" i="1"/>
  <c r="OV19" i="1" s="1"/>
  <c r="OV9" i="1"/>
  <c r="OV17" i="1" s="1"/>
  <c r="PL14" i="1"/>
  <c r="PL22" i="1" s="1"/>
  <c r="PL12" i="1"/>
  <c r="PL20" i="1" s="1"/>
  <c r="PL13" i="1"/>
  <c r="PL21" i="1" s="1"/>
  <c r="PL10" i="1"/>
  <c r="PL18" i="1" s="1"/>
  <c r="PL11" i="1"/>
  <c r="PL19" i="1" s="1"/>
  <c r="PM7" i="1"/>
  <c r="PM15" i="1" s="1"/>
  <c r="HG8" i="1"/>
  <c r="HG16" i="1" s="1"/>
  <c r="NB8" i="1"/>
  <c r="NB16" i="1" s="1"/>
  <c r="BP9" i="1"/>
  <c r="BP17" i="1" s="1"/>
  <c r="PM14" i="1"/>
  <c r="PM22" i="1" s="1"/>
  <c r="PM13" i="1"/>
  <c r="PM21" i="1" s="1"/>
  <c r="PM12" i="1"/>
  <c r="PM20" i="1" s="1"/>
  <c r="LZ8" i="1"/>
  <c r="LZ16" i="1" s="1"/>
  <c r="PT8" i="1"/>
  <c r="PT16" i="1" s="1"/>
  <c r="JJ9" i="1"/>
  <c r="JJ17" i="1" s="1"/>
  <c r="QK10" i="1"/>
  <c r="QK18" i="1" s="1"/>
  <c r="OV12" i="1"/>
  <c r="OV20" i="1" s="1"/>
  <c r="JJ13" i="1"/>
  <c r="JJ21" i="1" s="1"/>
  <c r="PN6" i="1"/>
  <c r="HG7" i="1"/>
  <c r="HG15" i="1" s="1"/>
  <c r="BI8" i="1"/>
  <c r="BI16" i="1" s="1"/>
  <c r="HI8" i="1"/>
  <c r="HI16" i="1" s="1"/>
  <c r="HG10" i="1"/>
  <c r="HG18" i="1" s="1"/>
  <c r="BP12" i="1"/>
  <c r="BP20" i="1" s="1"/>
  <c r="PK12" i="1"/>
  <c r="PK20" i="1" s="1"/>
  <c r="LV6" i="2"/>
  <c r="LV12" i="2"/>
  <c r="MR12" i="2"/>
  <c r="NN12" i="2"/>
  <c r="OJ8" i="2"/>
  <c r="OJ14" i="2"/>
  <c r="OJ18" i="2"/>
  <c r="MR21" i="2"/>
  <c r="OJ24" i="2"/>
  <c r="OJ30" i="2"/>
  <c r="NN34" i="2"/>
  <c r="OJ35" i="2"/>
  <c r="LV36" i="2"/>
  <c r="MR37" i="2"/>
  <c r="NN38" i="2"/>
  <c r="OJ39" i="2"/>
  <c r="LV40" i="2"/>
  <c r="MR41" i="2"/>
  <c r="NN42" i="2"/>
  <c r="OJ43" i="2"/>
  <c r="LV44" i="2"/>
  <c r="MR45" i="2"/>
  <c r="NN46" i="2"/>
  <c r="OJ47" i="2"/>
  <c r="LV48" i="2"/>
  <c r="MR49" i="2"/>
  <c r="NN50" i="2"/>
  <c r="OJ51" i="2"/>
  <c r="LV52" i="2"/>
  <c r="MR53" i="2"/>
  <c r="NN54" i="2"/>
  <c r="OJ55" i="2"/>
  <c r="LV56" i="2"/>
  <c r="MR57" i="2"/>
  <c r="NN58" i="2"/>
  <c r="OJ59" i="2"/>
  <c r="LV60" i="2"/>
  <c r="MR61" i="2"/>
  <c r="NN62" i="2"/>
  <c r="OJ63" i="2"/>
  <c r="LV64" i="2"/>
  <c r="MR65" i="2"/>
  <c r="OJ7" i="2"/>
  <c r="MR10" i="2"/>
  <c r="OJ13" i="2"/>
  <c r="OJ17" i="2"/>
  <c r="MR20" i="2"/>
  <c r="OJ23" i="2"/>
  <c r="MR26" i="2"/>
  <c r="OJ29" i="2"/>
  <c r="MR32" i="2"/>
  <c r="OJ36" i="2"/>
  <c r="OJ40" i="2"/>
  <c r="OJ44" i="2"/>
  <c r="OJ48" i="2"/>
  <c r="OJ52" i="2"/>
  <c r="OJ56" i="2"/>
  <c r="OJ60" i="2"/>
  <c r="OJ64" i="2"/>
  <c r="OJ16" i="2"/>
  <c r="OJ22" i="2"/>
  <c r="OJ28" i="2"/>
  <c r="OJ33" i="2"/>
  <c r="NN7" i="2"/>
  <c r="LV10" i="2"/>
  <c r="NN13" i="2"/>
  <c r="NN17" i="2"/>
  <c r="LV20" i="2"/>
  <c r="NN23" i="2"/>
  <c r="LV26" i="2"/>
  <c r="NN29" i="2"/>
  <c r="LV32" i="2"/>
  <c r="LV34" i="2"/>
  <c r="NN36" i="2"/>
  <c r="LV38" i="2"/>
  <c r="NN40" i="2"/>
  <c r="LV42" i="2"/>
  <c r="NN44" i="2"/>
  <c r="LV46" i="2"/>
  <c r="NN48" i="2"/>
  <c r="LV50" i="2"/>
  <c r="NN52" i="2"/>
  <c r="LV54" i="2"/>
  <c r="NN56" i="2"/>
  <c r="LV58" i="2"/>
  <c r="NN60" i="2"/>
  <c r="LV62" i="2"/>
  <c r="NN64" i="2"/>
  <c r="LV9" i="2"/>
  <c r="NN16" i="2"/>
  <c r="NN22" i="2"/>
  <c r="NN28" i="2"/>
  <c r="NN33" i="2"/>
  <c r="MR7" i="2"/>
  <c r="OJ10" i="2"/>
  <c r="MR13" i="2"/>
  <c r="MR17" i="2"/>
  <c r="OJ20" i="2"/>
  <c r="MR23" i="2"/>
  <c r="OJ26" i="2"/>
  <c r="MR29" i="2"/>
  <c r="OJ32" i="2"/>
  <c r="M6" i="1"/>
  <c r="O6" i="1"/>
  <c r="QF6" i="1"/>
  <c r="O25" i="1"/>
  <c r="M25" i="1"/>
  <c r="KB8" i="1" l="1"/>
  <c r="KB16" i="1" s="1"/>
  <c r="CI8" i="1"/>
  <c r="CI16" i="1" s="1"/>
  <c r="OW13" i="1"/>
  <c r="OW21" i="1" s="1"/>
  <c r="CI13" i="1"/>
  <c r="CI21" i="1" s="1"/>
  <c r="CI10" i="1"/>
  <c r="CI18" i="1" s="1"/>
  <c r="KB7" i="1"/>
  <c r="KB15" i="1" s="1"/>
  <c r="OW8" i="1"/>
  <c r="OW16" i="1" s="1"/>
  <c r="CI11" i="1"/>
  <c r="CI19" i="1" s="1"/>
  <c r="OW7" i="1"/>
  <c r="OW15" i="1" s="1"/>
  <c r="OW11" i="1"/>
  <c r="OW19" i="1" s="1"/>
  <c r="CI9" i="1"/>
  <c r="CI17" i="1" s="1"/>
  <c r="JN6" i="1"/>
  <c r="JN13" i="1" s="1"/>
  <c r="JN21" i="1" s="1"/>
  <c r="OW12" i="1"/>
  <c r="OW20" i="1" s="1"/>
  <c r="OW9" i="1"/>
  <c r="OW17" i="1" s="1"/>
  <c r="GD7" i="1"/>
  <c r="GD15" i="1" s="1"/>
  <c r="GD12" i="1"/>
  <c r="GD20" i="1" s="1"/>
  <c r="GD10" i="1"/>
  <c r="GD18" i="1" s="1"/>
  <c r="JM8" i="1"/>
  <c r="JM16" i="1" s="1"/>
  <c r="V10" i="1"/>
  <c r="V18" i="1" s="1"/>
  <c r="V9" i="1"/>
  <c r="V17" i="1" s="1"/>
  <c r="V8" i="1"/>
  <c r="V16" i="1" s="1"/>
  <c r="JO8" i="1"/>
  <c r="JO16" i="1" s="1"/>
  <c r="JO7" i="1"/>
  <c r="JO15" i="1" s="1"/>
  <c r="JO10" i="1"/>
  <c r="JO18" i="1" s="1"/>
  <c r="EM14" i="1"/>
  <c r="EM22" i="1" s="1"/>
  <c r="EM13" i="1"/>
  <c r="EM21" i="1" s="1"/>
  <c r="DE10" i="1"/>
  <c r="DE18" i="1" s="1"/>
  <c r="DF6" i="1"/>
  <c r="DF10" i="1" s="1"/>
  <c r="DF18" i="1" s="1"/>
  <c r="CX11" i="1"/>
  <c r="CX19" i="1" s="1"/>
  <c r="JO12" i="1"/>
  <c r="JO20" i="1" s="1"/>
  <c r="DE9" i="1"/>
  <c r="DE17" i="1" s="1"/>
  <c r="CQ9" i="1"/>
  <c r="CQ17" i="1" s="1"/>
  <c r="EM10" i="1"/>
  <c r="EM18" i="1" s="1"/>
  <c r="CX7" i="1"/>
  <c r="CX15" i="1" s="1"/>
  <c r="JO13" i="1"/>
  <c r="JO21" i="1" s="1"/>
  <c r="DE8" i="1"/>
  <c r="DE16" i="1" s="1"/>
  <c r="EM8" i="1"/>
  <c r="EM16" i="1" s="1"/>
  <c r="JO9" i="1"/>
  <c r="JO17" i="1" s="1"/>
  <c r="CX8" i="1"/>
  <c r="CX16" i="1" s="1"/>
  <c r="CX9" i="1"/>
  <c r="CX17" i="1" s="1"/>
  <c r="CS10" i="1"/>
  <c r="CS18" i="1" s="1"/>
  <c r="CR8" i="1"/>
  <c r="CR16" i="1" s="1"/>
  <c r="JO14" i="1"/>
  <c r="JO22" i="1" s="1"/>
  <c r="DE11" i="1"/>
  <c r="DE19" i="1" s="1"/>
  <c r="EM9" i="1"/>
  <c r="EM17" i="1" s="1"/>
  <c r="CX14" i="1"/>
  <c r="CX22" i="1" s="1"/>
  <c r="DE13" i="1"/>
  <c r="DE21" i="1" s="1"/>
  <c r="EM7" i="1"/>
  <c r="EM15" i="1" s="1"/>
  <c r="CI14" i="1"/>
  <c r="CI22" i="1" s="1"/>
  <c r="CX13" i="1"/>
  <c r="CX21" i="1" s="1"/>
  <c r="CS8" i="1"/>
  <c r="CS16" i="1" s="1"/>
  <c r="CR12" i="1"/>
  <c r="CR20" i="1" s="1"/>
  <c r="DE14" i="1"/>
  <c r="DE22" i="1" s="1"/>
  <c r="EM11" i="1"/>
  <c r="EM19" i="1" s="1"/>
  <c r="CX12" i="1"/>
  <c r="CX20" i="1" s="1"/>
  <c r="DE12" i="1"/>
  <c r="DE20" i="1" s="1"/>
  <c r="GD11" i="1"/>
  <c r="GD19" i="1" s="1"/>
  <c r="GD9" i="1"/>
  <c r="GD17" i="1" s="1"/>
  <c r="JL9" i="1"/>
  <c r="JL17" i="1" s="1"/>
  <c r="JL8" i="1"/>
  <c r="JL16" i="1" s="1"/>
  <c r="JL10" i="1"/>
  <c r="JL18" i="1" s="1"/>
  <c r="CU10" i="1"/>
  <c r="CU18" i="1" s="1"/>
  <c r="JL14" i="1"/>
  <c r="JL22" i="1" s="1"/>
  <c r="JL7" i="1"/>
  <c r="JL15" i="1" s="1"/>
  <c r="DJ8" i="1"/>
  <c r="DJ16" i="1" s="1"/>
  <c r="JL11" i="1"/>
  <c r="JL19" i="1" s="1"/>
  <c r="CQ11" i="1"/>
  <c r="CQ19" i="1" s="1"/>
  <c r="JL13" i="1"/>
  <c r="JL21" i="1" s="1"/>
  <c r="CL7" i="1"/>
  <c r="CL15" i="1" s="1"/>
  <c r="JL12" i="1"/>
  <c r="JL20" i="1" s="1"/>
  <c r="CL11" i="1"/>
  <c r="CL19" i="1" s="1"/>
  <c r="H7" i="1"/>
  <c r="H15" i="1" s="1"/>
  <c r="NE14" i="1"/>
  <c r="NE22" i="1" s="1"/>
  <c r="ND12" i="1"/>
  <c r="ND20" i="1" s="1"/>
  <c r="MF14" i="1"/>
  <c r="MF22" i="1" s="1"/>
  <c r="H10" i="1"/>
  <c r="H18" i="1" s="1"/>
  <c r="MF13" i="1"/>
  <c r="MF21" i="1" s="1"/>
  <c r="MF12" i="1"/>
  <c r="MF20" i="1" s="1"/>
  <c r="H12" i="1"/>
  <c r="H20" i="1" s="1"/>
  <c r="CQ13" i="1"/>
  <c r="CQ21" i="1" s="1"/>
  <c r="H14" i="1"/>
  <c r="H22" i="1" s="1"/>
  <c r="DD7" i="1"/>
  <c r="DD15" i="1" s="1"/>
  <c r="MB10" i="1"/>
  <c r="MB18" i="1" s="1"/>
  <c r="NE11" i="1"/>
  <c r="NE19" i="1" s="1"/>
  <c r="DD9" i="1"/>
  <c r="DD17" i="1" s="1"/>
  <c r="MB13" i="1"/>
  <c r="MB21" i="1" s="1"/>
  <c r="NE13" i="1"/>
  <c r="NE21" i="1" s="1"/>
  <c r="ND11" i="1"/>
  <c r="ND19" i="1" s="1"/>
  <c r="DD12" i="1"/>
  <c r="DD20" i="1" s="1"/>
  <c r="ND10" i="1"/>
  <c r="ND18" i="1" s="1"/>
  <c r="DD8" i="1"/>
  <c r="DD16" i="1" s="1"/>
  <c r="NE8" i="1"/>
  <c r="NE16" i="1" s="1"/>
  <c r="NE12" i="1"/>
  <c r="NE20" i="1" s="1"/>
  <c r="CM7" i="1"/>
  <c r="CM15" i="1" s="1"/>
  <c r="ND7" i="1"/>
  <c r="ND15" i="1" s="1"/>
  <c r="MF8" i="1"/>
  <c r="MF16" i="1" s="1"/>
  <c r="DD13" i="1"/>
  <c r="DD21" i="1" s="1"/>
  <c r="DK8" i="1"/>
  <c r="DK16" i="1" s="1"/>
  <c r="ND14" i="1"/>
  <c r="ND22" i="1" s="1"/>
  <c r="NE10" i="1"/>
  <c r="NE18" i="1" s="1"/>
  <c r="ND8" i="1"/>
  <c r="ND16" i="1" s="1"/>
  <c r="DD14" i="1"/>
  <c r="DD22" i="1" s="1"/>
  <c r="DK7" i="1"/>
  <c r="DK15" i="1" s="1"/>
  <c r="H11" i="1"/>
  <c r="H19" i="1" s="1"/>
  <c r="DK9" i="1"/>
  <c r="DK17" i="1" s="1"/>
  <c r="PP12" i="1"/>
  <c r="PP20" i="1" s="1"/>
  <c r="PP14" i="1"/>
  <c r="PP22" i="1" s="1"/>
  <c r="JX10" i="1"/>
  <c r="JX18" i="1" s="1"/>
  <c r="JX7" i="1"/>
  <c r="JX15" i="1" s="1"/>
  <c r="MB8" i="1"/>
  <c r="MB16" i="1" s="1"/>
  <c r="MB12" i="1"/>
  <c r="MB20" i="1" s="1"/>
  <c r="CQ14" i="1"/>
  <c r="CQ22" i="1" s="1"/>
  <c r="H13" i="1"/>
  <c r="H21" i="1" s="1"/>
  <c r="CL12" i="1"/>
  <c r="CL20" i="1" s="1"/>
  <c r="DK11" i="1"/>
  <c r="DK19" i="1" s="1"/>
  <c r="CU11" i="1"/>
  <c r="CU19" i="1" s="1"/>
  <c r="CL13" i="1"/>
  <c r="CL21" i="1" s="1"/>
  <c r="CO8" i="1"/>
  <c r="CO16" i="1" s="1"/>
  <c r="DK12" i="1"/>
  <c r="DK20" i="1" s="1"/>
  <c r="CU7" i="1"/>
  <c r="CU15" i="1" s="1"/>
  <c r="CU9" i="1"/>
  <c r="CU17" i="1" s="1"/>
  <c r="CL10" i="1"/>
  <c r="CL18" i="1" s="1"/>
  <c r="DK13" i="1"/>
  <c r="DK21" i="1" s="1"/>
  <c r="DJ7" i="1"/>
  <c r="DJ15" i="1" s="1"/>
  <c r="CU13" i="1"/>
  <c r="CU21" i="1" s="1"/>
  <c r="CO12" i="1"/>
  <c r="CO20" i="1" s="1"/>
  <c r="CL14" i="1"/>
  <c r="CL22" i="1" s="1"/>
  <c r="CM8" i="1"/>
  <c r="CM16" i="1" s="1"/>
  <c r="DK10" i="1"/>
  <c r="DK18" i="1" s="1"/>
  <c r="DJ9" i="1"/>
  <c r="DJ17" i="1" s="1"/>
  <c r="CM12" i="1"/>
  <c r="CM20" i="1" s="1"/>
  <c r="CU14" i="1"/>
  <c r="CU22" i="1" s="1"/>
  <c r="CO9" i="1"/>
  <c r="CO17" i="1" s="1"/>
  <c r="CM13" i="1"/>
  <c r="CM21" i="1" s="1"/>
  <c r="DJ13" i="1"/>
  <c r="DJ21" i="1" s="1"/>
  <c r="CU12" i="1"/>
  <c r="CU20" i="1" s="1"/>
  <c r="CO7" i="1"/>
  <c r="CO15" i="1" s="1"/>
  <c r="CM11" i="1"/>
  <c r="CM19" i="1" s="1"/>
  <c r="DJ11" i="1"/>
  <c r="DJ19" i="1" s="1"/>
  <c r="CO11" i="1"/>
  <c r="CO19" i="1" s="1"/>
  <c r="CM10" i="1"/>
  <c r="CM18" i="1" s="1"/>
  <c r="DJ12" i="1"/>
  <c r="DJ20" i="1" s="1"/>
  <c r="CO13" i="1"/>
  <c r="CO21" i="1" s="1"/>
  <c r="CM14" i="1"/>
  <c r="CM22" i="1" s="1"/>
  <c r="DJ10" i="1"/>
  <c r="DJ18" i="1" s="1"/>
  <c r="CO14" i="1"/>
  <c r="CO22" i="1" s="1"/>
  <c r="CQ8" i="1"/>
  <c r="CQ16" i="1" s="1"/>
  <c r="MI11" i="1"/>
  <c r="MI19" i="1" s="1"/>
  <c r="QM9" i="1"/>
  <c r="QM17" i="1" s="1"/>
  <c r="CL9" i="1"/>
  <c r="CL17" i="1" s="1"/>
  <c r="CQ12" i="1"/>
  <c r="CQ20" i="1" s="1"/>
  <c r="H8" i="1"/>
  <c r="H16" i="1" s="1"/>
  <c r="MI10" i="1"/>
  <c r="MI18" i="1" s="1"/>
  <c r="DL12" i="1"/>
  <c r="DL20" i="1" s="1"/>
  <c r="PP13" i="1"/>
  <c r="PP21" i="1" s="1"/>
  <c r="NY14" i="1"/>
  <c r="NY22" i="1" s="1"/>
  <c r="MI7" i="1"/>
  <c r="MI15" i="1" s="1"/>
  <c r="PP11" i="1"/>
  <c r="PP19" i="1" s="1"/>
  <c r="MI12" i="1"/>
  <c r="MI20" i="1" s="1"/>
  <c r="PL9" i="1"/>
  <c r="PL17" i="1" s="1"/>
  <c r="PL8" i="1"/>
  <c r="PL16" i="1" s="1"/>
  <c r="MI13" i="1"/>
  <c r="MI21" i="1" s="1"/>
  <c r="MI14" i="1"/>
  <c r="MI22" i="1" s="1"/>
  <c r="CP8" i="1"/>
  <c r="CP16" i="1" s="1"/>
  <c r="NY7" i="1"/>
  <c r="NY15" i="1" s="1"/>
  <c r="DL9" i="1"/>
  <c r="DL17" i="1" s="1"/>
  <c r="CP9" i="1"/>
  <c r="CP17" i="1" s="1"/>
  <c r="DL11" i="1"/>
  <c r="DL19" i="1" s="1"/>
  <c r="CP13" i="1"/>
  <c r="CP21" i="1" s="1"/>
  <c r="NY8" i="1"/>
  <c r="NY16" i="1" s="1"/>
  <c r="NY11" i="1"/>
  <c r="NY19" i="1" s="1"/>
  <c r="PP10" i="1"/>
  <c r="PP18" i="1" s="1"/>
  <c r="CP7" i="1"/>
  <c r="CP15" i="1" s="1"/>
  <c r="DL8" i="1"/>
  <c r="DL16" i="1" s="1"/>
  <c r="CP11" i="1"/>
  <c r="CP19" i="1" s="1"/>
  <c r="PP7" i="1"/>
  <c r="PP15" i="1" s="1"/>
  <c r="NY10" i="1"/>
  <c r="NY18" i="1" s="1"/>
  <c r="MB11" i="1"/>
  <c r="MB19" i="1" s="1"/>
  <c r="CQ10" i="1"/>
  <c r="CQ18" i="1" s="1"/>
  <c r="CP10" i="1"/>
  <c r="CP18" i="1" s="1"/>
  <c r="DL10" i="1"/>
  <c r="DL18" i="1" s="1"/>
  <c r="CP14" i="1"/>
  <c r="CP22" i="1" s="1"/>
  <c r="PP9" i="1"/>
  <c r="PP17" i="1" s="1"/>
  <c r="NY12" i="1"/>
  <c r="NY20" i="1" s="1"/>
  <c r="QF13" i="1"/>
  <c r="QF21" i="1" s="1"/>
  <c r="QF10" i="1"/>
  <c r="QF18" i="1" s="1"/>
  <c r="QF9" i="1"/>
  <c r="QF17" i="1" s="1"/>
  <c r="QF14" i="1"/>
  <c r="QF22" i="1" s="1"/>
  <c r="QF12" i="1"/>
  <c r="QF20" i="1" s="1"/>
  <c r="QF8" i="1"/>
  <c r="QF16" i="1" s="1"/>
  <c r="QG6" i="1"/>
  <c r="QF11" i="1"/>
  <c r="QF19" i="1" s="1"/>
  <c r="QF7" i="1"/>
  <c r="QF15" i="1" s="1"/>
  <c r="O12" i="1"/>
  <c r="O20" i="1" s="1"/>
  <c r="O14" i="1"/>
  <c r="O22" i="1" s="1"/>
  <c r="O13" i="1"/>
  <c r="O21" i="1" s="1"/>
  <c r="O11" i="1"/>
  <c r="O19" i="1" s="1"/>
  <c r="O9" i="1"/>
  <c r="O17" i="1" s="1"/>
  <c r="O10" i="1"/>
  <c r="O18" i="1" s="1"/>
  <c r="O7" i="1"/>
  <c r="O15" i="1" s="1"/>
  <c r="O8" i="1"/>
  <c r="O16" i="1" s="1"/>
  <c r="HS6" i="1"/>
  <c r="HY6" i="1"/>
  <c r="N25" i="1"/>
  <c r="AT25" i="1"/>
  <c r="QN10" i="1"/>
  <c r="QN18" i="1" s="1"/>
  <c r="M12" i="1"/>
  <c r="M20" i="1" s="1"/>
  <c r="M11" i="1"/>
  <c r="M19" i="1" s="1"/>
  <c r="M14" i="1"/>
  <c r="M22" i="1" s="1"/>
  <c r="M8" i="1"/>
  <c r="M16" i="1" s="1"/>
  <c r="M10" i="1"/>
  <c r="M18" i="1" s="1"/>
  <c r="M9" i="1"/>
  <c r="M17" i="1" s="1"/>
  <c r="TP6" i="1"/>
  <c r="FJ6" i="1"/>
  <c r="FL6" i="1" s="1"/>
  <c r="EG6" i="1"/>
  <c r="EK6" i="1" s="1"/>
  <c r="AT6" i="1"/>
  <c r="QU6" i="1"/>
  <c r="QC10" i="1"/>
  <c r="QC18" i="1" s="1"/>
  <c r="QS6" i="1"/>
  <c r="O24" i="1"/>
  <c r="P24" i="1" s="1"/>
  <c r="SW6" i="1"/>
  <c r="QC6" i="1"/>
  <c r="M13" i="1"/>
  <c r="M21" i="1" s="1"/>
  <c r="FM6" i="1"/>
  <c r="AU6" i="1"/>
  <c r="QT6" i="1"/>
  <c r="QE6" i="1"/>
  <c r="QN6" i="1"/>
  <c r="M7" i="1"/>
  <c r="M15" i="1" s="1"/>
  <c r="RR6" i="1"/>
  <c r="UF6" i="1"/>
  <c r="IL6" i="1"/>
  <c r="HC6" i="1"/>
  <c r="FP6" i="1"/>
  <c r="HU5" i="1"/>
  <c r="FG5" i="1"/>
  <c r="N6" i="1"/>
  <c r="HZ6" i="1" s="1"/>
  <c r="SB14" i="1"/>
  <c r="SB22" i="1" s="1"/>
  <c r="SB13" i="1"/>
  <c r="SB21" i="1" s="1"/>
  <c r="SB9" i="1"/>
  <c r="SB17" i="1" s="1"/>
  <c r="SB12" i="1"/>
  <c r="SB20" i="1" s="1"/>
  <c r="SB11" i="1"/>
  <c r="SB19" i="1" s="1"/>
  <c r="SB10" i="1"/>
  <c r="SB18" i="1" s="1"/>
  <c r="SB7" i="1"/>
  <c r="SB15" i="1" s="1"/>
  <c r="SB8" i="1"/>
  <c r="SB16" i="1" s="1"/>
  <c r="PH10" i="1"/>
  <c r="PH18" i="1" s="1"/>
  <c r="PH8" i="1"/>
  <c r="PH16" i="1" s="1"/>
  <c r="PH7" i="1"/>
  <c r="PH15" i="1" s="1"/>
  <c r="AW21" i="1"/>
  <c r="A13" i="1"/>
  <c r="A21" i="1" s="1"/>
  <c r="TG14" i="1"/>
  <c r="TG22" i="1" s="1"/>
  <c r="TG13" i="1"/>
  <c r="TG21" i="1" s="1"/>
  <c r="TG12" i="1"/>
  <c r="TG20" i="1" s="1"/>
  <c r="TG7" i="1"/>
  <c r="TG15" i="1" s="1"/>
  <c r="TG10" i="1"/>
  <c r="TG18" i="1" s="1"/>
  <c r="TG9" i="1"/>
  <c r="TG17" i="1" s="1"/>
  <c r="TG8" i="1"/>
  <c r="TG16" i="1" s="1"/>
  <c r="TG11" i="1"/>
  <c r="TG19" i="1" s="1"/>
  <c r="TY13" i="1"/>
  <c r="TY21" i="1" s="1"/>
  <c r="TY14" i="1"/>
  <c r="TY22" i="1" s="1"/>
  <c r="TY9" i="1"/>
  <c r="TY17" i="1" s="1"/>
  <c r="TY12" i="1"/>
  <c r="TY20" i="1" s="1"/>
  <c r="TY8" i="1"/>
  <c r="TY16" i="1" s="1"/>
  <c r="TY7" i="1"/>
  <c r="TY15" i="1" s="1"/>
  <c r="TY10" i="1"/>
  <c r="TY18" i="1" s="1"/>
  <c r="TY11" i="1"/>
  <c r="TY19" i="1" s="1"/>
  <c r="SH14" i="1"/>
  <c r="SH22" i="1" s="1"/>
  <c r="SH10" i="1"/>
  <c r="SH18" i="1" s="1"/>
  <c r="SH12" i="1"/>
  <c r="SH20" i="1" s="1"/>
  <c r="SH7" i="1"/>
  <c r="SH15" i="1" s="1"/>
  <c r="SH13" i="1"/>
  <c r="SH21" i="1" s="1"/>
  <c r="SH11" i="1"/>
  <c r="SH19" i="1" s="1"/>
  <c r="SH9" i="1"/>
  <c r="SH17" i="1" s="1"/>
  <c r="SH8" i="1"/>
  <c r="SH16" i="1" s="1"/>
  <c r="RJ10" i="1"/>
  <c r="RJ18" i="1" s="1"/>
  <c r="RJ9" i="1"/>
  <c r="RJ17" i="1" s="1"/>
  <c r="RP6" i="1"/>
  <c r="RM6" i="1"/>
  <c r="RK6" i="1"/>
  <c r="RO6" i="1"/>
  <c r="RN6" i="1"/>
  <c r="RL6" i="1"/>
  <c r="NW12" i="1"/>
  <c r="NW20" i="1" s="1"/>
  <c r="NW13" i="1"/>
  <c r="NW21" i="1" s="1"/>
  <c r="NW8" i="1"/>
  <c r="NW16" i="1" s="1"/>
  <c r="NW10" i="1"/>
  <c r="NW18" i="1" s="1"/>
  <c r="NW14" i="1"/>
  <c r="NW22" i="1" s="1"/>
  <c r="NW11" i="1"/>
  <c r="NW19" i="1" s="1"/>
  <c r="NW7" i="1"/>
  <c r="NW15" i="1" s="1"/>
  <c r="SJ10" i="1"/>
  <c r="SJ18" i="1" s="1"/>
  <c r="SJ9" i="1"/>
  <c r="SJ17" i="1" s="1"/>
  <c r="SO6" i="1"/>
  <c r="SN6" i="1"/>
  <c r="SK6" i="1"/>
  <c r="SP6" i="1"/>
  <c r="SM6" i="1"/>
  <c r="SL6" i="1"/>
  <c r="BD14" i="1"/>
  <c r="BD22" i="1" s="1"/>
  <c r="BD11" i="1"/>
  <c r="BD19" i="1" s="1"/>
  <c r="BD12" i="1"/>
  <c r="BD20" i="1" s="1"/>
  <c r="BD13" i="1"/>
  <c r="BD21" i="1" s="1"/>
  <c r="BD10" i="1"/>
  <c r="BD18" i="1" s="1"/>
  <c r="BD9" i="1"/>
  <c r="BD17" i="1" s="1"/>
  <c r="BD7" i="1"/>
  <c r="BD15" i="1" s="1"/>
  <c r="BD8" i="1"/>
  <c r="BD16" i="1" s="1"/>
  <c r="AW20" i="1"/>
  <c r="A12" i="1"/>
  <c r="A20" i="1" s="1"/>
  <c r="UE14" i="1"/>
  <c r="UE22" i="1" s="1"/>
  <c r="UE11" i="1"/>
  <c r="UE19" i="1" s="1"/>
  <c r="UE12" i="1"/>
  <c r="UE20" i="1" s="1"/>
  <c r="UE10" i="1"/>
  <c r="UE18" i="1" s="1"/>
  <c r="UE7" i="1"/>
  <c r="UE15" i="1" s="1"/>
  <c r="UE9" i="1"/>
  <c r="UE17" i="1" s="1"/>
  <c r="UE8" i="1"/>
  <c r="UE16" i="1" s="1"/>
  <c r="UE13" i="1"/>
  <c r="UE21" i="1" s="1"/>
  <c r="RG14" i="1"/>
  <c r="RG22" i="1" s="1"/>
  <c r="RG11" i="1"/>
  <c r="RG19" i="1" s="1"/>
  <c r="RG13" i="1"/>
  <c r="RG21" i="1" s="1"/>
  <c r="RG10" i="1"/>
  <c r="RG18" i="1" s="1"/>
  <c r="RG12" i="1"/>
  <c r="RG20" i="1" s="1"/>
  <c r="RG8" i="1"/>
  <c r="RG16" i="1" s="1"/>
  <c r="RG9" i="1"/>
  <c r="RG17" i="1" s="1"/>
  <c r="RG7" i="1"/>
  <c r="RG15" i="1" s="1"/>
  <c r="TF14" i="1"/>
  <c r="TF22" i="1" s="1"/>
  <c r="TF10" i="1"/>
  <c r="TF18" i="1" s="1"/>
  <c r="TF12" i="1"/>
  <c r="TF20" i="1" s="1"/>
  <c r="TF11" i="1"/>
  <c r="TF19" i="1" s="1"/>
  <c r="TF7" i="1"/>
  <c r="TF15" i="1" s="1"/>
  <c r="TF8" i="1"/>
  <c r="TF16" i="1" s="1"/>
  <c r="TF13" i="1"/>
  <c r="TF21" i="1" s="1"/>
  <c r="TF9" i="1"/>
  <c r="TF17" i="1" s="1"/>
  <c r="PN14" i="1"/>
  <c r="PN22" i="1" s="1"/>
  <c r="PN10" i="1"/>
  <c r="PN18" i="1" s="1"/>
  <c r="PN13" i="1"/>
  <c r="PN21" i="1" s="1"/>
  <c r="PN12" i="1"/>
  <c r="PN20" i="1" s="1"/>
  <c r="PN9" i="1"/>
  <c r="PN17" i="1" s="1"/>
  <c r="PN7" i="1"/>
  <c r="PN15" i="1" s="1"/>
  <c r="PN8" i="1"/>
  <c r="PN16" i="1" s="1"/>
  <c r="PO6" i="1"/>
  <c r="PN11" i="1"/>
  <c r="PN19" i="1" s="1"/>
  <c r="UR14" i="1"/>
  <c r="UR22" i="1" s="1"/>
  <c r="UR11" i="1"/>
  <c r="UR19" i="1" s="1"/>
  <c r="UR10" i="1"/>
  <c r="UR18" i="1" s="1"/>
  <c r="UR12" i="1"/>
  <c r="UR20" i="1" s="1"/>
  <c r="UR7" i="1"/>
  <c r="UR15" i="1" s="1"/>
  <c r="UR9" i="1"/>
  <c r="UR17" i="1" s="1"/>
  <c r="UR8" i="1"/>
  <c r="UR16" i="1" s="1"/>
  <c r="UR13" i="1"/>
  <c r="UR21" i="1" s="1"/>
  <c r="ML11" i="1"/>
  <c r="ML19" i="1" s="1"/>
  <c r="ML12" i="1"/>
  <c r="ML20" i="1" s="1"/>
  <c r="ML13" i="1"/>
  <c r="ML21" i="1" s="1"/>
  <c r="ML10" i="1"/>
  <c r="ML18" i="1" s="1"/>
  <c r="ML14" i="1"/>
  <c r="ML22" i="1" s="1"/>
  <c r="ML8" i="1"/>
  <c r="ML16" i="1" s="1"/>
  <c r="ML7" i="1"/>
  <c r="ML15" i="1" s="1"/>
  <c r="NP14" i="1"/>
  <c r="NP22" i="1" s="1"/>
  <c r="NP12" i="1"/>
  <c r="NP20" i="1" s="1"/>
  <c r="NP11" i="1"/>
  <c r="NP19" i="1" s="1"/>
  <c r="NP10" i="1"/>
  <c r="NP18" i="1" s="1"/>
  <c r="NP8" i="1"/>
  <c r="NP16" i="1" s="1"/>
  <c r="NP7" i="1"/>
  <c r="NP15" i="1" s="1"/>
  <c r="NP13" i="1"/>
  <c r="NP21" i="1" s="1"/>
  <c r="NP9" i="1"/>
  <c r="NP17" i="1" s="1"/>
  <c r="TI11" i="1"/>
  <c r="TI19" i="1" s="1"/>
  <c r="TI12" i="1"/>
  <c r="TI20" i="1" s="1"/>
  <c r="TI13" i="1"/>
  <c r="TI21" i="1" s="1"/>
  <c r="TI14" i="1"/>
  <c r="TI22" i="1" s="1"/>
  <c r="TI8" i="1"/>
  <c r="TI16" i="1" s="1"/>
  <c r="TI10" i="1"/>
  <c r="TI18" i="1" s="1"/>
  <c r="TI9" i="1"/>
  <c r="TI17" i="1" s="1"/>
  <c r="TI7" i="1"/>
  <c r="TI15" i="1" s="1"/>
  <c r="SE14" i="1"/>
  <c r="SE22" i="1" s="1"/>
  <c r="SE13" i="1"/>
  <c r="SE21" i="1" s="1"/>
  <c r="SE11" i="1"/>
  <c r="SE19" i="1" s="1"/>
  <c r="SE12" i="1"/>
  <c r="SE20" i="1" s="1"/>
  <c r="SE9" i="1"/>
  <c r="SE17" i="1" s="1"/>
  <c r="SE8" i="1"/>
  <c r="SE16" i="1" s="1"/>
  <c r="SE10" i="1"/>
  <c r="SE18" i="1" s="1"/>
  <c r="SE7" i="1"/>
  <c r="SE15" i="1" s="1"/>
  <c r="UD14" i="1"/>
  <c r="UD22" i="1" s="1"/>
  <c r="UD10" i="1"/>
  <c r="UD18" i="1" s="1"/>
  <c r="UD12" i="1"/>
  <c r="UD20" i="1" s="1"/>
  <c r="UD13" i="1"/>
  <c r="UD21" i="1" s="1"/>
  <c r="UD11" i="1"/>
  <c r="UD19" i="1" s="1"/>
  <c r="UD8" i="1"/>
  <c r="UD16" i="1" s="1"/>
  <c r="UD7" i="1"/>
  <c r="UD15" i="1" s="1"/>
  <c r="UD9" i="1"/>
  <c r="UD17" i="1" s="1"/>
  <c r="EF13" i="1"/>
  <c r="EF21" i="1" s="1"/>
  <c r="EF9" i="1"/>
  <c r="EF17" i="1" s="1"/>
  <c r="EF11" i="1"/>
  <c r="EF19" i="1" s="1"/>
  <c r="EF10" i="1"/>
  <c r="EF18" i="1" s="1"/>
  <c r="EF14" i="1"/>
  <c r="EF22" i="1" s="1"/>
  <c r="EF12" i="1"/>
  <c r="EF20" i="1" s="1"/>
  <c r="EF8" i="1"/>
  <c r="EF16" i="1" s="1"/>
  <c r="EF7" i="1"/>
  <c r="EF15" i="1" s="1"/>
  <c r="VM13" i="1"/>
  <c r="VM21" i="1" s="1"/>
  <c r="VM14" i="1"/>
  <c r="VM22" i="1" s="1"/>
  <c r="VM12" i="1"/>
  <c r="VM20" i="1" s="1"/>
  <c r="VM10" i="1"/>
  <c r="VM18" i="1" s="1"/>
  <c r="VM9" i="1"/>
  <c r="VM17" i="1" s="1"/>
  <c r="VM7" i="1"/>
  <c r="VM15" i="1" s="1"/>
  <c r="VM11" i="1"/>
  <c r="VM19" i="1" s="1"/>
  <c r="VI6" i="1"/>
  <c r="VM8" i="1"/>
  <c r="VM16" i="1" s="1"/>
  <c r="TH10" i="1"/>
  <c r="TH18" i="1" s="1"/>
  <c r="TH11" i="1"/>
  <c r="TH19" i="1" s="1"/>
  <c r="TH13" i="1"/>
  <c r="TH21" i="1" s="1"/>
  <c r="TH14" i="1"/>
  <c r="TH22" i="1" s="1"/>
  <c r="TH9" i="1"/>
  <c r="TH17" i="1" s="1"/>
  <c r="TH12" i="1"/>
  <c r="TH20" i="1" s="1"/>
  <c r="TH7" i="1"/>
  <c r="TH15" i="1" s="1"/>
  <c r="TH8" i="1"/>
  <c r="TH16" i="1" s="1"/>
  <c r="AX11" i="1"/>
  <c r="AX19" i="1" s="1"/>
  <c r="AX12" i="1"/>
  <c r="AX20" i="1" s="1"/>
  <c r="AX13" i="1"/>
  <c r="AX21" i="1" s="1"/>
  <c r="AX14" i="1"/>
  <c r="AX22" i="1" s="1"/>
  <c r="AX10" i="1"/>
  <c r="AX18" i="1" s="1"/>
  <c r="AX9" i="1"/>
  <c r="AX17" i="1" s="1"/>
  <c r="AX7" i="1"/>
  <c r="AX15" i="1" s="1"/>
  <c r="AX8" i="1"/>
  <c r="AX16" i="1" s="1"/>
  <c r="NT10" i="1"/>
  <c r="NT18" i="1" s="1"/>
  <c r="NT14" i="1"/>
  <c r="NT22" i="1" s="1"/>
  <c r="NT11" i="1"/>
  <c r="NT19" i="1" s="1"/>
  <c r="NT12" i="1"/>
  <c r="NT20" i="1" s="1"/>
  <c r="NT13" i="1"/>
  <c r="NT21" i="1" s="1"/>
  <c r="NT9" i="1"/>
  <c r="NT17" i="1" s="1"/>
  <c r="NT7" i="1"/>
  <c r="NT15" i="1" s="1"/>
  <c r="NT8" i="1"/>
  <c r="NT16" i="1" s="1"/>
  <c r="TO14" i="1"/>
  <c r="TO22" i="1" s="1"/>
  <c r="TO13" i="1"/>
  <c r="TO21" i="1" s="1"/>
  <c r="TO10" i="1"/>
  <c r="TO18" i="1" s="1"/>
  <c r="TO11" i="1"/>
  <c r="TO19" i="1" s="1"/>
  <c r="TO9" i="1"/>
  <c r="TO17" i="1" s="1"/>
  <c r="TO8" i="1"/>
  <c r="TO16" i="1" s="1"/>
  <c r="TO7" i="1"/>
  <c r="TO15" i="1" s="1"/>
  <c r="TO12" i="1"/>
  <c r="TO20" i="1" s="1"/>
  <c r="BA13" i="1"/>
  <c r="BA21" i="1" s="1"/>
  <c r="BA9" i="1"/>
  <c r="BA17" i="1" s="1"/>
  <c r="BA10" i="1"/>
  <c r="BA18" i="1" s="1"/>
  <c r="BA14" i="1"/>
  <c r="BA22" i="1" s="1"/>
  <c r="BA11" i="1"/>
  <c r="BA19" i="1" s="1"/>
  <c r="BA7" i="1"/>
  <c r="BA15" i="1" s="1"/>
  <c r="BA12" i="1"/>
  <c r="BA20" i="1" s="1"/>
  <c r="BA8" i="1"/>
  <c r="BA16" i="1" s="1"/>
  <c r="CK13" i="1"/>
  <c r="CK21" i="1" s="1"/>
  <c r="CK14" i="1"/>
  <c r="CK22" i="1" s="1"/>
  <c r="CK12" i="1"/>
  <c r="CK20" i="1" s="1"/>
  <c r="CK9" i="1"/>
  <c r="CK17" i="1" s="1"/>
  <c r="CK10" i="1"/>
  <c r="CK18" i="1" s="1"/>
  <c r="CK11" i="1"/>
  <c r="CK19" i="1" s="1"/>
  <c r="CK7" i="1"/>
  <c r="CK15" i="1" s="1"/>
  <c r="CK8" i="1"/>
  <c r="CK16" i="1" s="1"/>
  <c r="MD14" i="1"/>
  <c r="MD22" i="1" s="1"/>
  <c r="MD13" i="1"/>
  <c r="MD21" i="1" s="1"/>
  <c r="MD11" i="1"/>
  <c r="MD19" i="1" s="1"/>
  <c r="MD12" i="1"/>
  <c r="MD20" i="1" s="1"/>
  <c r="MD10" i="1"/>
  <c r="MD18" i="1" s="1"/>
  <c r="MD7" i="1"/>
  <c r="MD15" i="1" s="1"/>
  <c r="MD8" i="1"/>
  <c r="MD16" i="1" s="1"/>
  <c r="BX13" i="1"/>
  <c r="BX21" i="1" s="1"/>
  <c r="BX9" i="1"/>
  <c r="BX17" i="1" s="1"/>
  <c r="BX10" i="1"/>
  <c r="BX18" i="1" s="1"/>
  <c r="BX11" i="1"/>
  <c r="BX19" i="1" s="1"/>
  <c r="BX14" i="1"/>
  <c r="BX22" i="1" s="1"/>
  <c r="BX12" i="1"/>
  <c r="BX20" i="1" s="1"/>
  <c r="BX8" i="1"/>
  <c r="BX16" i="1" s="1"/>
  <c r="BX7" i="1"/>
  <c r="BX15" i="1" s="1"/>
  <c r="ED11" i="1"/>
  <c r="ED19" i="1" s="1"/>
  <c r="ED12" i="1"/>
  <c r="ED20" i="1" s="1"/>
  <c r="ED13" i="1"/>
  <c r="ED21" i="1" s="1"/>
  <c r="ED10" i="1"/>
  <c r="ED18" i="1" s="1"/>
  <c r="ED7" i="1"/>
  <c r="ED15" i="1" s="1"/>
  <c r="ED14" i="1"/>
  <c r="ED22" i="1" s="1"/>
  <c r="ED8" i="1"/>
  <c r="ED16" i="1" s="1"/>
  <c r="ED9" i="1"/>
  <c r="ED17" i="1" s="1"/>
  <c r="NH10" i="1"/>
  <c r="NH18" i="1" s="1"/>
  <c r="NH11" i="1"/>
  <c r="NH19" i="1" s="1"/>
  <c r="NH14" i="1"/>
  <c r="NH22" i="1" s="1"/>
  <c r="NH12" i="1"/>
  <c r="NH20" i="1" s="1"/>
  <c r="NH13" i="1"/>
  <c r="NH21" i="1" s="1"/>
  <c r="NH7" i="1"/>
  <c r="NH15" i="1" s="1"/>
  <c r="NH8" i="1"/>
  <c r="NH16" i="1" s="1"/>
  <c r="OL14" i="1"/>
  <c r="OL22" i="1" s="1"/>
  <c r="OL13" i="1"/>
  <c r="OL21" i="1" s="1"/>
  <c r="OL12" i="1"/>
  <c r="OL20" i="1" s="1"/>
  <c r="OL11" i="1"/>
  <c r="OL19" i="1" s="1"/>
  <c r="OL10" i="1"/>
  <c r="OL18" i="1" s="1"/>
  <c r="OL9" i="1"/>
  <c r="OL17" i="1" s="1"/>
  <c r="OL7" i="1"/>
  <c r="OL15" i="1" s="1"/>
  <c r="OL8" i="1"/>
  <c r="OL16" i="1" s="1"/>
  <c r="UA14" i="1"/>
  <c r="UA22" i="1" s="1"/>
  <c r="UA13" i="1"/>
  <c r="UA21" i="1" s="1"/>
  <c r="UA10" i="1"/>
  <c r="UA18" i="1" s="1"/>
  <c r="UA11" i="1"/>
  <c r="UA19" i="1" s="1"/>
  <c r="UA8" i="1"/>
  <c r="UA16" i="1" s="1"/>
  <c r="UA12" i="1"/>
  <c r="UA20" i="1" s="1"/>
  <c r="UA9" i="1"/>
  <c r="UA17" i="1" s="1"/>
  <c r="UA7" i="1"/>
  <c r="UA15" i="1" s="1"/>
  <c r="BG14" i="1"/>
  <c r="BG22" i="1" s="1"/>
  <c r="BG13" i="1"/>
  <c r="BG21" i="1" s="1"/>
  <c r="BG12" i="1"/>
  <c r="BG20" i="1" s="1"/>
  <c r="BG11" i="1"/>
  <c r="BG19" i="1" s="1"/>
  <c r="BG7" i="1"/>
  <c r="BG15" i="1" s="1"/>
  <c r="BG8" i="1"/>
  <c r="BG16" i="1" s="1"/>
  <c r="BG10" i="1"/>
  <c r="BG18" i="1" s="1"/>
  <c r="BG9" i="1"/>
  <c r="BG17" i="1" s="1"/>
  <c r="CW14" i="1"/>
  <c r="CW22" i="1" s="1"/>
  <c r="CW13" i="1"/>
  <c r="CW21" i="1" s="1"/>
  <c r="CW9" i="1"/>
  <c r="CW17" i="1" s="1"/>
  <c r="CW10" i="1"/>
  <c r="CW18" i="1" s="1"/>
  <c r="CW12" i="1"/>
  <c r="CW20" i="1" s="1"/>
  <c r="CW7" i="1"/>
  <c r="CW15" i="1" s="1"/>
  <c r="CW8" i="1"/>
  <c r="CW16" i="1" s="1"/>
  <c r="CW11" i="1"/>
  <c r="CW19" i="1" s="1"/>
  <c r="BJ11" i="1"/>
  <c r="BJ19" i="1" s="1"/>
  <c r="BJ12" i="1"/>
  <c r="BJ20" i="1" s="1"/>
  <c r="BJ13" i="1"/>
  <c r="BJ21" i="1" s="1"/>
  <c r="BJ10" i="1"/>
  <c r="BJ18" i="1" s="1"/>
  <c r="BJ14" i="1"/>
  <c r="BJ22" i="1" s="1"/>
  <c r="BJ7" i="1"/>
  <c r="BJ15" i="1" s="1"/>
  <c r="BJ8" i="1"/>
  <c r="BJ16" i="1" s="1"/>
  <c r="BJ9" i="1"/>
  <c r="BJ17" i="1" s="1"/>
  <c r="UZ6" i="1"/>
  <c r="UZ10" i="1" s="1"/>
  <c r="UZ18" i="1" s="1"/>
  <c r="JS6" i="1"/>
  <c r="UY6" i="1"/>
  <c r="UY10" i="1" s="1"/>
  <c r="UY18" i="1" s="1"/>
  <c r="UV10" i="1"/>
  <c r="UV18" i="1" s="1"/>
  <c r="UW6" i="1"/>
  <c r="JP6" i="1"/>
  <c r="UX6" i="1"/>
  <c r="UX10" i="1" s="1"/>
  <c r="UX18" i="1" s="1"/>
  <c r="AB6" i="1"/>
  <c r="UU11" i="1"/>
  <c r="UU19" i="1" s="1"/>
  <c r="UU12" i="1"/>
  <c r="UU20" i="1" s="1"/>
  <c r="UU13" i="1"/>
  <c r="UU21" i="1" s="1"/>
  <c r="UU9" i="1"/>
  <c r="UU17" i="1" s="1"/>
  <c r="UU14" i="1"/>
  <c r="UU22" i="1" s="1"/>
  <c r="UU10" i="1"/>
  <c r="UU18" i="1" s="1"/>
  <c r="UU8" i="1"/>
  <c r="UU16" i="1" s="1"/>
  <c r="UU7" i="1"/>
  <c r="UU15" i="1" s="1"/>
  <c r="EA14" i="1"/>
  <c r="EA22" i="1" s="1"/>
  <c r="EA13" i="1"/>
  <c r="EA21" i="1" s="1"/>
  <c r="EA12" i="1"/>
  <c r="EA20" i="1" s="1"/>
  <c r="EA11" i="1"/>
  <c r="EA19" i="1" s="1"/>
  <c r="EA7" i="1"/>
  <c r="EA15" i="1" s="1"/>
  <c r="EA8" i="1"/>
  <c r="EA16" i="1" s="1"/>
  <c r="EA10" i="1"/>
  <c r="EA18" i="1" s="1"/>
  <c r="EA9" i="1"/>
  <c r="EA17" i="1" s="1"/>
  <c r="PU9" i="1"/>
  <c r="PU17" i="1" s="1"/>
  <c r="PU8" i="1"/>
  <c r="PU16" i="1" s="1"/>
  <c r="PZ6" i="1"/>
  <c r="PY6" i="1"/>
  <c r="PX6" i="1"/>
  <c r="PW6" i="1"/>
  <c r="PU7" i="1"/>
  <c r="PU15" i="1" s="1"/>
  <c r="UJ6" i="1"/>
  <c r="PU10" i="1"/>
  <c r="PU18" i="1" s="1"/>
  <c r="QA6" i="1"/>
  <c r="QB6" i="1"/>
  <c r="PV6" i="1"/>
  <c r="OE14" i="1"/>
  <c r="OE22" i="1" s="1"/>
  <c r="OE13" i="1"/>
  <c r="OE21" i="1" s="1"/>
  <c r="OE11" i="1"/>
  <c r="OE19" i="1" s="1"/>
  <c r="OE12" i="1"/>
  <c r="OE20" i="1" s="1"/>
  <c r="OE8" i="1"/>
  <c r="OE16" i="1" s="1"/>
  <c r="OE7" i="1"/>
  <c r="OE15" i="1" s="1"/>
  <c r="OE9" i="1"/>
  <c r="OE17" i="1" s="1"/>
  <c r="OE10" i="1"/>
  <c r="OE18" i="1" s="1"/>
  <c r="RD14" i="1"/>
  <c r="RD22" i="1" s="1"/>
  <c r="RD13" i="1"/>
  <c r="RD21" i="1" s="1"/>
  <c r="RD12" i="1"/>
  <c r="RD20" i="1" s="1"/>
  <c r="RD9" i="1"/>
  <c r="RD17" i="1" s="1"/>
  <c r="RD10" i="1"/>
  <c r="RD18" i="1" s="1"/>
  <c r="RD8" i="1"/>
  <c r="RD16" i="1" s="1"/>
  <c r="RD11" i="1"/>
  <c r="RD19" i="1" s="1"/>
  <c r="RD7" i="1"/>
  <c r="RD15" i="1" s="1"/>
  <c r="RH12" i="1"/>
  <c r="RH20" i="1" s="1"/>
  <c r="RH11" i="1"/>
  <c r="RH19" i="1" s="1"/>
  <c r="RH13" i="1"/>
  <c r="RH21" i="1" s="1"/>
  <c r="RH10" i="1"/>
  <c r="RH18" i="1" s="1"/>
  <c r="RH9" i="1"/>
  <c r="RH17" i="1" s="1"/>
  <c r="RH7" i="1"/>
  <c r="RH15" i="1" s="1"/>
  <c r="RH14" i="1"/>
  <c r="RH22" i="1" s="1"/>
  <c r="RH8" i="1"/>
  <c r="RH16" i="1" s="1"/>
  <c r="TN14" i="1"/>
  <c r="TN22" i="1" s="1"/>
  <c r="TN13" i="1"/>
  <c r="TN21" i="1" s="1"/>
  <c r="TN10" i="1"/>
  <c r="TN18" i="1" s="1"/>
  <c r="TN12" i="1"/>
  <c r="TN20" i="1" s="1"/>
  <c r="TN11" i="1"/>
  <c r="TN19" i="1" s="1"/>
  <c r="TN9" i="1"/>
  <c r="TN17" i="1" s="1"/>
  <c r="TN7" i="1"/>
  <c r="TN15" i="1" s="1"/>
  <c r="TN8" i="1"/>
  <c r="TN16" i="1" s="1"/>
  <c r="KN10" i="1"/>
  <c r="KN18" i="1" s="1"/>
  <c r="KN14" i="1"/>
  <c r="KN22" i="1" s="1"/>
  <c r="KN11" i="1"/>
  <c r="KN19" i="1" s="1"/>
  <c r="KN12" i="1"/>
  <c r="KN20" i="1" s="1"/>
  <c r="KN13" i="1"/>
  <c r="KN21" i="1" s="1"/>
  <c r="KN9" i="1"/>
  <c r="KN17" i="1" s="1"/>
  <c r="KN7" i="1"/>
  <c r="KN15" i="1" s="1"/>
  <c r="KN8" i="1"/>
  <c r="KN16" i="1" s="1"/>
  <c r="OF10" i="1"/>
  <c r="OF18" i="1" s="1"/>
  <c r="OF11" i="1"/>
  <c r="OF19" i="1" s="1"/>
  <c r="OF14" i="1"/>
  <c r="OF22" i="1" s="1"/>
  <c r="OF12" i="1"/>
  <c r="OF20" i="1" s="1"/>
  <c r="OF13" i="1"/>
  <c r="OF21" i="1" s="1"/>
  <c r="OF9" i="1"/>
  <c r="OF17" i="1" s="1"/>
  <c r="OF8" i="1"/>
  <c r="OF16" i="1" s="1"/>
  <c r="OF7" i="1"/>
  <c r="OF15" i="1" s="1"/>
  <c r="CV14" i="1"/>
  <c r="CV22" i="1" s="1"/>
  <c r="CV13" i="1"/>
  <c r="CV21" i="1" s="1"/>
  <c r="CV9" i="1"/>
  <c r="CV17" i="1" s="1"/>
  <c r="CV10" i="1"/>
  <c r="CV18" i="1" s="1"/>
  <c r="CV11" i="1"/>
  <c r="CV19" i="1" s="1"/>
  <c r="CV8" i="1"/>
  <c r="CV16" i="1" s="1"/>
  <c r="CV12" i="1"/>
  <c r="CV20" i="1" s="1"/>
  <c r="CV7" i="1"/>
  <c r="CV15" i="1" s="1"/>
  <c r="CN14" i="1"/>
  <c r="CN22" i="1" s="1"/>
  <c r="CN11" i="1"/>
  <c r="CN19" i="1" s="1"/>
  <c r="CN13" i="1"/>
  <c r="CN21" i="1" s="1"/>
  <c r="CN12" i="1"/>
  <c r="CN20" i="1" s="1"/>
  <c r="CN10" i="1"/>
  <c r="CN18" i="1" s="1"/>
  <c r="CN7" i="1"/>
  <c r="CN15" i="1" s="1"/>
  <c r="CN8" i="1"/>
  <c r="CN16" i="1" s="1"/>
  <c r="CN9" i="1"/>
  <c r="CN17" i="1" s="1"/>
  <c r="ES13" i="1"/>
  <c r="ES21" i="1" s="1"/>
  <c r="ES9" i="1"/>
  <c r="ES17" i="1" s="1"/>
  <c r="ES11" i="1"/>
  <c r="ES19" i="1" s="1"/>
  <c r="ES10" i="1"/>
  <c r="ES18" i="1" s="1"/>
  <c r="ES12" i="1"/>
  <c r="ES20" i="1" s="1"/>
  <c r="EW6" i="1"/>
  <c r="ES14" i="1"/>
  <c r="ES22" i="1" s="1"/>
  <c r="EU6" i="1"/>
  <c r="ES7" i="1"/>
  <c r="ES15" i="1" s="1"/>
  <c r="EV6" i="1"/>
  <c r="ES8" i="1"/>
  <c r="ES16" i="1" s="1"/>
  <c r="ET6" i="1"/>
  <c r="SD14" i="1"/>
  <c r="SD22" i="1" s="1"/>
  <c r="SD13" i="1"/>
  <c r="SD21" i="1" s="1"/>
  <c r="SD12" i="1"/>
  <c r="SD20" i="1" s="1"/>
  <c r="SD11" i="1"/>
  <c r="SD19" i="1" s="1"/>
  <c r="SD9" i="1"/>
  <c r="SD17" i="1" s="1"/>
  <c r="SD8" i="1"/>
  <c r="SD16" i="1" s="1"/>
  <c r="SD10" i="1"/>
  <c r="SD18" i="1" s="1"/>
  <c r="SD7" i="1"/>
  <c r="SD15" i="1" s="1"/>
  <c r="G24" i="1"/>
  <c r="G14" i="1"/>
  <c r="G22" i="1" s="1"/>
  <c r="G10" i="1"/>
  <c r="G18" i="1" s="1"/>
  <c r="G13" i="1"/>
  <c r="G21" i="1" s="1"/>
  <c r="G11" i="1"/>
  <c r="G19" i="1" s="1"/>
  <c r="G8" i="1"/>
  <c r="G16" i="1" s="1"/>
  <c r="HX6" i="1"/>
  <c r="G12" i="1"/>
  <c r="G20" i="1" s="1"/>
  <c r="G7" i="1"/>
  <c r="G15" i="1" s="1"/>
  <c r="G9" i="1"/>
  <c r="G17" i="1" s="1"/>
  <c r="AH6" i="1"/>
  <c r="FS10" i="1"/>
  <c r="FS18" i="1" s="1"/>
  <c r="FS8" i="1"/>
  <c r="FS16" i="1" s="1"/>
  <c r="FS7" i="1"/>
  <c r="FS15" i="1" s="1"/>
  <c r="FT6" i="1"/>
  <c r="NJ11" i="1"/>
  <c r="NJ19" i="1" s="1"/>
  <c r="NJ12" i="1"/>
  <c r="NJ20" i="1" s="1"/>
  <c r="NJ13" i="1"/>
  <c r="NJ21" i="1" s="1"/>
  <c r="NJ14" i="1"/>
  <c r="NJ22" i="1" s="1"/>
  <c r="NJ10" i="1"/>
  <c r="NJ18" i="1" s="1"/>
  <c r="NJ7" i="1"/>
  <c r="NJ15" i="1" s="1"/>
  <c r="NJ8" i="1"/>
  <c r="NJ16" i="1" s="1"/>
  <c r="OH11" i="1"/>
  <c r="OH19" i="1" s="1"/>
  <c r="OH12" i="1"/>
  <c r="OH20" i="1" s="1"/>
  <c r="OH13" i="1"/>
  <c r="OH21" i="1" s="1"/>
  <c r="OH9" i="1"/>
  <c r="OH17" i="1" s="1"/>
  <c r="OH14" i="1"/>
  <c r="OH22" i="1" s="1"/>
  <c r="OH10" i="1"/>
  <c r="OH18" i="1" s="1"/>
  <c r="OH7" i="1"/>
  <c r="OH15" i="1" s="1"/>
  <c r="OH8" i="1"/>
  <c r="OH16" i="1" s="1"/>
  <c r="TL14" i="1"/>
  <c r="TL22" i="1" s="1"/>
  <c r="TL13" i="1"/>
  <c r="TL21" i="1" s="1"/>
  <c r="TL9" i="1"/>
  <c r="TL17" i="1" s="1"/>
  <c r="TL10" i="1"/>
  <c r="TL18" i="1" s="1"/>
  <c r="TL8" i="1"/>
  <c r="TL16" i="1" s="1"/>
  <c r="TL12" i="1"/>
  <c r="TL20" i="1" s="1"/>
  <c r="TL7" i="1"/>
  <c r="TL15" i="1" s="1"/>
  <c r="TL11" i="1"/>
  <c r="TL19" i="1" s="1"/>
  <c r="UB13" i="1"/>
  <c r="UB21" i="1" s="1"/>
  <c r="UB14" i="1"/>
  <c r="UB22" i="1" s="1"/>
  <c r="UB12" i="1"/>
  <c r="UB20" i="1" s="1"/>
  <c r="UB10" i="1"/>
  <c r="UB18" i="1" s="1"/>
  <c r="UB8" i="1"/>
  <c r="UB16" i="1" s="1"/>
  <c r="UB7" i="1"/>
  <c r="UB15" i="1" s="1"/>
  <c r="UB9" i="1"/>
  <c r="UB17" i="1" s="1"/>
  <c r="UB11" i="1"/>
  <c r="UB19" i="1" s="1"/>
  <c r="UK8" i="1"/>
  <c r="UK16" i="1" s="1"/>
  <c r="UL6" i="1"/>
  <c r="UK10" i="1"/>
  <c r="UK18" i="1" s="1"/>
  <c r="UK7" i="1"/>
  <c r="UK15" i="1" s="1"/>
  <c r="MA12" i="1"/>
  <c r="MA20" i="1" s="1"/>
  <c r="MA13" i="1"/>
  <c r="MA21" i="1" s="1"/>
  <c r="MA14" i="1"/>
  <c r="MA22" i="1" s="1"/>
  <c r="MA8" i="1"/>
  <c r="MA16" i="1" s="1"/>
  <c r="MA11" i="1"/>
  <c r="MA19" i="1" s="1"/>
  <c r="MA10" i="1"/>
  <c r="MA18" i="1" s="1"/>
  <c r="MA7" i="1"/>
  <c r="MA15" i="1" s="1"/>
  <c r="CJ13" i="1"/>
  <c r="CJ21" i="1" s="1"/>
  <c r="CJ14" i="1"/>
  <c r="CJ22" i="1" s="1"/>
  <c r="CJ12" i="1"/>
  <c r="CJ20" i="1" s="1"/>
  <c r="CJ9" i="1"/>
  <c r="CJ17" i="1" s="1"/>
  <c r="CJ10" i="1"/>
  <c r="CJ18" i="1" s="1"/>
  <c r="CJ11" i="1"/>
  <c r="CJ19" i="1" s="1"/>
  <c r="CJ8" i="1"/>
  <c r="CJ16" i="1" s="1"/>
  <c r="CJ7" i="1"/>
  <c r="CJ15" i="1" s="1"/>
  <c r="OB14" i="1"/>
  <c r="OB22" i="1" s="1"/>
  <c r="OB12" i="1"/>
  <c r="OB20" i="1" s="1"/>
  <c r="OB10" i="1"/>
  <c r="OB18" i="1" s="1"/>
  <c r="OB13" i="1"/>
  <c r="OB21" i="1" s="1"/>
  <c r="OB11" i="1"/>
  <c r="OB19" i="1" s="1"/>
  <c r="OB8" i="1"/>
  <c r="OB16" i="1" s="1"/>
  <c r="OB7" i="1"/>
  <c r="OB15" i="1" s="1"/>
  <c r="UT11" i="1"/>
  <c r="UT19" i="1" s="1"/>
  <c r="UT12" i="1"/>
  <c r="UT20" i="1" s="1"/>
  <c r="UT14" i="1"/>
  <c r="UT22" i="1" s="1"/>
  <c r="UT10" i="1"/>
  <c r="UT18" i="1" s="1"/>
  <c r="UT8" i="1"/>
  <c r="UT16" i="1" s="1"/>
  <c r="UT13" i="1"/>
  <c r="UT21" i="1" s="1"/>
  <c r="UT9" i="1"/>
  <c r="UT17" i="1" s="1"/>
  <c r="UT7" i="1"/>
  <c r="UT15" i="1" s="1"/>
  <c r="LC12" i="1"/>
  <c r="LC20" i="1" s="1"/>
  <c r="LC13" i="1"/>
  <c r="LC21" i="1" s="1"/>
  <c r="LC8" i="1"/>
  <c r="LC16" i="1" s="1"/>
  <c r="LC14" i="1"/>
  <c r="LC22" i="1" s="1"/>
  <c r="LC10" i="1"/>
  <c r="LC18" i="1" s="1"/>
  <c r="LC11" i="1"/>
  <c r="LC19" i="1" s="1"/>
  <c r="LE6" i="1"/>
  <c r="LD6" i="1"/>
  <c r="KJ6" i="1"/>
  <c r="LC7" i="1"/>
  <c r="LC15" i="1" s="1"/>
  <c r="FU6" i="1"/>
  <c r="FY12" i="1"/>
  <c r="FY20" i="1" s="1"/>
  <c r="FY14" i="1"/>
  <c r="FY22" i="1" s="1"/>
  <c r="FY13" i="1"/>
  <c r="FY21" i="1" s="1"/>
  <c r="FY11" i="1"/>
  <c r="FY19" i="1" s="1"/>
  <c r="FY8" i="1"/>
  <c r="FY16" i="1" s="1"/>
  <c r="FY10" i="1"/>
  <c r="FY18" i="1" s="1"/>
  <c r="FY9" i="1"/>
  <c r="FY17" i="1" s="1"/>
  <c r="FY7" i="1"/>
  <c r="FY15" i="1" s="1"/>
  <c r="NM14" i="1"/>
  <c r="NM22" i="1" s="1"/>
  <c r="NM13" i="1"/>
  <c r="NM21" i="1" s="1"/>
  <c r="NM10" i="1"/>
  <c r="NM18" i="1" s="1"/>
  <c r="NM12" i="1"/>
  <c r="NM20" i="1" s="1"/>
  <c r="NM11" i="1"/>
  <c r="NM19" i="1" s="1"/>
  <c r="NM8" i="1"/>
  <c r="NM16" i="1" s="1"/>
  <c r="NM7" i="1"/>
  <c r="NM15" i="1" s="1"/>
  <c r="NN6" i="1"/>
  <c r="SR9" i="1"/>
  <c r="SR17" i="1" s="1"/>
  <c r="SR10" i="1"/>
  <c r="SR18" i="1" s="1"/>
  <c r="MM12" i="1"/>
  <c r="MM20" i="1" s="1"/>
  <c r="MM13" i="1"/>
  <c r="MM21" i="1" s="1"/>
  <c r="MM14" i="1"/>
  <c r="MM22" i="1" s="1"/>
  <c r="MM8" i="1"/>
  <c r="MM16" i="1" s="1"/>
  <c r="MM10" i="1"/>
  <c r="MM18" i="1" s="1"/>
  <c r="MM11" i="1"/>
  <c r="MM19" i="1" s="1"/>
  <c r="MP6" i="1"/>
  <c r="MQ6" i="1"/>
  <c r="MO6" i="1"/>
  <c r="MN6" i="1"/>
  <c r="MM7" i="1"/>
  <c r="MM15" i="1" s="1"/>
  <c r="OI12" i="1"/>
  <c r="OI20" i="1" s="1"/>
  <c r="OI13" i="1"/>
  <c r="OI21" i="1" s="1"/>
  <c r="OI8" i="1"/>
  <c r="OI16" i="1" s="1"/>
  <c r="OI11" i="1"/>
  <c r="OI19" i="1" s="1"/>
  <c r="OI9" i="1"/>
  <c r="OI17" i="1" s="1"/>
  <c r="OI14" i="1"/>
  <c r="OI22" i="1" s="1"/>
  <c r="OI10" i="1"/>
  <c r="OI18" i="1" s="1"/>
  <c r="OI7" i="1"/>
  <c r="OI15" i="1" s="1"/>
  <c r="CZ12" i="1"/>
  <c r="CZ20" i="1" s="1"/>
  <c r="CZ13" i="1"/>
  <c r="CZ21" i="1" s="1"/>
  <c r="CZ11" i="1"/>
  <c r="CZ19" i="1" s="1"/>
  <c r="CZ10" i="1"/>
  <c r="CZ18" i="1" s="1"/>
  <c r="CZ7" i="1"/>
  <c r="CZ15" i="1" s="1"/>
  <c r="CZ8" i="1"/>
  <c r="CZ16" i="1" s="1"/>
  <c r="CZ9" i="1"/>
  <c r="CZ17" i="1" s="1"/>
  <c r="CZ14" i="1"/>
  <c r="CZ22" i="1" s="1"/>
  <c r="KE8" i="1"/>
  <c r="KE16" i="1" s="1"/>
  <c r="KE10" i="1"/>
  <c r="KE18" i="1" s="1"/>
  <c r="KE7" i="1"/>
  <c r="KE15" i="1" s="1"/>
  <c r="CT11" i="1"/>
  <c r="CT19" i="1" s="1"/>
  <c r="CT12" i="1"/>
  <c r="CT20" i="1" s="1"/>
  <c r="CT14" i="1"/>
  <c r="CT22" i="1" s="1"/>
  <c r="CT13" i="1"/>
  <c r="CT21" i="1" s="1"/>
  <c r="CT10" i="1"/>
  <c r="CT18" i="1" s="1"/>
  <c r="CT9" i="1"/>
  <c r="CT17" i="1" s="1"/>
  <c r="CT7" i="1"/>
  <c r="CT15" i="1" s="1"/>
  <c r="CT8" i="1"/>
  <c r="CT16" i="1" s="1"/>
  <c r="MR12" i="1"/>
  <c r="MR20" i="1" s="1"/>
  <c r="MR14" i="1"/>
  <c r="MR22" i="1" s="1"/>
  <c r="MR11" i="1"/>
  <c r="MR19" i="1" s="1"/>
  <c r="MR7" i="1"/>
  <c r="MR15" i="1" s="1"/>
  <c r="MR10" i="1"/>
  <c r="MR18" i="1" s="1"/>
  <c r="MR13" i="1"/>
  <c r="MR21" i="1" s="1"/>
  <c r="MU6" i="1"/>
  <c r="MT6" i="1"/>
  <c r="MR8" i="1"/>
  <c r="MR16" i="1" s="1"/>
  <c r="MS6" i="1"/>
  <c r="KO8" i="1"/>
  <c r="KO16" i="1" s="1"/>
  <c r="KO10" i="1"/>
  <c r="KO18" i="1" s="1"/>
  <c r="KQ6" i="1"/>
  <c r="KP6" i="1"/>
  <c r="KF6" i="1"/>
  <c r="KO7" i="1"/>
  <c r="KO15" i="1" s="1"/>
  <c r="TK12" i="1"/>
  <c r="TK20" i="1" s="1"/>
  <c r="TK8" i="1"/>
  <c r="TK16" i="1" s="1"/>
  <c r="TK9" i="1"/>
  <c r="TK17" i="1" s="1"/>
  <c r="TK13" i="1"/>
  <c r="TK21" i="1" s="1"/>
  <c r="TK14" i="1"/>
  <c r="TK22" i="1" s="1"/>
  <c r="TK11" i="1"/>
  <c r="TK19" i="1" s="1"/>
  <c r="TK10" i="1"/>
  <c r="TK18" i="1" s="1"/>
  <c r="TK7" i="1"/>
  <c r="TK15" i="1" s="1"/>
  <c r="FI13" i="1"/>
  <c r="FI21" i="1" s="1"/>
  <c r="FI14" i="1"/>
  <c r="FI22" i="1" s="1"/>
  <c r="FI11" i="1"/>
  <c r="FI19" i="1" s="1"/>
  <c r="FI7" i="1"/>
  <c r="FI15" i="1" s="1"/>
  <c r="FI12" i="1"/>
  <c r="FI20" i="1" s="1"/>
  <c r="FI10" i="1"/>
  <c r="FI18" i="1" s="1"/>
  <c r="FI9" i="1"/>
  <c r="FI17" i="1" s="1"/>
  <c r="FI8" i="1"/>
  <c r="FI16" i="1" s="1"/>
  <c r="TZ14" i="1"/>
  <c r="TZ22" i="1" s="1"/>
  <c r="TZ13" i="1"/>
  <c r="TZ21" i="1" s="1"/>
  <c r="TZ10" i="1"/>
  <c r="TZ18" i="1" s="1"/>
  <c r="TZ12" i="1"/>
  <c r="TZ20" i="1" s="1"/>
  <c r="TZ11" i="1"/>
  <c r="TZ19" i="1" s="1"/>
  <c r="TZ7" i="1"/>
  <c r="TZ15" i="1" s="1"/>
  <c r="TZ9" i="1"/>
  <c r="TZ17" i="1" s="1"/>
  <c r="TZ8" i="1"/>
  <c r="TZ16" i="1" s="1"/>
  <c r="NK12" i="1"/>
  <c r="NK20" i="1" s="1"/>
  <c r="NK13" i="1"/>
  <c r="NK21" i="1" s="1"/>
  <c r="NK14" i="1"/>
  <c r="NK22" i="1" s="1"/>
  <c r="NK8" i="1"/>
  <c r="NK16" i="1" s="1"/>
  <c r="NK10" i="1"/>
  <c r="NK18" i="1" s="1"/>
  <c r="NK11" i="1"/>
  <c r="NK19" i="1" s="1"/>
  <c r="NK7" i="1"/>
  <c r="NK15" i="1" s="1"/>
  <c r="AW19" i="1"/>
  <c r="A11" i="1"/>
  <c r="A19" i="1" s="1"/>
  <c r="OK14" i="1"/>
  <c r="OK22" i="1" s="1"/>
  <c r="OK13" i="1"/>
  <c r="OK21" i="1" s="1"/>
  <c r="OK11" i="1"/>
  <c r="OK19" i="1" s="1"/>
  <c r="OK9" i="1"/>
  <c r="OK17" i="1" s="1"/>
  <c r="OK10" i="1"/>
  <c r="OK18" i="1" s="1"/>
  <c r="OK12" i="1"/>
  <c r="OK20" i="1" s="1"/>
  <c r="OK7" i="1"/>
  <c r="OK15" i="1" s="1"/>
  <c r="OK8" i="1"/>
  <c r="OK16" i="1" s="1"/>
  <c r="RE13" i="1"/>
  <c r="RE21" i="1" s="1"/>
  <c r="RE14" i="1"/>
  <c r="RE22" i="1" s="1"/>
  <c r="RE9" i="1"/>
  <c r="RE17" i="1" s="1"/>
  <c r="RE11" i="1"/>
  <c r="RE19" i="1" s="1"/>
  <c r="RE12" i="1"/>
  <c r="RE20" i="1" s="1"/>
  <c r="RE10" i="1"/>
  <c r="RE18" i="1" s="1"/>
  <c r="RE8" i="1"/>
  <c r="RE16" i="1" s="1"/>
  <c r="RE7" i="1"/>
  <c r="RE15" i="1" s="1"/>
  <c r="RI14" i="1"/>
  <c r="RI22" i="1" s="1"/>
  <c r="RI13" i="1"/>
  <c r="RI21" i="1" s="1"/>
  <c r="RI10" i="1"/>
  <c r="RI18" i="1" s="1"/>
  <c r="RI11" i="1"/>
  <c r="RI19" i="1" s="1"/>
  <c r="RI9" i="1"/>
  <c r="RI17" i="1" s="1"/>
  <c r="RI12" i="1"/>
  <c r="RI20" i="1" s="1"/>
  <c r="RI7" i="1"/>
  <c r="RI15" i="1" s="1"/>
  <c r="RI8" i="1"/>
  <c r="RI16" i="1" s="1"/>
  <c r="SU14" i="1"/>
  <c r="SU22" i="1" s="1"/>
  <c r="SU13" i="1"/>
  <c r="SU21" i="1" s="1"/>
  <c r="SU10" i="1"/>
  <c r="SU18" i="1" s="1"/>
  <c r="SU11" i="1"/>
  <c r="SU19" i="1" s="1"/>
  <c r="SU7" i="1"/>
  <c r="SU15" i="1" s="1"/>
  <c r="SU9" i="1"/>
  <c r="SU17" i="1" s="1"/>
  <c r="SU8" i="1"/>
  <c r="SU16" i="1" s="1"/>
  <c r="SV6" i="1"/>
  <c r="SU12" i="1"/>
  <c r="SU20" i="1" s="1"/>
  <c r="UM10" i="1"/>
  <c r="UM18" i="1" s="1"/>
  <c r="UN6" i="1"/>
  <c r="UM7" i="1"/>
  <c r="UM15" i="1" s="1"/>
  <c r="UM8" i="1"/>
  <c r="UM16" i="1" s="1"/>
  <c r="SF12" i="1"/>
  <c r="SF20" i="1" s="1"/>
  <c r="SF11" i="1"/>
  <c r="SF19" i="1" s="1"/>
  <c r="SF14" i="1"/>
  <c r="SF22" i="1" s="1"/>
  <c r="SF10" i="1"/>
  <c r="SF18" i="1" s="1"/>
  <c r="SF13" i="1"/>
  <c r="SF21" i="1" s="1"/>
  <c r="SF9" i="1"/>
  <c r="SF17" i="1" s="1"/>
  <c r="SF8" i="1"/>
  <c r="SF16" i="1" s="1"/>
  <c r="SF7" i="1"/>
  <c r="SF15" i="1" s="1"/>
  <c r="DF11" i="1"/>
  <c r="DF19" i="1" s="1"/>
  <c r="DF12" i="1"/>
  <c r="DF20" i="1" s="1"/>
  <c r="DF13" i="1"/>
  <c r="DF21" i="1" s="1"/>
  <c r="DF14" i="1"/>
  <c r="DF22" i="1" s="1"/>
  <c r="DH6" i="1"/>
  <c r="DF7" i="1"/>
  <c r="DF15" i="1" s="1"/>
  <c r="DF8" i="1"/>
  <c r="DF16" i="1" s="1"/>
  <c r="SA12" i="1"/>
  <c r="SA20" i="1" s="1"/>
  <c r="SA13" i="1"/>
  <c r="SA21" i="1" s="1"/>
  <c r="SA8" i="1"/>
  <c r="SA16" i="1" s="1"/>
  <c r="SA14" i="1"/>
  <c r="SA22" i="1" s="1"/>
  <c r="SA9" i="1"/>
  <c r="SA17" i="1" s="1"/>
  <c r="SA11" i="1"/>
  <c r="SA19" i="1" s="1"/>
  <c r="SA10" i="1"/>
  <c r="SA18" i="1" s="1"/>
  <c r="SA7" i="1"/>
  <c r="SA15" i="1" s="1"/>
  <c r="RF14" i="1"/>
  <c r="RF22" i="1" s="1"/>
  <c r="RF13" i="1"/>
  <c r="RF21" i="1" s="1"/>
  <c r="RF11" i="1"/>
  <c r="RF19" i="1" s="1"/>
  <c r="RF10" i="1"/>
  <c r="RF18" i="1" s="1"/>
  <c r="RF8" i="1"/>
  <c r="RF16" i="1" s="1"/>
  <c r="RF12" i="1"/>
  <c r="RF20" i="1" s="1"/>
  <c r="RF9" i="1"/>
  <c r="RF17" i="1" s="1"/>
  <c r="RF7" i="1"/>
  <c r="RF15" i="1" s="1"/>
  <c r="NI11" i="1"/>
  <c r="NI19" i="1" s="1"/>
  <c r="NI12" i="1"/>
  <c r="NI20" i="1" s="1"/>
  <c r="NI14" i="1"/>
  <c r="NI22" i="1" s="1"/>
  <c r="NI13" i="1"/>
  <c r="NI21" i="1" s="1"/>
  <c r="NI8" i="1"/>
  <c r="NI16" i="1" s="1"/>
  <c r="NI10" i="1"/>
  <c r="NI18" i="1" s="1"/>
  <c r="NI7" i="1"/>
  <c r="NI15" i="1" s="1"/>
  <c r="SC13" i="1"/>
  <c r="SC21" i="1" s="1"/>
  <c r="SC14" i="1"/>
  <c r="SC22" i="1" s="1"/>
  <c r="SC9" i="1"/>
  <c r="SC17" i="1" s="1"/>
  <c r="SC12" i="1"/>
  <c r="SC20" i="1" s="1"/>
  <c r="SC11" i="1"/>
  <c r="SC19" i="1" s="1"/>
  <c r="SC8" i="1"/>
  <c r="SC16" i="1" s="1"/>
  <c r="SC10" i="1"/>
  <c r="SC18" i="1" s="1"/>
  <c r="SC7" i="1"/>
  <c r="SC15" i="1" s="1"/>
  <c r="SG14" i="1"/>
  <c r="SG22" i="1" s="1"/>
  <c r="SG13" i="1"/>
  <c r="SG21" i="1" s="1"/>
  <c r="SG11" i="1"/>
  <c r="SG19" i="1" s="1"/>
  <c r="SG10" i="1"/>
  <c r="SG18" i="1" s="1"/>
  <c r="SG7" i="1"/>
  <c r="SG15" i="1" s="1"/>
  <c r="SG9" i="1"/>
  <c r="SG17" i="1" s="1"/>
  <c r="SG8" i="1"/>
  <c r="SG16" i="1" s="1"/>
  <c r="SG12" i="1"/>
  <c r="SG20" i="1" s="1"/>
  <c r="UO10" i="1"/>
  <c r="UO18" i="1" s="1"/>
  <c r="UP6" i="1"/>
  <c r="UO8" i="1"/>
  <c r="UO16" i="1" s="1"/>
  <c r="UO7" i="1"/>
  <c r="UO15" i="1" s="1"/>
  <c r="UQ6" i="1"/>
  <c r="GE14" i="1"/>
  <c r="GE22" i="1" s="1"/>
  <c r="GE10" i="1"/>
  <c r="GE18" i="1" s="1"/>
  <c r="GE12" i="1"/>
  <c r="GE20" i="1" s="1"/>
  <c r="GE11" i="1"/>
  <c r="GE19" i="1" s="1"/>
  <c r="GE13" i="1"/>
  <c r="GE21" i="1" s="1"/>
  <c r="GE9" i="1"/>
  <c r="GE17" i="1" s="1"/>
  <c r="GF6" i="1"/>
  <c r="GI6" i="1" s="1"/>
  <c r="GE8" i="1"/>
  <c r="GE16" i="1" s="1"/>
  <c r="GE7" i="1"/>
  <c r="GE15" i="1" s="1"/>
  <c r="NZ12" i="1"/>
  <c r="NZ20" i="1" s="1"/>
  <c r="NZ10" i="1"/>
  <c r="NZ18" i="1" s="1"/>
  <c r="NZ14" i="1"/>
  <c r="NZ22" i="1" s="1"/>
  <c r="NZ13" i="1"/>
  <c r="NZ21" i="1" s="1"/>
  <c r="NZ8" i="1"/>
  <c r="NZ16" i="1" s="1"/>
  <c r="NZ7" i="1"/>
  <c r="NZ15" i="1" s="1"/>
  <c r="NZ11" i="1"/>
  <c r="NZ19" i="1" s="1"/>
  <c r="QQ8" i="1"/>
  <c r="QQ16" i="1" s="1"/>
  <c r="QQ7" i="1"/>
  <c r="QQ15" i="1" s="1"/>
  <c r="AM12" i="1"/>
  <c r="AM20" i="1" s="1"/>
  <c r="AM13" i="1"/>
  <c r="AM21" i="1" s="1"/>
  <c r="AM14" i="1"/>
  <c r="AM22" i="1" s="1"/>
  <c r="AM9" i="1"/>
  <c r="AM17" i="1" s="1"/>
  <c r="AM11" i="1"/>
  <c r="AM19" i="1" s="1"/>
  <c r="LB6" i="1"/>
  <c r="LX6" i="1"/>
  <c r="KZ6" i="1"/>
  <c r="LR6" i="1"/>
  <c r="KW6" i="1"/>
  <c r="LY6" i="1"/>
  <c r="LW6" i="1"/>
  <c r="LA6" i="1"/>
  <c r="LV6" i="1"/>
  <c r="LT6" i="1"/>
  <c r="LU6" i="1"/>
  <c r="AM8" i="1"/>
  <c r="AM16" i="1" s="1"/>
  <c r="LS6" i="1"/>
  <c r="KY6" i="1"/>
  <c r="LQ6" i="1"/>
  <c r="KX6" i="1"/>
  <c r="AM10" i="1"/>
  <c r="AM18" i="1" s="1"/>
  <c r="AM7" i="1"/>
  <c r="AM15" i="1" s="1"/>
  <c r="TJ11" i="1"/>
  <c r="TJ19" i="1" s="1"/>
  <c r="TJ12" i="1"/>
  <c r="TJ20" i="1" s="1"/>
  <c r="TJ14" i="1"/>
  <c r="TJ22" i="1" s="1"/>
  <c r="TJ9" i="1"/>
  <c r="TJ17" i="1" s="1"/>
  <c r="TJ10" i="1"/>
  <c r="TJ18" i="1" s="1"/>
  <c r="TJ13" i="1"/>
  <c r="TJ21" i="1" s="1"/>
  <c r="TJ7" i="1"/>
  <c r="TJ15" i="1" s="1"/>
  <c r="TJ8" i="1"/>
  <c r="TJ16" i="1" s="1"/>
  <c r="GT14" i="1"/>
  <c r="GT22" i="1" s="1"/>
  <c r="GT13" i="1"/>
  <c r="GT21" i="1" s="1"/>
  <c r="GT11" i="1"/>
  <c r="GT19" i="1" s="1"/>
  <c r="GT12" i="1"/>
  <c r="GT20" i="1" s="1"/>
  <c r="GT7" i="1"/>
  <c r="GT15" i="1" s="1"/>
  <c r="GT8" i="1"/>
  <c r="GT16" i="1" s="1"/>
  <c r="GT9" i="1"/>
  <c r="GT17" i="1" s="1"/>
  <c r="GU6" i="1"/>
  <c r="GT10" i="1"/>
  <c r="GT18" i="1" s="1"/>
  <c r="AW22" i="1"/>
  <c r="A14" i="1"/>
  <c r="A22" i="1" s="1"/>
  <c r="SI14" i="1"/>
  <c r="SI22" i="1" s="1"/>
  <c r="SI13" i="1"/>
  <c r="SI21" i="1" s="1"/>
  <c r="SI10" i="1"/>
  <c r="SI18" i="1" s="1"/>
  <c r="SI11" i="1"/>
  <c r="SI19" i="1" s="1"/>
  <c r="SI7" i="1"/>
  <c r="SI15" i="1" s="1"/>
  <c r="SI9" i="1"/>
  <c r="SI17" i="1" s="1"/>
  <c r="SI8" i="1"/>
  <c r="SI16" i="1" s="1"/>
  <c r="SI12" i="1"/>
  <c r="SI20" i="1" s="1"/>
  <c r="TM13" i="1"/>
  <c r="TM21" i="1" s="1"/>
  <c r="TM14" i="1"/>
  <c r="TM22" i="1" s="1"/>
  <c r="TM9" i="1"/>
  <c r="TM17" i="1" s="1"/>
  <c r="TM10" i="1"/>
  <c r="TM18" i="1" s="1"/>
  <c r="TM12" i="1"/>
  <c r="TM20" i="1" s="1"/>
  <c r="TM8" i="1"/>
  <c r="TM16" i="1" s="1"/>
  <c r="TM11" i="1"/>
  <c r="TM19" i="1" s="1"/>
  <c r="TM7" i="1"/>
  <c r="TM15" i="1" s="1"/>
  <c r="UC14" i="1"/>
  <c r="UC22" i="1" s="1"/>
  <c r="UC13" i="1"/>
  <c r="UC21" i="1" s="1"/>
  <c r="UC10" i="1"/>
  <c r="UC18" i="1" s="1"/>
  <c r="UC12" i="1"/>
  <c r="UC20" i="1" s="1"/>
  <c r="UC11" i="1"/>
  <c r="UC19" i="1" s="1"/>
  <c r="UC8" i="1"/>
  <c r="UC16" i="1" s="1"/>
  <c r="UC7" i="1"/>
  <c r="UC15" i="1" s="1"/>
  <c r="UC9" i="1"/>
  <c r="UC17" i="1" s="1"/>
  <c r="SS14" i="1"/>
  <c r="SS22" i="1" s="1"/>
  <c r="SS13" i="1"/>
  <c r="SS21" i="1" s="1"/>
  <c r="SS11" i="1"/>
  <c r="SS19" i="1" s="1"/>
  <c r="ST6" i="1"/>
  <c r="SS7" i="1"/>
  <c r="SS15" i="1" s="1"/>
  <c r="SS9" i="1"/>
  <c r="SS17" i="1" s="1"/>
  <c r="SS12" i="1"/>
  <c r="SS20" i="1" s="1"/>
  <c r="SS10" i="1"/>
  <c r="SS18" i="1" s="1"/>
  <c r="SS8" i="1"/>
  <c r="SS16" i="1" s="1"/>
  <c r="DF9" i="1" l="1"/>
  <c r="DF17" i="1" s="1"/>
  <c r="DG6" i="1"/>
  <c r="JN10" i="1"/>
  <c r="JN18" i="1" s="1"/>
  <c r="JN14" i="1"/>
  <c r="JN22" i="1" s="1"/>
  <c r="JN9" i="1"/>
  <c r="JN17" i="1" s="1"/>
  <c r="JN8" i="1"/>
  <c r="JN16" i="1" s="1"/>
  <c r="JN7" i="1"/>
  <c r="JN15" i="1" s="1"/>
  <c r="JN11" i="1"/>
  <c r="JN19" i="1" s="1"/>
  <c r="JN12" i="1"/>
  <c r="JN20" i="1" s="1"/>
  <c r="FL8" i="1"/>
  <c r="FL16" i="1" s="1"/>
  <c r="FL10" i="1"/>
  <c r="FL18" i="1" s="1"/>
  <c r="FL7" i="1"/>
  <c r="FL15" i="1" s="1"/>
  <c r="GI14" i="1"/>
  <c r="GI22" i="1" s="1"/>
  <c r="GI13" i="1"/>
  <c r="GI21" i="1" s="1"/>
  <c r="GI12" i="1"/>
  <c r="GI20" i="1" s="1"/>
  <c r="GI11" i="1"/>
  <c r="GI19" i="1" s="1"/>
  <c r="GI7" i="1"/>
  <c r="GI15" i="1" s="1"/>
  <c r="GI9" i="1"/>
  <c r="GI17" i="1" s="1"/>
  <c r="GI10" i="1"/>
  <c r="GI18" i="1" s="1"/>
  <c r="GI8" i="1"/>
  <c r="GI16" i="1" s="1"/>
  <c r="GL6" i="1"/>
  <c r="GN6" i="1"/>
  <c r="GM6" i="1"/>
  <c r="GO6" i="1"/>
  <c r="KF10" i="1"/>
  <c r="KF18" i="1" s="1"/>
  <c r="KH6" i="1"/>
  <c r="KF8" i="1"/>
  <c r="KF16" i="1" s="1"/>
  <c r="KF7" i="1"/>
  <c r="KF15" i="1" s="1"/>
  <c r="KI6" i="1"/>
  <c r="KG6" i="1"/>
  <c r="PW9" i="1"/>
  <c r="PW17" i="1" s="1"/>
  <c r="PW8" i="1"/>
  <c r="PW16" i="1" s="1"/>
  <c r="PW10" i="1"/>
  <c r="PW18" i="1" s="1"/>
  <c r="PW7" i="1"/>
  <c r="PW15" i="1" s="1"/>
  <c r="JP10" i="1"/>
  <c r="JP18" i="1" s="1"/>
  <c r="JP14" i="1"/>
  <c r="JP22" i="1" s="1"/>
  <c r="JP11" i="1"/>
  <c r="JP19" i="1" s="1"/>
  <c r="JP13" i="1"/>
  <c r="JP21" i="1" s="1"/>
  <c r="JP12" i="1"/>
  <c r="JP20" i="1" s="1"/>
  <c r="JP7" i="1"/>
  <c r="JP15" i="1" s="1"/>
  <c r="JP8" i="1"/>
  <c r="JP16" i="1" s="1"/>
  <c r="JP9" i="1"/>
  <c r="JP17" i="1" s="1"/>
  <c r="JQ6" i="1"/>
  <c r="UF10" i="1"/>
  <c r="UF18" i="1" s="1"/>
  <c r="UF9" i="1"/>
  <c r="UF17" i="1" s="1"/>
  <c r="UG6" i="1"/>
  <c r="UI6" i="1"/>
  <c r="UH6" i="1"/>
  <c r="LU14" i="1"/>
  <c r="LU22" i="1" s="1"/>
  <c r="LU13" i="1"/>
  <c r="LU21" i="1" s="1"/>
  <c r="LU10" i="1"/>
  <c r="LU18" i="1" s="1"/>
  <c r="LU11" i="1"/>
  <c r="LU19" i="1" s="1"/>
  <c r="LU12" i="1"/>
  <c r="LU20" i="1" s="1"/>
  <c r="LU7" i="1"/>
  <c r="LU15" i="1" s="1"/>
  <c r="LU8" i="1"/>
  <c r="LU16" i="1" s="1"/>
  <c r="LU9" i="1"/>
  <c r="LU17" i="1" s="1"/>
  <c r="KP14" i="1"/>
  <c r="KP22" i="1" s="1"/>
  <c r="KP11" i="1"/>
  <c r="KP19" i="1" s="1"/>
  <c r="KP12" i="1"/>
  <c r="KP20" i="1" s="1"/>
  <c r="KP13" i="1"/>
  <c r="KP21" i="1" s="1"/>
  <c r="KP9" i="1"/>
  <c r="KP17" i="1" s="1"/>
  <c r="KP10" i="1"/>
  <c r="KP18" i="1" s="1"/>
  <c r="KP7" i="1"/>
  <c r="KP15" i="1" s="1"/>
  <c r="KP8" i="1"/>
  <c r="KP16" i="1" s="1"/>
  <c r="KJ10" i="1"/>
  <c r="KJ18" i="1" s="1"/>
  <c r="KJ8" i="1"/>
  <c r="KJ16" i="1" s="1"/>
  <c r="KJ7" i="1"/>
  <c r="KJ15" i="1" s="1"/>
  <c r="KM6" i="1"/>
  <c r="KL6" i="1"/>
  <c r="KK6" i="1"/>
  <c r="PX7" i="1"/>
  <c r="PX15" i="1" s="1"/>
  <c r="PX10" i="1"/>
  <c r="PX18" i="1" s="1"/>
  <c r="PX8" i="1"/>
  <c r="PX16" i="1" s="1"/>
  <c r="PX9" i="1"/>
  <c r="PX17" i="1" s="1"/>
  <c r="UV8" i="1"/>
  <c r="UV16" i="1" s="1"/>
  <c r="UW10" i="1"/>
  <c r="UW18" i="1" s="1"/>
  <c r="UZ8" i="1"/>
  <c r="UZ16" i="1" s="1"/>
  <c r="UY7" i="1"/>
  <c r="UY15" i="1" s="1"/>
  <c r="UY8" i="1"/>
  <c r="UY16" i="1" s="1"/>
  <c r="UX7" i="1"/>
  <c r="UX15" i="1" s="1"/>
  <c r="UX8" i="1"/>
  <c r="UX16" i="1" s="1"/>
  <c r="UW8" i="1"/>
  <c r="UW16" i="1" s="1"/>
  <c r="UZ7" i="1"/>
  <c r="UZ15" i="1" s="1"/>
  <c r="UV7" i="1"/>
  <c r="UV15" i="1" s="1"/>
  <c r="UW7" i="1"/>
  <c r="UW15" i="1" s="1"/>
  <c r="RV10" i="1"/>
  <c r="RV18" i="1" s="1"/>
  <c r="RR10" i="1"/>
  <c r="RR18" i="1" s="1"/>
  <c r="RV6" i="1"/>
  <c r="RT6" i="1"/>
  <c r="RS6" i="1"/>
  <c r="RR9" i="1"/>
  <c r="RR17" i="1" s="1"/>
  <c r="RY6" i="1"/>
  <c r="RW6" i="1"/>
  <c r="RW10" i="1" s="1"/>
  <c r="RW18" i="1" s="1"/>
  <c r="RX6" i="1"/>
  <c r="HV6" i="1"/>
  <c r="HM23" i="1"/>
  <c r="N23" i="1"/>
  <c r="GU14" i="1"/>
  <c r="GU22" i="1" s="1"/>
  <c r="GU13" i="1"/>
  <c r="GU21" i="1" s="1"/>
  <c r="GU11" i="1"/>
  <c r="GU19" i="1" s="1"/>
  <c r="GU12" i="1"/>
  <c r="GU20" i="1" s="1"/>
  <c r="GU7" i="1"/>
  <c r="GU15" i="1" s="1"/>
  <c r="GU8" i="1"/>
  <c r="GU16" i="1" s="1"/>
  <c r="GU9" i="1"/>
  <c r="GU17" i="1" s="1"/>
  <c r="GU10" i="1"/>
  <c r="GU18" i="1" s="1"/>
  <c r="GV6" i="1"/>
  <c r="LT14" i="1"/>
  <c r="LT22" i="1" s="1"/>
  <c r="LT12" i="1"/>
  <c r="LT20" i="1" s="1"/>
  <c r="LT10" i="1"/>
  <c r="LT18" i="1" s="1"/>
  <c r="LT13" i="1"/>
  <c r="LT21" i="1" s="1"/>
  <c r="LT11" i="1"/>
  <c r="LT19" i="1" s="1"/>
  <c r="LT7" i="1"/>
  <c r="LT15" i="1" s="1"/>
  <c r="LT8" i="1"/>
  <c r="LT16" i="1" s="1"/>
  <c r="LT9" i="1"/>
  <c r="LT17" i="1" s="1"/>
  <c r="UP10" i="1"/>
  <c r="UP18" i="1" s="1"/>
  <c r="UP8" i="1"/>
  <c r="UP16" i="1" s="1"/>
  <c r="UP7" i="1"/>
  <c r="UP15" i="1" s="1"/>
  <c r="KQ12" i="1"/>
  <c r="KQ20" i="1" s="1"/>
  <c r="KQ13" i="1"/>
  <c r="KQ21" i="1" s="1"/>
  <c r="KQ14" i="1"/>
  <c r="KQ22" i="1" s="1"/>
  <c r="KQ8" i="1"/>
  <c r="KQ16" i="1" s="1"/>
  <c r="KQ9" i="1"/>
  <c r="KQ17" i="1" s="1"/>
  <c r="KQ10" i="1"/>
  <c r="KQ18" i="1" s="1"/>
  <c r="KQ11" i="1"/>
  <c r="KQ19" i="1" s="1"/>
  <c r="KT6" i="1"/>
  <c r="KR6" i="1"/>
  <c r="KQ7" i="1"/>
  <c r="KQ15" i="1" s="1"/>
  <c r="KV6" i="1"/>
  <c r="KU6" i="1"/>
  <c r="KS6" i="1"/>
  <c r="LD10" i="1"/>
  <c r="LD18" i="1" s="1"/>
  <c r="LD7" i="1"/>
  <c r="LD15" i="1" s="1"/>
  <c r="LD8" i="1"/>
  <c r="LD16" i="1" s="1"/>
  <c r="ET11" i="1"/>
  <c r="ET19" i="1" s="1"/>
  <c r="ET10" i="1"/>
  <c r="ET18" i="1" s="1"/>
  <c r="ET14" i="1"/>
  <c r="ET22" i="1" s="1"/>
  <c r="ET13" i="1"/>
  <c r="ET21" i="1" s="1"/>
  <c r="ET7" i="1"/>
  <c r="ET15" i="1" s="1"/>
  <c r="ET9" i="1"/>
  <c r="ET17" i="1" s="1"/>
  <c r="ET12" i="1"/>
  <c r="ET20" i="1" s="1"/>
  <c r="ET8" i="1"/>
  <c r="ET16" i="1" s="1"/>
  <c r="PY7" i="1"/>
  <c r="PY15" i="1" s="1"/>
  <c r="PY10" i="1"/>
  <c r="PY18" i="1" s="1"/>
  <c r="PY9" i="1"/>
  <c r="PY17" i="1" s="1"/>
  <c r="PY8" i="1"/>
  <c r="PY16" i="1" s="1"/>
  <c r="TA10" i="1"/>
  <c r="TA18" i="1" s="1"/>
  <c r="SW9" i="1"/>
  <c r="SW17" i="1" s="1"/>
  <c r="TC6" i="1"/>
  <c r="TA6" i="1"/>
  <c r="TB6" i="1"/>
  <c r="TB10" i="1" s="1"/>
  <c r="TB18" i="1" s="1"/>
  <c r="SY6" i="1"/>
  <c r="SX6" i="1"/>
  <c r="SW10" i="1"/>
  <c r="SW18" i="1" s="1"/>
  <c r="TT10" i="1"/>
  <c r="TT18" i="1" s="1"/>
  <c r="TP10" i="1"/>
  <c r="TP18" i="1" s="1"/>
  <c r="TR6" i="1"/>
  <c r="TQ6" i="1"/>
  <c r="TP9" i="1"/>
  <c r="TP17" i="1" s="1"/>
  <c r="TU6" i="1"/>
  <c r="TU10" i="1" s="1"/>
  <c r="TU18" i="1" s="1"/>
  <c r="TT6" i="1"/>
  <c r="TV6" i="1"/>
  <c r="LA12" i="1"/>
  <c r="LA20" i="1" s="1"/>
  <c r="LA14" i="1"/>
  <c r="LA22" i="1" s="1"/>
  <c r="LA8" i="1"/>
  <c r="LA16" i="1" s="1"/>
  <c r="LA13" i="1"/>
  <c r="LA21" i="1" s="1"/>
  <c r="LA11" i="1"/>
  <c r="LA19" i="1" s="1"/>
  <c r="LA9" i="1"/>
  <c r="LA17" i="1" s="1"/>
  <c r="LA10" i="1"/>
  <c r="LA18" i="1" s="1"/>
  <c r="LA7" i="1"/>
  <c r="LA15" i="1" s="1"/>
  <c r="GF14" i="1"/>
  <c r="GF22" i="1" s="1"/>
  <c r="GF12" i="1"/>
  <c r="GF20" i="1" s="1"/>
  <c r="GF11" i="1"/>
  <c r="GF19" i="1" s="1"/>
  <c r="GF10" i="1"/>
  <c r="GF18" i="1" s="1"/>
  <c r="GF13" i="1"/>
  <c r="GF21" i="1" s="1"/>
  <c r="GF7" i="1"/>
  <c r="GF15" i="1" s="1"/>
  <c r="GF8" i="1"/>
  <c r="GF16" i="1" s="1"/>
  <c r="GF9" i="1"/>
  <c r="GF17" i="1" s="1"/>
  <c r="GG6" i="1"/>
  <c r="GK6" i="1" s="1"/>
  <c r="GH6" i="1"/>
  <c r="EV12" i="1"/>
  <c r="EV20" i="1" s="1"/>
  <c r="EV13" i="1"/>
  <c r="EV21" i="1" s="1"/>
  <c r="EV10" i="1"/>
  <c r="EV18" i="1" s="1"/>
  <c r="EV7" i="1"/>
  <c r="EV15" i="1" s="1"/>
  <c r="EV14" i="1"/>
  <c r="EV22" i="1" s="1"/>
  <c r="EV8" i="1"/>
  <c r="EV16" i="1" s="1"/>
  <c r="EV9" i="1"/>
  <c r="EV17" i="1" s="1"/>
  <c r="EV11" i="1"/>
  <c r="EV19" i="1" s="1"/>
  <c r="JS12" i="1"/>
  <c r="JS20" i="1" s="1"/>
  <c r="JS13" i="1"/>
  <c r="JS21" i="1" s="1"/>
  <c r="JS14" i="1"/>
  <c r="JS22" i="1" s="1"/>
  <c r="JS8" i="1"/>
  <c r="JS16" i="1" s="1"/>
  <c r="JS9" i="1"/>
  <c r="JS17" i="1" s="1"/>
  <c r="JS11" i="1"/>
  <c r="JS19" i="1" s="1"/>
  <c r="JS10" i="1"/>
  <c r="JS18" i="1" s="1"/>
  <c r="JT6" i="1"/>
  <c r="JS7" i="1"/>
  <c r="JS15" i="1" s="1"/>
  <c r="SM10" i="1"/>
  <c r="SM18" i="1" s="1"/>
  <c r="SM9" i="1"/>
  <c r="SM17" i="1" s="1"/>
  <c r="N11" i="1"/>
  <c r="N19" i="1" s="1"/>
  <c r="N12" i="1"/>
  <c r="N20" i="1" s="1"/>
  <c r="N14" i="1"/>
  <c r="N22" i="1" s="1"/>
  <c r="N13" i="1"/>
  <c r="N21" i="1" s="1"/>
  <c r="N10" i="1"/>
  <c r="N18" i="1" s="1"/>
  <c r="N9" i="1"/>
  <c r="N17" i="1" s="1"/>
  <c r="FG6" i="1"/>
  <c r="N7" i="1"/>
  <c r="N15" i="1" s="1"/>
  <c r="N8" i="1"/>
  <c r="N16" i="1" s="1"/>
  <c r="HL6" i="1"/>
  <c r="HW6" i="1"/>
  <c r="HL23" i="1"/>
  <c r="QE8" i="1"/>
  <c r="QE16" i="1" s="1"/>
  <c r="QE10" i="1"/>
  <c r="QE18" i="1" s="1"/>
  <c r="QE7" i="1"/>
  <c r="QE15" i="1" s="1"/>
  <c r="SZ6" i="1"/>
  <c r="HS14" i="1"/>
  <c r="HS22" i="1" s="1"/>
  <c r="HS13" i="1"/>
  <c r="HS21" i="1" s="1"/>
  <c r="HS12" i="1"/>
  <c r="HS20" i="1" s="1"/>
  <c r="HS7" i="1"/>
  <c r="HS15" i="1" s="1"/>
  <c r="HS8" i="1"/>
  <c r="HS16" i="1" s="1"/>
  <c r="HS11" i="1"/>
  <c r="HS19" i="1" s="1"/>
  <c r="HS10" i="1"/>
  <c r="HS18" i="1" s="1"/>
  <c r="HS9" i="1"/>
  <c r="HS17" i="1" s="1"/>
  <c r="LV14" i="1"/>
  <c r="LV22" i="1" s="1"/>
  <c r="LV10" i="1"/>
  <c r="LV18" i="1" s="1"/>
  <c r="LV13" i="1"/>
  <c r="LV21" i="1" s="1"/>
  <c r="LV12" i="1"/>
  <c r="LV20" i="1" s="1"/>
  <c r="LV11" i="1"/>
  <c r="LV19" i="1" s="1"/>
  <c r="LV7" i="1"/>
  <c r="LV15" i="1" s="1"/>
  <c r="LV9" i="1"/>
  <c r="LV17" i="1" s="1"/>
  <c r="LV8" i="1"/>
  <c r="LV16" i="1" s="1"/>
  <c r="FT10" i="1"/>
  <c r="FT18" i="1" s="1"/>
  <c r="FT7" i="1"/>
  <c r="FT15" i="1" s="1"/>
  <c r="FT8" i="1"/>
  <c r="FT16" i="1" s="1"/>
  <c r="HZ12" i="1"/>
  <c r="HZ20" i="1" s="1"/>
  <c r="HZ10" i="1"/>
  <c r="HZ18" i="1" s="1"/>
  <c r="HZ14" i="1"/>
  <c r="HZ22" i="1" s="1"/>
  <c r="HZ13" i="1"/>
  <c r="HZ21" i="1" s="1"/>
  <c r="HZ11" i="1"/>
  <c r="HZ19" i="1" s="1"/>
  <c r="HZ7" i="1"/>
  <c r="HZ15" i="1" s="1"/>
  <c r="HZ8" i="1"/>
  <c r="HZ16" i="1" s="1"/>
  <c r="HZ9" i="1"/>
  <c r="HZ17" i="1" s="1"/>
  <c r="LW14" i="1"/>
  <c r="LW22" i="1" s="1"/>
  <c r="LW13" i="1"/>
  <c r="LW21" i="1" s="1"/>
  <c r="LW10" i="1"/>
  <c r="LW18" i="1" s="1"/>
  <c r="LW12" i="1"/>
  <c r="LW20" i="1" s="1"/>
  <c r="LW7" i="1"/>
  <c r="LW15" i="1" s="1"/>
  <c r="LW11" i="1"/>
  <c r="LW19" i="1" s="1"/>
  <c r="LW8" i="1"/>
  <c r="LW16" i="1" s="1"/>
  <c r="LW9" i="1"/>
  <c r="LW17" i="1" s="1"/>
  <c r="MS14" i="1"/>
  <c r="MS22" i="1" s="1"/>
  <c r="MS13" i="1"/>
  <c r="MS21" i="1" s="1"/>
  <c r="MS12" i="1"/>
  <c r="MS20" i="1" s="1"/>
  <c r="MS10" i="1"/>
  <c r="MS18" i="1" s="1"/>
  <c r="MS7" i="1"/>
  <c r="MS15" i="1" s="1"/>
  <c r="MS8" i="1"/>
  <c r="MS16" i="1" s="1"/>
  <c r="MS11" i="1"/>
  <c r="MS19" i="1" s="1"/>
  <c r="VI14" i="1"/>
  <c r="VI22" i="1" s="1"/>
  <c r="VI13" i="1"/>
  <c r="VI21" i="1" s="1"/>
  <c r="VI12" i="1"/>
  <c r="VI20" i="1" s="1"/>
  <c r="VI9" i="1"/>
  <c r="VI17" i="1" s="1"/>
  <c r="VI10" i="1"/>
  <c r="VI18" i="1" s="1"/>
  <c r="VI11" i="1"/>
  <c r="VI19" i="1" s="1"/>
  <c r="VM6" i="1"/>
  <c r="VL6" i="1"/>
  <c r="VK6" i="1"/>
  <c r="VX6" i="1"/>
  <c r="VJ6" i="1"/>
  <c r="VI8" i="1"/>
  <c r="VI16" i="1" s="1"/>
  <c r="VI7" i="1"/>
  <c r="VI15" i="1" s="1"/>
  <c r="SP10" i="1"/>
  <c r="SP18" i="1" s="1"/>
  <c r="SP9" i="1"/>
  <c r="SP17" i="1" s="1"/>
  <c r="QT10" i="1"/>
  <c r="QT18" i="1" s="1"/>
  <c r="QT9" i="1"/>
  <c r="QT17" i="1" s="1"/>
  <c r="QS8" i="1"/>
  <c r="QS16" i="1" s="1"/>
  <c r="QS7" i="1"/>
  <c r="QS15" i="1" s="1"/>
  <c r="RU6" i="1"/>
  <c r="QG14" i="1"/>
  <c r="QG22" i="1" s="1"/>
  <c r="QG13" i="1"/>
  <c r="QG21" i="1" s="1"/>
  <c r="QG10" i="1"/>
  <c r="QG18" i="1" s="1"/>
  <c r="QG9" i="1"/>
  <c r="QG17" i="1" s="1"/>
  <c r="QG11" i="1"/>
  <c r="QG19" i="1" s="1"/>
  <c r="QG12" i="1"/>
  <c r="QG20" i="1" s="1"/>
  <c r="QG8" i="1"/>
  <c r="QG16" i="1" s="1"/>
  <c r="QG7" i="1"/>
  <c r="QG15" i="1" s="1"/>
  <c r="QH6" i="1"/>
  <c r="SL10" i="1"/>
  <c r="SL18" i="1" s="1"/>
  <c r="SL9" i="1"/>
  <c r="SL17" i="1" s="1"/>
  <c r="LY12" i="1"/>
  <c r="LY20" i="1" s="1"/>
  <c r="LY8" i="1"/>
  <c r="LY16" i="1" s="1"/>
  <c r="LY11" i="1"/>
  <c r="LY19" i="1" s="1"/>
  <c r="LY10" i="1"/>
  <c r="LY18" i="1" s="1"/>
  <c r="LY9" i="1"/>
  <c r="LY17" i="1" s="1"/>
  <c r="LY14" i="1"/>
  <c r="LY22" i="1" s="1"/>
  <c r="LY13" i="1"/>
  <c r="LY21" i="1" s="1"/>
  <c r="LY7" i="1"/>
  <c r="LY15" i="1" s="1"/>
  <c r="SV10" i="1"/>
  <c r="SV18" i="1" s="1"/>
  <c r="SV11" i="1"/>
  <c r="SV19" i="1" s="1"/>
  <c r="SV14" i="1"/>
  <c r="SV22" i="1" s="1"/>
  <c r="SV13" i="1"/>
  <c r="SV21" i="1" s="1"/>
  <c r="SV9" i="1"/>
  <c r="SV17" i="1" s="1"/>
  <c r="SV7" i="1"/>
  <c r="SV15" i="1" s="1"/>
  <c r="SV8" i="1"/>
  <c r="SV16" i="1" s="1"/>
  <c r="SV12" i="1"/>
  <c r="SV20" i="1" s="1"/>
  <c r="UL8" i="1"/>
  <c r="UL16" i="1" s="1"/>
  <c r="UL10" i="1"/>
  <c r="UL18" i="1" s="1"/>
  <c r="UL7" i="1"/>
  <c r="UL15" i="1" s="1"/>
  <c r="EU14" i="1"/>
  <c r="EU22" i="1" s="1"/>
  <c r="EU10" i="1"/>
  <c r="EU18" i="1" s="1"/>
  <c r="EU11" i="1"/>
  <c r="EU19" i="1" s="1"/>
  <c r="EU13" i="1"/>
  <c r="EU21" i="1" s="1"/>
  <c r="EU8" i="1"/>
  <c r="EU16" i="1" s="1"/>
  <c r="EU7" i="1"/>
  <c r="EU15" i="1" s="1"/>
  <c r="EU9" i="1"/>
  <c r="EU17" i="1" s="1"/>
  <c r="EU12" i="1"/>
  <c r="EU20" i="1" s="1"/>
  <c r="PV7" i="1"/>
  <c r="PV15" i="1" s="1"/>
  <c r="PV9" i="1"/>
  <c r="PV17" i="1" s="1"/>
  <c r="PV8" i="1"/>
  <c r="PV16" i="1" s="1"/>
  <c r="PV10" i="1"/>
  <c r="PV18" i="1" s="1"/>
  <c r="SK10" i="1"/>
  <c r="SK18" i="1" s="1"/>
  <c r="SK9" i="1"/>
  <c r="SK17" i="1" s="1"/>
  <c r="RL10" i="1"/>
  <c r="RL18" i="1" s="1"/>
  <c r="RL9" i="1"/>
  <c r="RL17" i="1" s="1"/>
  <c r="AU14" i="1"/>
  <c r="AU22" i="1" s="1"/>
  <c r="AU13" i="1"/>
  <c r="AU21" i="1" s="1"/>
  <c r="AU12" i="1"/>
  <c r="AU20" i="1" s="1"/>
  <c r="AU10" i="1"/>
  <c r="AU18" i="1" s="1"/>
  <c r="AU7" i="1"/>
  <c r="AU15" i="1" s="1"/>
  <c r="AU8" i="1"/>
  <c r="AU16" i="1" s="1"/>
  <c r="AU11" i="1"/>
  <c r="AU19" i="1" s="1"/>
  <c r="AU9" i="1"/>
  <c r="AU17" i="1" s="1"/>
  <c r="KW14" i="1"/>
  <c r="KW22" i="1" s="1"/>
  <c r="KW13" i="1"/>
  <c r="KW21" i="1" s="1"/>
  <c r="KW11" i="1"/>
  <c r="KW19" i="1" s="1"/>
  <c r="KW8" i="1"/>
  <c r="KW16" i="1" s="1"/>
  <c r="KW7" i="1"/>
  <c r="KW15" i="1" s="1"/>
  <c r="KW9" i="1"/>
  <c r="KW17" i="1" s="1"/>
  <c r="KW12" i="1"/>
  <c r="KW20" i="1" s="1"/>
  <c r="KW10" i="1"/>
  <c r="KW18" i="1" s="1"/>
  <c r="MT14" i="1"/>
  <c r="MT22" i="1" s="1"/>
  <c r="MT10" i="1"/>
  <c r="MT18" i="1" s="1"/>
  <c r="MT13" i="1"/>
  <c r="MT21" i="1" s="1"/>
  <c r="MT11" i="1"/>
  <c r="MT19" i="1" s="1"/>
  <c r="MT12" i="1"/>
  <c r="MT20" i="1" s="1"/>
  <c r="MT7" i="1"/>
  <c r="MT15" i="1" s="1"/>
  <c r="MT8" i="1"/>
  <c r="MT16" i="1" s="1"/>
  <c r="MN13" i="1"/>
  <c r="MN21" i="1" s="1"/>
  <c r="MN14" i="1"/>
  <c r="MN22" i="1" s="1"/>
  <c r="MN11" i="1"/>
  <c r="MN19" i="1" s="1"/>
  <c r="MN10" i="1"/>
  <c r="MN18" i="1" s="1"/>
  <c r="MN8" i="1"/>
  <c r="MN16" i="1" s="1"/>
  <c r="MN7" i="1"/>
  <c r="MN15" i="1" s="1"/>
  <c r="MN12" i="1"/>
  <c r="MN20" i="1" s="1"/>
  <c r="NN13" i="1"/>
  <c r="NN21" i="1" s="1"/>
  <c r="NN10" i="1"/>
  <c r="NN18" i="1" s="1"/>
  <c r="NN11" i="1"/>
  <c r="NN19" i="1" s="1"/>
  <c r="NN14" i="1"/>
  <c r="NN22" i="1" s="1"/>
  <c r="NN12" i="1"/>
  <c r="NN20" i="1" s="1"/>
  <c r="NN7" i="1"/>
  <c r="NN15" i="1" s="1"/>
  <c r="NN8" i="1"/>
  <c r="NN16" i="1" s="1"/>
  <c r="AH14" i="1"/>
  <c r="AH22" i="1" s="1"/>
  <c r="AH13" i="1"/>
  <c r="AH21" i="1" s="1"/>
  <c r="AH7" i="1"/>
  <c r="AH15" i="1" s="1"/>
  <c r="AH11" i="1"/>
  <c r="AH19" i="1" s="1"/>
  <c r="AH8" i="1"/>
  <c r="AH16" i="1" s="1"/>
  <c r="AH12" i="1"/>
  <c r="AH20" i="1" s="1"/>
  <c r="AH10" i="1"/>
  <c r="AH18" i="1" s="1"/>
  <c r="AH9" i="1"/>
  <c r="AH17" i="1" s="1"/>
  <c r="QB10" i="1"/>
  <c r="QB18" i="1" s="1"/>
  <c r="QB9" i="1"/>
  <c r="QB17" i="1" s="1"/>
  <c r="QB8" i="1"/>
  <c r="QB16" i="1" s="1"/>
  <c r="QB7" i="1"/>
  <c r="QB15" i="1" s="1"/>
  <c r="SN9" i="1"/>
  <c r="SN17" i="1" s="1"/>
  <c r="SN10" i="1"/>
  <c r="SN18" i="1" s="1"/>
  <c r="RN9" i="1"/>
  <c r="RN17" i="1" s="1"/>
  <c r="RN10" i="1"/>
  <c r="RN18" i="1" s="1"/>
  <c r="HV5" i="1"/>
  <c r="IK5" i="1" s="1"/>
  <c r="IJ5" i="1"/>
  <c r="QX10" i="1"/>
  <c r="QX18" i="1" s="1"/>
  <c r="QU10" i="1"/>
  <c r="QU18" i="1" s="1"/>
  <c r="QX6" i="1"/>
  <c r="QW6" i="1"/>
  <c r="QV6" i="1"/>
  <c r="RA6" i="1"/>
  <c r="QU9" i="1"/>
  <c r="QU17" i="1" s="1"/>
  <c r="QY6" i="1"/>
  <c r="QY10" i="1" s="1"/>
  <c r="QY18" i="1" s="1"/>
  <c r="PZ10" i="1"/>
  <c r="PZ18" i="1" s="1"/>
  <c r="PZ7" i="1"/>
  <c r="PZ15" i="1" s="1"/>
  <c r="PZ9" i="1"/>
  <c r="PZ17" i="1" s="1"/>
  <c r="PZ8" i="1"/>
  <c r="PZ16" i="1" s="1"/>
  <c r="KX14" i="1"/>
  <c r="KX22" i="1" s="1"/>
  <c r="KX10" i="1"/>
  <c r="KX18" i="1" s="1"/>
  <c r="KX13" i="1"/>
  <c r="KX21" i="1" s="1"/>
  <c r="KX11" i="1"/>
  <c r="KX19" i="1" s="1"/>
  <c r="KX8" i="1"/>
  <c r="KX16" i="1" s="1"/>
  <c r="KX7" i="1"/>
  <c r="KX15" i="1" s="1"/>
  <c r="KX9" i="1"/>
  <c r="KX17" i="1" s="1"/>
  <c r="KX12" i="1"/>
  <c r="KX20" i="1" s="1"/>
  <c r="LR14" i="1"/>
  <c r="LR22" i="1" s="1"/>
  <c r="LR12" i="1"/>
  <c r="LR20" i="1" s="1"/>
  <c r="LR11" i="1"/>
  <c r="LR19" i="1" s="1"/>
  <c r="LR7" i="1"/>
  <c r="LR15" i="1" s="1"/>
  <c r="LR10" i="1"/>
  <c r="LR18" i="1" s="1"/>
  <c r="LR13" i="1"/>
  <c r="LR21" i="1" s="1"/>
  <c r="LR9" i="1"/>
  <c r="LR17" i="1" s="1"/>
  <c r="LR8" i="1"/>
  <c r="LR16" i="1" s="1"/>
  <c r="DG12" i="1"/>
  <c r="DG20" i="1" s="1"/>
  <c r="DG13" i="1"/>
  <c r="DG21" i="1" s="1"/>
  <c r="DG11" i="1"/>
  <c r="DG19" i="1" s="1"/>
  <c r="DG9" i="1"/>
  <c r="DG17" i="1" s="1"/>
  <c r="DG14" i="1"/>
  <c r="DG22" i="1" s="1"/>
  <c r="DG10" i="1"/>
  <c r="DG18" i="1" s="1"/>
  <c r="DQ6" i="1"/>
  <c r="DG8" i="1"/>
  <c r="DG16" i="1" s="1"/>
  <c r="DG7" i="1"/>
  <c r="DG15" i="1" s="1"/>
  <c r="MU14" i="1"/>
  <c r="MU22" i="1" s="1"/>
  <c r="MU13" i="1"/>
  <c r="MU21" i="1" s="1"/>
  <c r="MU7" i="1"/>
  <c r="MU15" i="1" s="1"/>
  <c r="MU12" i="1"/>
  <c r="MU20" i="1" s="1"/>
  <c r="MU10" i="1"/>
  <c r="MU18" i="1" s="1"/>
  <c r="MU11" i="1"/>
  <c r="MU19" i="1" s="1"/>
  <c r="MU8" i="1"/>
  <c r="MU16" i="1" s="1"/>
  <c r="MO14" i="1"/>
  <c r="MO22" i="1" s="1"/>
  <c r="MO13" i="1"/>
  <c r="MO21" i="1" s="1"/>
  <c r="MO11" i="1"/>
  <c r="MO19" i="1" s="1"/>
  <c r="MO12" i="1"/>
  <c r="MO20" i="1" s="1"/>
  <c r="MO10" i="1"/>
  <c r="MO18" i="1" s="1"/>
  <c r="MO8" i="1"/>
  <c r="MO16" i="1" s="1"/>
  <c r="MO7" i="1"/>
  <c r="MO15" i="1" s="1"/>
  <c r="EW14" i="1"/>
  <c r="EW22" i="1" s="1"/>
  <c r="EW13" i="1"/>
  <c r="EW21" i="1" s="1"/>
  <c r="EW12" i="1"/>
  <c r="EW20" i="1" s="1"/>
  <c r="EW11" i="1"/>
  <c r="EW19" i="1" s="1"/>
  <c r="EW7" i="1"/>
  <c r="EW15" i="1" s="1"/>
  <c r="EW9" i="1"/>
  <c r="EW17" i="1" s="1"/>
  <c r="EW10" i="1"/>
  <c r="EW18" i="1" s="1"/>
  <c r="EW8" i="1"/>
  <c r="EW16" i="1" s="1"/>
  <c r="QA10" i="1"/>
  <c r="QA18" i="1" s="1"/>
  <c r="QA7" i="1"/>
  <c r="QA15" i="1" s="1"/>
  <c r="QA9" i="1"/>
  <c r="QA17" i="1" s="1"/>
  <c r="QA8" i="1"/>
  <c r="QA16" i="1" s="1"/>
  <c r="SO9" i="1"/>
  <c r="SO17" i="1" s="1"/>
  <c r="SO10" i="1"/>
  <c r="SO18" i="1" s="1"/>
  <c r="RO9" i="1"/>
  <c r="RO17" i="1" s="1"/>
  <c r="RO10" i="1"/>
  <c r="RO18" i="1" s="1"/>
  <c r="FP13" i="1"/>
  <c r="FP21" i="1" s="1"/>
  <c r="FP14" i="1"/>
  <c r="FP22" i="1" s="1"/>
  <c r="FP9" i="1"/>
  <c r="FP17" i="1" s="1"/>
  <c r="FP10" i="1"/>
  <c r="FP18" i="1" s="1"/>
  <c r="FP11" i="1"/>
  <c r="FP19" i="1" s="1"/>
  <c r="FP12" i="1"/>
  <c r="FP20" i="1" s="1"/>
  <c r="FP8" i="1"/>
  <c r="FP16" i="1" s="1"/>
  <c r="FP7" i="1"/>
  <c r="FP15" i="1" s="1"/>
  <c r="QZ6" i="1"/>
  <c r="QZ10" i="1" s="1"/>
  <c r="QZ18" i="1" s="1"/>
  <c r="UN8" i="1"/>
  <c r="UN16" i="1" s="1"/>
  <c r="UN10" i="1"/>
  <c r="UN18" i="1" s="1"/>
  <c r="UN7" i="1"/>
  <c r="UN15" i="1" s="1"/>
  <c r="HY14" i="1"/>
  <c r="HY22" i="1" s="1"/>
  <c r="HY13" i="1"/>
  <c r="HY21" i="1" s="1"/>
  <c r="HY11" i="1"/>
  <c r="HY19" i="1" s="1"/>
  <c r="HY9" i="1"/>
  <c r="HY17" i="1" s="1"/>
  <c r="HY12" i="1"/>
  <c r="HY20" i="1" s="1"/>
  <c r="HY10" i="1"/>
  <c r="HY18" i="1" s="1"/>
  <c r="HY7" i="1"/>
  <c r="HY15" i="1" s="1"/>
  <c r="HY8" i="1"/>
  <c r="HY16" i="1" s="1"/>
  <c r="ST14" i="1"/>
  <c r="ST22" i="1" s="1"/>
  <c r="ST10" i="1"/>
  <c r="ST18" i="1" s="1"/>
  <c r="ST13" i="1"/>
  <c r="ST21" i="1" s="1"/>
  <c r="ST12" i="1"/>
  <c r="ST20" i="1" s="1"/>
  <c r="ST7" i="1"/>
  <c r="ST15" i="1" s="1"/>
  <c r="ST9" i="1"/>
  <c r="ST17" i="1" s="1"/>
  <c r="ST11" i="1"/>
  <c r="ST19" i="1" s="1"/>
  <c r="ST8" i="1"/>
  <c r="ST16" i="1" s="1"/>
  <c r="LQ14" i="1"/>
  <c r="LQ22" i="1" s="1"/>
  <c r="LQ13" i="1"/>
  <c r="LQ21" i="1" s="1"/>
  <c r="LQ9" i="1"/>
  <c r="LQ17" i="1" s="1"/>
  <c r="LQ10" i="1"/>
  <c r="LQ18" i="1" s="1"/>
  <c r="LQ12" i="1"/>
  <c r="LQ20" i="1" s="1"/>
  <c r="LQ11" i="1"/>
  <c r="LQ19" i="1" s="1"/>
  <c r="LQ7" i="1"/>
  <c r="LQ15" i="1" s="1"/>
  <c r="LQ8" i="1"/>
  <c r="LQ16" i="1" s="1"/>
  <c r="KZ10" i="1"/>
  <c r="KZ18" i="1" s="1"/>
  <c r="KZ11" i="1"/>
  <c r="KZ19" i="1" s="1"/>
  <c r="KZ14" i="1"/>
  <c r="KZ22" i="1" s="1"/>
  <c r="KZ12" i="1"/>
  <c r="KZ20" i="1" s="1"/>
  <c r="KZ13" i="1"/>
  <c r="KZ21" i="1" s="1"/>
  <c r="KZ9" i="1"/>
  <c r="KZ17" i="1" s="1"/>
  <c r="KZ7" i="1"/>
  <c r="KZ15" i="1" s="1"/>
  <c r="KZ8" i="1"/>
  <c r="KZ16" i="1" s="1"/>
  <c r="MQ14" i="1"/>
  <c r="MQ22" i="1" s="1"/>
  <c r="MQ11" i="1"/>
  <c r="MQ19" i="1" s="1"/>
  <c r="MQ12" i="1"/>
  <c r="MQ20" i="1" s="1"/>
  <c r="MQ13" i="1"/>
  <c r="MQ21" i="1" s="1"/>
  <c r="MQ10" i="1"/>
  <c r="MQ18" i="1" s="1"/>
  <c r="MQ8" i="1"/>
  <c r="MQ16" i="1" s="1"/>
  <c r="MQ7" i="1"/>
  <c r="MQ15" i="1" s="1"/>
  <c r="PO14" i="1"/>
  <c r="PO22" i="1" s="1"/>
  <c r="PO13" i="1"/>
  <c r="PO21" i="1" s="1"/>
  <c r="PO12" i="1"/>
  <c r="PO20" i="1" s="1"/>
  <c r="PO10" i="1"/>
  <c r="PO18" i="1" s="1"/>
  <c r="PO11" i="1"/>
  <c r="PO19" i="1" s="1"/>
  <c r="PO9" i="1"/>
  <c r="PO17" i="1" s="1"/>
  <c r="PO7" i="1"/>
  <c r="PO15" i="1" s="1"/>
  <c r="PO8" i="1"/>
  <c r="PO16" i="1" s="1"/>
  <c r="RK10" i="1"/>
  <c r="RK18" i="1" s="1"/>
  <c r="RK9" i="1"/>
  <c r="RK17" i="1" s="1"/>
  <c r="HC14" i="1"/>
  <c r="HC22" i="1" s="1"/>
  <c r="HC10" i="1"/>
  <c r="HC18" i="1" s="1"/>
  <c r="HC13" i="1"/>
  <c r="HC21" i="1" s="1"/>
  <c r="HC12" i="1"/>
  <c r="HC20" i="1" s="1"/>
  <c r="HC9" i="1"/>
  <c r="HC17" i="1" s="1"/>
  <c r="HC11" i="1"/>
  <c r="HC19" i="1" s="1"/>
  <c r="JF6" i="1"/>
  <c r="IH6" i="1"/>
  <c r="IH10" i="1" s="1"/>
  <c r="IH18" i="1" s="1"/>
  <c r="HJ6" i="1"/>
  <c r="HJ10" i="1" s="1"/>
  <c r="HJ18" i="1" s="1"/>
  <c r="JE6" i="1"/>
  <c r="HC8" i="1"/>
  <c r="HC16" i="1" s="1"/>
  <c r="IB6" i="1"/>
  <c r="HK6" i="1"/>
  <c r="HC7" i="1"/>
  <c r="HC15" i="1" s="1"/>
  <c r="JH6" i="1"/>
  <c r="JD6" i="1"/>
  <c r="II6" i="1"/>
  <c r="II10" i="1" s="1"/>
  <c r="II18" i="1" s="1"/>
  <c r="JG6" i="1"/>
  <c r="HR6" i="1"/>
  <c r="HR10" i="1" s="1"/>
  <c r="HR18" i="1" s="1"/>
  <c r="EK13" i="1"/>
  <c r="EK21" i="1" s="1"/>
  <c r="EK14" i="1"/>
  <c r="EK22" i="1" s="1"/>
  <c r="EK12" i="1"/>
  <c r="EK20" i="1" s="1"/>
  <c r="EK11" i="1"/>
  <c r="EK19" i="1" s="1"/>
  <c r="EK7" i="1"/>
  <c r="EK15" i="1" s="1"/>
  <c r="EK9" i="1"/>
  <c r="EK17" i="1" s="1"/>
  <c r="EK10" i="1"/>
  <c r="EK18" i="1" s="1"/>
  <c r="EK8" i="1"/>
  <c r="EK16" i="1" s="1"/>
  <c r="AT14" i="1"/>
  <c r="AT22" i="1" s="1"/>
  <c r="AT12" i="1"/>
  <c r="AT20" i="1" s="1"/>
  <c r="AT13" i="1"/>
  <c r="AT21" i="1" s="1"/>
  <c r="AT10" i="1"/>
  <c r="AT18" i="1" s="1"/>
  <c r="AT7" i="1"/>
  <c r="AT15" i="1" s="1"/>
  <c r="AT8" i="1"/>
  <c r="AT16" i="1" s="1"/>
  <c r="AT11" i="1"/>
  <c r="AT19" i="1" s="1"/>
  <c r="AT9" i="1"/>
  <c r="AT17" i="1" s="1"/>
  <c r="OY6" i="1"/>
  <c r="OO6" i="1"/>
  <c r="A10" i="1"/>
  <c r="A18" i="1" s="1"/>
  <c r="LE14" i="1"/>
  <c r="LE22" i="1" s="1"/>
  <c r="LE13" i="1"/>
  <c r="LE21" i="1" s="1"/>
  <c r="LE12" i="1"/>
  <c r="LE20" i="1" s="1"/>
  <c r="LE10" i="1"/>
  <c r="LE18" i="1" s="1"/>
  <c r="LO6" i="1"/>
  <c r="LN6" i="1"/>
  <c r="LL6" i="1"/>
  <c r="LE7" i="1"/>
  <c r="LE15" i="1" s="1"/>
  <c r="LF6" i="1"/>
  <c r="LI6" i="1"/>
  <c r="LH6" i="1"/>
  <c r="LG6" i="1"/>
  <c r="LP6" i="1"/>
  <c r="LE8" i="1"/>
  <c r="LE16" i="1" s="1"/>
  <c r="LM6" i="1"/>
  <c r="LK6" i="1"/>
  <c r="LE11" i="1"/>
  <c r="LE19" i="1" s="1"/>
  <c r="LJ6" i="1"/>
  <c r="KY14" i="1"/>
  <c r="KY22" i="1" s="1"/>
  <c r="KY13" i="1"/>
  <c r="KY21" i="1" s="1"/>
  <c r="KY11" i="1"/>
  <c r="KY19" i="1" s="1"/>
  <c r="KY12" i="1"/>
  <c r="KY20" i="1" s="1"/>
  <c r="KY7" i="1"/>
  <c r="KY15" i="1" s="1"/>
  <c r="KY9" i="1"/>
  <c r="KY17" i="1" s="1"/>
  <c r="KY10" i="1"/>
  <c r="KY18" i="1" s="1"/>
  <c r="KY8" i="1"/>
  <c r="KY16" i="1" s="1"/>
  <c r="LX10" i="1"/>
  <c r="LX18" i="1" s="1"/>
  <c r="LX11" i="1"/>
  <c r="LX19" i="1" s="1"/>
  <c r="LX14" i="1"/>
  <c r="LX22" i="1" s="1"/>
  <c r="LX12" i="1"/>
  <c r="LX20" i="1" s="1"/>
  <c r="LX13" i="1"/>
  <c r="LX21" i="1" s="1"/>
  <c r="LX8" i="1"/>
  <c r="LX16" i="1" s="1"/>
  <c r="LX9" i="1"/>
  <c r="LX17" i="1" s="1"/>
  <c r="LX7" i="1"/>
  <c r="LX15" i="1" s="1"/>
  <c r="MP14" i="1"/>
  <c r="MP22" i="1" s="1"/>
  <c r="MP11" i="1"/>
  <c r="MP19" i="1" s="1"/>
  <c r="MP12" i="1"/>
  <c r="MP20" i="1" s="1"/>
  <c r="MP10" i="1"/>
  <c r="MP18" i="1" s="1"/>
  <c r="MP8" i="1"/>
  <c r="MP16" i="1" s="1"/>
  <c r="MP7" i="1"/>
  <c r="MP15" i="1" s="1"/>
  <c r="MP13" i="1"/>
  <c r="MP21" i="1" s="1"/>
  <c r="AB13" i="1"/>
  <c r="AB21" i="1" s="1"/>
  <c r="AB14" i="1"/>
  <c r="AB22" i="1" s="1"/>
  <c r="AB11" i="1"/>
  <c r="AB19" i="1" s="1"/>
  <c r="AB9" i="1"/>
  <c r="AB17" i="1" s="1"/>
  <c r="AB10" i="1"/>
  <c r="AB18" i="1" s="1"/>
  <c r="AB12" i="1"/>
  <c r="AB20" i="1" s="1"/>
  <c r="AB8" i="1"/>
  <c r="AB16" i="1" s="1"/>
  <c r="AB7" i="1"/>
  <c r="AB15" i="1" s="1"/>
  <c r="RM10" i="1"/>
  <c r="RM18" i="1" s="1"/>
  <c r="RM9" i="1"/>
  <c r="RM17" i="1" s="1"/>
  <c r="HE6" i="1"/>
  <c r="FM12" i="1"/>
  <c r="FM20" i="1" s="1"/>
  <c r="FM14" i="1"/>
  <c r="FM22" i="1" s="1"/>
  <c r="FM13" i="1"/>
  <c r="FM21" i="1" s="1"/>
  <c r="FM8" i="1"/>
  <c r="FM16" i="1" s="1"/>
  <c r="FM10" i="1"/>
  <c r="FM18" i="1" s="1"/>
  <c r="FM9" i="1"/>
  <c r="FM17" i="1" s="1"/>
  <c r="FM11" i="1"/>
  <c r="FM19" i="1" s="1"/>
  <c r="FM7" i="1"/>
  <c r="FM15" i="1" s="1"/>
  <c r="FN6" i="1"/>
  <c r="EG14" i="1"/>
  <c r="EG22" i="1" s="1"/>
  <c r="EG13" i="1"/>
  <c r="EG21" i="1" s="1"/>
  <c r="EG9" i="1"/>
  <c r="EG17" i="1" s="1"/>
  <c r="EG11" i="1"/>
  <c r="EG19" i="1" s="1"/>
  <c r="EG10" i="1"/>
  <c r="EG18" i="1" s="1"/>
  <c r="EG12" i="1"/>
  <c r="EG20" i="1" s="1"/>
  <c r="EX6" i="1"/>
  <c r="SQ6" i="1"/>
  <c r="RQ6" i="1"/>
  <c r="EG7" i="1"/>
  <c r="EG15" i="1" s="1"/>
  <c r="FA6" i="1"/>
  <c r="EH6" i="1"/>
  <c r="EG8" i="1"/>
  <c r="EG16" i="1" s="1"/>
  <c r="LS14" i="1"/>
  <c r="LS22" i="1" s="1"/>
  <c r="LS10" i="1"/>
  <c r="LS18" i="1" s="1"/>
  <c r="LS12" i="1"/>
  <c r="LS20" i="1" s="1"/>
  <c r="LS11" i="1"/>
  <c r="LS19" i="1" s="1"/>
  <c r="LS9" i="1"/>
  <c r="LS17" i="1" s="1"/>
  <c r="LS7" i="1"/>
  <c r="LS15" i="1" s="1"/>
  <c r="LS8" i="1"/>
  <c r="LS16" i="1" s="1"/>
  <c r="LS13" i="1"/>
  <c r="LS21" i="1" s="1"/>
  <c r="LB11" i="1"/>
  <c r="LB19" i="1" s="1"/>
  <c r="LB12" i="1"/>
  <c r="LB20" i="1" s="1"/>
  <c r="LB13" i="1"/>
  <c r="LB21" i="1" s="1"/>
  <c r="LB14" i="1"/>
  <c r="LB22" i="1" s="1"/>
  <c r="LB9" i="1"/>
  <c r="LB17" i="1" s="1"/>
  <c r="LB10" i="1"/>
  <c r="LB18" i="1" s="1"/>
  <c r="LB8" i="1"/>
  <c r="LB16" i="1" s="1"/>
  <c r="LB7" i="1"/>
  <c r="LB15" i="1" s="1"/>
  <c r="UQ10" i="1"/>
  <c r="UQ18" i="1" s="1"/>
  <c r="UQ8" i="1"/>
  <c r="UQ16" i="1" s="1"/>
  <c r="UQ7" i="1"/>
  <c r="UQ15" i="1" s="1"/>
  <c r="DH13" i="1"/>
  <c r="DH21" i="1" s="1"/>
  <c r="DH9" i="1"/>
  <c r="DH17" i="1" s="1"/>
  <c r="DH10" i="1"/>
  <c r="DH18" i="1" s="1"/>
  <c r="DH14" i="1"/>
  <c r="DH22" i="1" s="1"/>
  <c r="DH11" i="1"/>
  <c r="DH19" i="1" s="1"/>
  <c r="DH12" i="1"/>
  <c r="DH20" i="1" s="1"/>
  <c r="DH8" i="1"/>
  <c r="DH16" i="1" s="1"/>
  <c r="DH7" i="1"/>
  <c r="DH15" i="1" s="1"/>
  <c r="FU7" i="1"/>
  <c r="FU15" i="1" s="1"/>
  <c r="FV6" i="1"/>
  <c r="FU10" i="1"/>
  <c r="FU18" i="1" s="1"/>
  <c r="FU8" i="1"/>
  <c r="FU16" i="1" s="1"/>
  <c r="FW6" i="1"/>
  <c r="HX14" i="1"/>
  <c r="HX22" i="1" s="1"/>
  <c r="HX13" i="1"/>
  <c r="HX21" i="1" s="1"/>
  <c r="HX11" i="1"/>
  <c r="HX19" i="1" s="1"/>
  <c r="HX9" i="1"/>
  <c r="HX17" i="1" s="1"/>
  <c r="HX10" i="1"/>
  <c r="HX18" i="1" s="1"/>
  <c r="HX12" i="1"/>
  <c r="HX20" i="1" s="1"/>
  <c r="HX8" i="1"/>
  <c r="HX16" i="1" s="1"/>
  <c r="HX7" i="1"/>
  <c r="HX15" i="1" s="1"/>
  <c r="RP9" i="1"/>
  <c r="RP17" i="1" s="1"/>
  <c r="RP10" i="1"/>
  <c r="RP18" i="1" s="1"/>
  <c r="IL10" i="1"/>
  <c r="IL18" i="1" s="1"/>
  <c r="TE6" i="1"/>
  <c r="QJ6" i="1"/>
  <c r="IT6" i="1"/>
  <c r="IT10" i="1" s="1"/>
  <c r="IT18" i="1" s="1"/>
  <c r="IS6" i="1"/>
  <c r="IS10" i="1" s="1"/>
  <c r="IS18" i="1" s="1"/>
  <c r="JC6" i="1"/>
  <c r="IQ6" i="1"/>
  <c r="IQ10" i="1" s="1"/>
  <c r="IQ18" i="1" s="1"/>
  <c r="TX6" i="1"/>
  <c r="QR6" i="1"/>
  <c r="HD6" i="1"/>
  <c r="JA6" i="1"/>
  <c r="IU6" i="1"/>
  <c r="IO6" i="1"/>
  <c r="IO10" i="1" s="1"/>
  <c r="IO18" i="1" s="1"/>
  <c r="RZ6" i="1"/>
  <c r="QP6" i="1"/>
  <c r="IR6" i="1"/>
  <c r="IR10" i="1" s="1"/>
  <c r="IR18" i="1" s="1"/>
  <c r="IP6" i="1"/>
  <c r="IP10" i="1" s="1"/>
  <c r="IP18" i="1" s="1"/>
  <c r="IN6" i="1"/>
  <c r="IN10" i="1" s="1"/>
  <c r="IN18" i="1" s="1"/>
  <c r="JB6" i="1"/>
  <c r="IM6" i="1"/>
  <c r="IM10" i="1" s="1"/>
  <c r="IM18" i="1" s="1"/>
  <c r="GJ6" i="1"/>
  <c r="RC6" i="1"/>
  <c r="EL6" i="1"/>
  <c r="TS6" i="1"/>
  <c r="FJ7" i="1"/>
  <c r="FJ15" i="1" s="1"/>
  <c r="FJ8" i="1"/>
  <c r="FJ16" i="1" s="1"/>
  <c r="FJ10" i="1"/>
  <c r="FJ18" i="1" s="1"/>
  <c r="FK6" i="1"/>
  <c r="GK12" i="1" l="1"/>
  <c r="GK20" i="1" s="1"/>
  <c r="GK14" i="1"/>
  <c r="GK22" i="1" s="1"/>
  <c r="GK13" i="1"/>
  <c r="GK21" i="1" s="1"/>
  <c r="GK10" i="1"/>
  <c r="GK18" i="1" s="1"/>
  <c r="GK8" i="1"/>
  <c r="GK16" i="1" s="1"/>
  <c r="GK9" i="1"/>
  <c r="GK17" i="1" s="1"/>
  <c r="GK7" i="1"/>
  <c r="GK15" i="1" s="1"/>
  <c r="GK11" i="1"/>
  <c r="GK19" i="1" s="1"/>
  <c r="JB14" i="1"/>
  <c r="JB22" i="1" s="1"/>
  <c r="JB10" i="1"/>
  <c r="JB18" i="1" s="1"/>
  <c r="JB13" i="1"/>
  <c r="JB21" i="1" s="1"/>
  <c r="JB7" i="1"/>
  <c r="JB15" i="1" s="1"/>
  <c r="JB11" i="1"/>
  <c r="JB19" i="1" s="1"/>
  <c r="JB9" i="1"/>
  <c r="JB17" i="1" s="1"/>
  <c r="JB8" i="1"/>
  <c r="JB16" i="1" s="1"/>
  <c r="JB12" i="1"/>
  <c r="JB20" i="1" s="1"/>
  <c r="LM12" i="1"/>
  <c r="LM20" i="1" s="1"/>
  <c r="LM14" i="1"/>
  <c r="LM22" i="1" s="1"/>
  <c r="LM11" i="1"/>
  <c r="LM19" i="1" s="1"/>
  <c r="LM8" i="1"/>
  <c r="LM16" i="1" s="1"/>
  <c r="LM13" i="1"/>
  <c r="LM21" i="1" s="1"/>
  <c r="LM10" i="1"/>
  <c r="LM18" i="1" s="1"/>
  <c r="LM7" i="1"/>
  <c r="LM15" i="1" s="1"/>
  <c r="SY10" i="1"/>
  <c r="SY18" i="1" s="1"/>
  <c r="SY9" i="1"/>
  <c r="SY17" i="1" s="1"/>
  <c r="JQ14" i="1"/>
  <c r="JQ22" i="1" s="1"/>
  <c r="JQ12" i="1"/>
  <c r="JQ20" i="1" s="1"/>
  <c r="JQ10" i="1"/>
  <c r="JQ18" i="1" s="1"/>
  <c r="JQ8" i="1"/>
  <c r="JQ16" i="1" s="1"/>
  <c r="JQ9" i="1"/>
  <c r="JQ17" i="1" s="1"/>
  <c r="JQ11" i="1"/>
  <c r="JQ19" i="1" s="1"/>
  <c r="JQ13" i="1"/>
  <c r="JQ21" i="1" s="1"/>
  <c r="JQ7" i="1"/>
  <c r="JQ15" i="1" s="1"/>
  <c r="EH14" i="1"/>
  <c r="EH22" i="1" s="1"/>
  <c r="EH11" i="1"/>
  <c r="EH19" i="1" s="1"/>
  <c r="EH10" i="1"/>
  <c r="EH18" i="1" s="1"/>
  <c r="EH12" i="1"/>
  <c r="EH20" i="1" s="1"/>
  <c r="EH7" i="1"/>
  <c r="EH15" i="1" s="1"/>
  <c r="EH9" i="1"/>
  <c r="EH17" i="1" s="1"/>
  <c r="EH13" i="1"/>
  <c r="EH21" i="1" s="1"/>
  <c r="EI6" i="1"/>
  <c r="EH8" i="1"/>
  <c r="EH16" i="1" s="1"/>
  <c r="JH13" i="1"/>
  <c r="JH21" i="1" s="1"/>
  <c r="JH14" i="1"/>
  <c r="JH22" i="1" s="1"/>
  <c r="JH9" i="1"/>
  <c r="JH17" i="1" s="1"/>
  <c r="JH11" i="1"/>
  <c r="JH19" i="1" s="1"/>
  <c r="JH10" i="1"/>
  <c r="JH18" i="1" s="1"/>
  <c r="JH8" i="1"/>
  <c r="JH16" i="1" s="1"/>
  <c r="JH7" i="1"/>
  <c r="JH15" i="1" s="1"/>
  <c r="JH12" i="1"/>
  <c r="JH20" i="1" s="1"/>
  <c r="DQ8" i="1"/>
  <c r="DQ16" i="1" s="1"/>
  <c r="DU6" i="1"/>
  <c r="DT6" i="1"/>
  <c r="DQ10" i="1"/>
  <c r="DQ18" i="1" s="1"/>
  <c r="DR6" i="1"/>
  <c r="DX6" i="1"/>
  <c r="DW6" i="1"/>
  <c r="DV6" i="1"/>
  <c r="DS6" i="1"/>
  <c r="DQ7" i="1"/>
  <c r="DQ15" i="1" s="1"/>
  <c r="HW12" i="1"/>
  <c r="HW20" i="1" s="1"/>
  <c r="HW14" i="1"/>
  <c r="HW22" i="1" s="1"/>
  <c r="HW13" i="1"/>
  <c r="HW21" i="1" s="1"/>
  <c r="HW8" i="1"/>
  <c r="HW16" i="1" s="1"/>
  <c r="HW11" i="1"/>
  <c r="HW19" i="1" s="1"/>
  <c r="HW9" i="1"/>
  <c r="HW17" i="1" s="1"/>
  <c r="HW10" i="1"/>
  <c r="HW18" i="1" s="1"/>
  <c r="HW7" i="1"/>
  <c r="HW15" i="1" s="1"/>
  <c r="TV9" i="1"/>
  <c r="TV17" i="1" s="1"/>
  <c r="TV10" i="1"/>
  <c r="TV18" i="1" s="1"/>
  <c r="TW6" i="1"/>
  <c r="KT10" i="1"/>
  <c r="KT18" i="1" s="1"/>
  <c r="KT14" i="1"/>
  <c r="KT22" i="1" s="1"/>
  <c r="KT11" i="1"/>
  <c r="KT19" i="1" s="1"/>
  <c r="KT13" i="1"/>
  <c r="KT21" i="1" s="1"/>
  <c r="KT7" i="1"/>
  <c r="KT15" i="1" s="1"/>
  <c r="KT12" i="1"/>
  <c r="KT20" i="1" s="1"/>
  <c r="KT9" i="1"/>
  <c r="KT17" i="1" s="1"/>
  <c r="KT8" i="1"/>
  <c r="KT16" i="1" s="1"/>
  <c r="RT10" i="1"/>
  <c r="RT18" i="1" s="1"/>
  <c r="RT9" i="1"/>
  <c r="RT17" i="1" s="1"/>
  <c r="KI10" i="1"/>
  <c r="KI18" i="1" s="1"/>
  <c r="KI8" i="1"/>
  <c r="KI16" i="1" s="1"/>
  <c r="KI7" i="1"/>
  <c r="KI15" i="1" s="1"/>
  <c r="KR13" i="1"/>
  <c r="KR21" i="1" s="1"/>
  <c r="KR12" i="1"/>
  <c r="KR20" i="1" s="1"/>
  <c r="KR9" i="1"/>
  <c r="KR17" i="1" s="1"/>
  <c r="KR10" i="1"/>
  <c r="KR18" i="1" s="1"/>
  <c r="KR14" i="1"/>
  <c r="KR22" i="1" s="1"/>
  <c r="KR8" i="1"/>
  <c r="KR16" i="1" s="1"/>
  <c r="KR11" i="1"/>
  <c r="KR19" i="1" s="1"/>
  <c r="KR7" i="1"/>
  <c r="KR15" i="1" s="1"/>
  <c r="RS10" i="1"/>
  <c r="RS18" i="1" s="1"/>
  <c r="RS9" i="1"/>
  <c r="RS17" i="1" s="1"/>
  <c r="FK7" i="1"/>
  <c r="FK15" i="1" s="1"/>
  <c r="FK8" i="1"/>
  <c r="FK16" i="1" s="1"/>
  <c r="FK10" i="1"/>
  <c r="FK18" i="1" s="1"/>
  <c r="FN11" i="1"/>
  <c r="FN19" i="1" s="1"/>
  <c r="FN12" i="1"/>
  <c r="FN20" i="1" s="1"/>
  <c r="FN13" i="1"/>
  <c r="FN21" i="1" s="1"/>
  <c r="FN14" i="1"/>
  <c r="FN22" i="1" s="1"/>
  <c r="FN9" i="1"/>
  <c r="FN17" i="1" s="1"/>
  <c r="FN10" i="1"/>
  <c r="FN18" i="1" s="1"/>
  <c r="FN7" i="1"/>
  <c r="FN15" i="1" s="1"/>
  <c r="FN8" i="1"/>
  <c r="FN16" i="1" s="1"/>
  <c r="LP13" i="1"/>
  <c r="LP21" i="1" s="1"/>
  <c r="LP14" i="1"/>
  <c r="LP22" i="1" s="1"/>
  <c r="LP11" i="1"/>
  <c r="LP19" i="1" s="1"/>
  <c r="LP12" i="1"/>
  <c r="LP20" i="1" s="1"/>
  <c r="LP10" i="1"/>
  <c r="LP18" i="1" s="1"/>
  <c r="LP7" i="1"/>
  <c r="LP15" i="1" s="1"/>
  <c r="LP8" i="1"/>
  <c r="LP16" i="1" s="1"/>
  <c r="FA12" i="1"/>
  <c r="FA20" i="1" s="1"/>
  <c r="FA14" i="1"/>
  <c r="FA22" i="1" s="1"/>
  <c r="FA13" i="1"/>
  <c r="FA21" i="1" s="1"/>
  <c r="FA8" i="1"/>
  <c r="FA16" i="1" s="1"/>
  <c r="FA9" i="1"/>
  <c r="FA17" i="1" s="1"/>
  <c r="FA11" i="1"/>
  <c r="FA19" i="1" s="1"/>
  <c r="FF6" i="1"/>
  <c r="FA7" i="1"/>
  <c r="FA15" i="1" s="1"/>
  <c r="FA10" i="1"/>
  <c r="FA18" i="1" s="1"/>
  <c r="FE6" i="1"/>
  <c r="FD6" i="1"/>
  <c r="FC6" i="1"/>
  <c r="FB6" i="1"/>
  <c r="LG14" i="1"/>
  <c r="LG22" i="1" s="1"/>
  <c r="LG13" i="1"/>
  <c r="LG21" i="1" s="1"/>
  <c r="LG12" i="1"/>
  <c r="LG20" i="1" s="1"/>
  <c r="LG10" i="1"/>
  <c r="LG18" i="1" s="1"/>
  <c r="LG11" i="1"/>
  <c r="LG19" i="1" s="1"/>
  <c r="LG8" i="1"/>
  <c r="LG16" i="1" s="1"/>
  <c r="LG7" i="1"/>
  <c r="LG15" i="1" s="1"/>
  <c r="VJ13" i="1"/>
  <c r="VJ21" i="1" s="1"/>
  <c r="VJ14" i="1"/>
  <c r="VJ22" i="1" s="1"/>
  <c r="VJ9" i="1"/>
  <c r="VJ17" i="1" s="1"/>
  <c r="VJ12" i="1"/>
  <c r="VJ20" i="1" s="1"/>
  <c r="VJ10" i="1"/>
  <c r="VJ18" i="1" s="1"/>
  <c r="VJ11" i="1"/>
  <c r="VJ19" i="1" s="1"/>
  <c r="VJ7" i="1"/>
  <c r="VJ15" i="1" s="1"/>
  <c r="VJ8" i="1"/>
  <c r="VJ16" i="1" s="1"/>
  <c r="HL13" i="1"/>
  <c r="HL21" i="1" s="1"/>
  <c r="HL14" i="1"/>
  <c r="HL22" i="1" s="1"/>
  <c r="HL12" i="1"/>
  <c r="HL20" i="1" s="1"/>
  <c r="HL9" i="1"/>
  <c r="HL17" i="1" s="1"/>
  <c r="HL10" i="1"/>
  <c r="HL18" i="1" s="1"/>
  <c r="HL11" i="1"/>
  <c r="HL19" i="1" s="1"/>
  <c r="HL8" i="1"/>
  <c r="HL16" i="1" s="1"/>
  <c r="HP6" i="1"/>
  <c r="HL7" i="1"/>
  <c r="HL15" i="1" s="1"/>
  <c r="TD6" i="1"/>
  <c r="TC10" i="1"/>
  <c r="TC18" i="1" s="1"/>
  <c r="TC9" i="1"/>
  <c r="TC17" i="1" s="1"/>
  <c r="VX14" i="1"/>
  <c r="VX22" i="1" s="1"/>
  <c r="VX13" i="1"/>
  <c r="VX21" i="1" s="1"/>
  <c r="VX10" i="1"/>
  <c r="VX18" i="1" s="1"/>
  <c r="VX7" i="1"/>
  <c r="VX15" i="1" s="1"/>
  <c r="VX11" i="1"/>
  <c r="VX19" i="1" s="1"/>
  <c r="VX8" i="1"/>
  <c r="VX16" i="1" s="1"/>
  <c r="VX12" i="1"/>
  <c r="VX20" i="1" s="1"/>
  <c r="VX9" i="1"/>
  <c r="VX17" i="1" s="1"/>
  <c r="JT13" i="1"/>
  <c r="JT21" i="1" s="1"/>
  <c r="JT9" i="1"/>
  <c r="JT17" i="1" s="1"/>
  <c r="JT14" i="1"/>
  <c r="JT22" i="1" s="1"/>
  <c r="JT11" i="1"/>
  <c r="JT19" i="1" s="1"/>
  <c r="JT8" i="1"/>
  <c r="JT16" i="1" s="1"/>
  <c r="JT12" i="1"/>
  <c r="JT20" i="1" s="1"/>
  <c r="JT10" i="1"/>
  <c r="JT18" i="1" s="1"/>
  <c r="JT7" i="1"/>
  <c r="JT15" i="1" s="1"/>
  <c r="JD10" i="1"/>
  <c r="JD18" i="1" s="1"/>
  <c r="JD11" i="1"/>
  <c r="JD19" i="1" s="1"/>
  <c r="JD14" i="1"/>
  <c r="JD22" i="1" s="1"/>
  <c r="JD13" i="1"/>
  <c r="JD21" i="1" s="1"/>
  <c r="JD8" i="1"/>
  <c r="JD16" i="1" s="1"/>
  <c r="JD12" i="1"/>
  <c r="JD20" i="1" s="1"/>
  <c r="JD7" i="1"/>
  <c r="JD15" i="1" s="1"/>
  <c r="JD9" i="1"/>
  <c r="JD17" i="1" s="1"/>
  <c r="KG10" i="1"/>
  <c r="KG18" i="1" s="1"/>
  <c r="KG8" i="1"/>
  <c r="KG16" i="1" s="1"/>
  <c r="KG7" i="1"/>
  <c r="KG15" i="1" s="1"/>
  <c r="OY10" i="1"/>
  <c r="OY18" i="1" s="1"/>
  <c r="OY9" i="1"/>
  <c r="OY17" i="1" s="1"/>
  <c r="PA6" i="1"/>
  <c r="PB6" i="1"/>
  <c r="OZ6" i="1"/>
  <c r="VK14" i="1"/>
  <c r="VK22" i="1" s="1"/>
  <c r="VK13" i="1"/>
  <c r="VK21" i="1" s="1"/>
  <c r="VK11" i="1"/>
  <c r="VK19" i="1" s="1"/>
  <c r="VK10" i="1"/>
  <c r="VK18" i="1" s="1"/>
  <c r="VK9" i="1"/>
  <c r="VK17" i="1" s="1"/>
  <c r="VK7" i="1"/>
  <c r="VK15" i="1" s="1"/>
  <c r="VK8" i="1"/>
  <c r="VK16" i="1" s="1"/>
  <c r="VK12" i="1"/>
  <c r="VK20" i="1" s="1"/>
  <c r="KH10" i="1"/>
  <c r="KH18" i="1" s="1"/>
  <c r="KH8" i="1"/>
  <c r="KH16" i="1" s="1"/>
  <c r="KH7" i="1"/>
  <c r="KH15" i="1" s="1"/>
  <c r="JC14" i="1"/>
  <c r="JC22" i="1" s="1"/>
  <c r="JC13" i="1"/>
  <c r="JC21" i="1" s="1"/>
  <c r="JC10" i="1"/>
  <c r="JC18" i="1" s="1"/>
  <c r="JC11" i="1"/>
  <c r="JC19" i="1" s="1"/>
  <c r="JC12" i="1"/>
  <c r="JC20" i="1" s="1"/>
  <c r="JC7" i="1"/>
  <c r="JC15" i="1" s="1"/>
  <c r="JC8" i="1"/>
  <c r="JC16" i="1" s="1"/>
  <c r="JC9" i="1"/>
  <c r="JC17" i="1" s="1"/>
  <c r="VL14" i="1"/>
  <c r="VL22" i="1" s="1"/>
  <c r="VL13" i="1"/>
  <c r="VL21" i="1" s="1"/>
  <c r="VL12" i="1"/>
  <c r="VL20" i="1" s="1"/>
  <c r="VL10" i="1"/>
  <c r="VL18" i="1" s="1"/>
  <c r="VL9" i="1"/>
  <c r="VL17" i="1" s="1"/>
  <c r="VL11" i="1"/>
  <c r="VL19" i="1" s="1"/>
  <c r="VL8" i="1"/>
  <c r="VL16" i="1" s="1"/>
  <c r="VL7" i="1"/>
  <c r="VL15" i="1" s="1"/>
  <c r="FG14" i="1"/>
  <c r="FG22" i="1" s="1"/>
  <c r="FG10" i="1"/>
  <c r="FG18" i="1" s="1"/>
  <c r="FG11" i="1"/>
  <c r="FG19" i="1" s="1"/>
  <c r="FG13" i="1"/>
  <c r="FG21" i="1" s="1"/>
  <c r="FG12" i="1"/>
  <c r="FG20" i="1" s="1"/>
  <c r="FG8" i="1"/>
  <c r="FG16" i="1" s="1"/>
  <c r="FG9" i="1"/>
  <c r="FG17" i="1" s="1"/>
  <c r="FG7" i="1"/>
  <c r="FG15" i="1" s="1"/>
  <c r="FO6" i="1"/>
  <c r="TQ9" i="1"/>
  <c r="TQ17" i="1" s="1"/>
  <c r="TQ10" i="1"/>
  <c r="TQ18" i="1" s="1"/>
  <c r="QJ14" i="1"/>
  <c r="QJ22" i="1" s="1"/>
  <c r="QJ12" i="1"/>
  <c r="QJ20" i="1" s="1"/>
  <c r="QJ11" i="1"/>
  <c r="QJ19" i="1" s="1"/>
  <c r="QJ10" i="1"/>
  <c r="QJ18" i="1" s="1"/>
  <c r="QJ7" i="1"/>
  <c r="QJ15" i="1" s="1"/>
  <c r="QJ13" i="1"/>
  <c r="QJ21" i="1" s="1"/>
  <c r="QJ9" i="1"/>
  <c r="QJ17" i="1" s="1"/>
  <c r="QJ8" i="1"/>
  <c r="QJ16" i="1" s="1"/>
  <c r="LH14" i="1"/>
  <c r="LH22" i="1" s="1"/>
  <c r="LH12" i="1"/>
  <c r="LH20" i="1" s="1"/>
  <c r="LH10" i="1"/>
  <c r="LH18" i="1" s="1"/>
  <c r="LH11" i="1"/>
  <c r="LH19" i="1" s="1"/>
  <c r="LH13" i="1"/>
  <c r="LH21" i="1" s="1"/>
  <c r="LH7" i="1"/>
  <c r="LH15" i="1" s="1"/>
  <c r="LH8" i="1"/>
  <c r="LH16" i="1" s="1"/>
  <c r="FW7" i="1"/>
  <c r="FW15" i="1" s="1"/>
  <c r="FW8" i="1"/>
  <c r="FW16" i="1" s="1"/>
  <c r="FW10" i="1"/>
  <c r="FW18" i="1" s="1"/>
  <c r="EX14" i="1"/>
  <c r="EX22" i="1" s="1"/>
  <c r="EX7" i="1"/>
  <c r="EX15" i="1" s="1"/>
  <c r="EX13" i="1"/>
  <c r="EX21" i="1" s="1"/>
  <c r="EX8" i="1"/>
  <c r="EX16" i="1" s="1"/>
  <c r="EX12" i="1"/>
  <c r="EX20" i="1" s="1"/>
  <c r="EX11" i="1"/>
  <c r="EX19" i="1" s="1"/>
  <c r="EZ6" i="1"/>
  <c r="EX9" i="1"/>
  <c r="EX17" i="1" s="1"/>
  <c r="EX10" i="1"/>
  <c r="EX18" i="1" s="1"/>
  <c r="EY6" i="1"/>
  <c r="JE12" i="1"/>
  <c r="JE20" i="1" s="1"/>
  <c r="JE8" i="1"/>
  <c r="JE16" i="1" s="1"/>
  <c r="JE11" i="1"/>
  <c r="JE19" i="1" s="1"/>
  <c r="JE10" i="1"/>
  <c r="JE18" i="1" s="1"/>
  <c r="JE13" i="1"/>
  <c r="JE21" i="1" s="1"/>
  <c r="JE9" i="1"/>
  <c r="JE17" i="1" s="1"/>
  <c r="JE14" i="1"/>
  <c r="JE22" i="1" s="1"/>
  <c r="JE7" i="1"/>
  <c r="JE15" i="1" s="1"/>
  <c r="RA10" i="1"/>
  <c r="RA18" i="1" s="1"/>
  <c r="RA9" i="1"/>
  <c r="RA17" i="1" s="1"/>
  <c r="RB6" i="1"/>
  <c r="TR10" i="1"/>
  <c r="TR18" i="1" s="1"/>
  <c r="TR9" i="1"/>
  <c r="TR17" i="1" s="1"/>
  <c r="UH9" i="1"/>
  <c r="UH17" i="1" s="1"/>
  <c r="UH10" i="1"/>
  <c r="UH18" i="1" s="1"/>
  <c r="GO14" i="1"/>
  <c r="GO22" i="1" s="1"/>
  <c r="GO13" i="1"/>
  <c r="GO21" i="1" s="1"/>
  <c r="GO9" i="1"/>
  <c r="GO17" i="1" s="1"/>
  <c r="GO10" i="1"/>
  <c r="GO18" i="1" s="1"/>
  <c r="GO12" i="1"/>
  <c r="GO20" i="1" s="1"/>
  <c r="GO7" i="1"/>
  <c r="GO15" i="1" s="1"/>
  <c r="GO11" i="1"/>
  <c r="GO19" i="1" s="1"/>
  <c r="GO8" i="1"/>
  <c r="GO16" i="1" s="1"/>
  <c r="QP9" i="1"/>
  <c r="QP17" i="1" s="1"/>
  <c r="QP10" i="1"/>
  <c r="QP18" i="1" s="1"/>
  <c r="TE10" i="1"/>
  <c r="TE18" i="1" s="1"/>
  <c r="TE9" i="1"/>
  <c r="TE17" i="1" s="1"/>
  <c r="LI14" i="1"/>
  <c r="LI22" i="1" s="1"/>
  <c r="LI13" i="1"/>
  <c r="LI21" i="1" s="1"/>
  <c r="LI12" i="1"/>
  <c r="LI20" i="1" s="1"/>
  <c r="LI10" i="1"/>
  <c r="LI18" i="1" s="1"/>
  <c r="LI7" i="1"/>
  <c r="LI15" i="1" s="1"/>
  <c r="LI8" i="1"/>
  <c r="LI16" i="1" s="1"/>
  <c r="LI11" i="1"/>
  <c r="LI19" i="1" s="1"/>
  <c r="RU10" i="1"/>
  <c r="RU18" i="1" s="1"/>
  <c r="RU9" i="1"/>
  <c r="RU17" i="1" s="1"/>
  <c r="JA14" i="1"/>
  <c r="JA22" i="1" s="1"/>
  <c r="JA13" i="1"/>
  <c r="JA21" i="1" s="1"/>
  <c r="JA10" i="1"/>
  <c r="JA18" i="1" s="1"/>
  <c r="JA12" i="1"/>
  <c r="JA20" i="1" s="1"/>
  <c r="JA7" i="1"/>
  <c r="JA15" i="1" s="1"/>
  <c r="JA11" i="1"/>
  <c r="JA19" i="1" s="1"/>
  <c r="JA8" i="1"/>
  <c r="JA16" i="1" s="1"/>
  <c r="JA9" i="1"/>
  <c r="JA17" i="1" s="1"/>
  <c r="LL14" i="1"/>
  <c r="LL22" i="1" s="1"/>
  <c r="LL10" i="1"/>
  <c r="LL18" i="1" s="1"/>
  <c r="LL11" i="1"/>
  <c r="LL19" i="1" s="1"/>
  <c r="LL12" i="1"/>
  <c r="LL20" i="1" s="1"/>
  <c r="LL13" i="1"/>
  <c r="LL21" i="1" s="1"/>
  <c r="LL8" i="1"/>
  <c r="LL16" i="1" s="1"/>
  <c r="LL7" i="1"/>
  <c r="LL15" i="1" s="1"/>
  <c r="QV10" i="1"/>
  <c r="QV18" i="1" s="1"/>
  <c r="QV9" i="1"/>
  <c r="QV17" i="1" s="1"/>
  <c r="GH14" i="1"/>
  <c r="GH22" i="1" s="1"/>
  <c r="GH13" i="1"/>
  <c r="GH21" i="1" s="1"/>
  <c r="GH12" i="1"/>
  <c r="GH20" i="1" s="1"/>
  <c r="GH11" i="1"/>
  <c r="GH19" i="1" s="1"/>
  <c r="GH7" i="1"/>
  <c r="GH15" i="1" s="1"/>
  <c r="GH9" i="1"/>
  <c r="GH17" i="1" s="1"/>
  <c r="GH10" i="1"/>
  <c r="GH18" i="1" s="1"/>
  <c r="GH8" i="1"/>
  <c r="GH16" i="1" s="1"/>
  <c r="HV11" i="1"/>
  <c r="HV19" i="1" s="1"/>
  <c r="HV12" i="1"/>
  <c r="HV20" i="1" s="1"/>
  <c r="HV14" i="1"/>
  <c r="HV22" i="1" s="1"/>
  <c r="HV13" i="1"/>
  <c r="HV21" i="1" s="1"/>
  <c r="HV9" i="1"/>
  <c r="HV17" i="1" s="1"/>
  <c r="HV10" i="1"/>
  <c r="HV18" i="1" s="1"/>
  <c r="HV7" i="1"/>
  <c r="HV15" i="1" s="1"/>
  <c r="HV8" i="1"/>
  <c r="HV16" i="1" s="1"/>
  <c r="IK6" i="1"/>
  <c r="UI9" i="1"/>
  <c r="UI17" i="1" s="1"/>
  <c r="UI10" i="1"/>
  <c r="UI18" i="1" s="1"/>
  <c r="HK10" i="1"/>
  <c r="HK18" i="1" s="1"/>
  <c r="HN6" i="1"/>
  <c r="HN10" i="1" s="1"/>
  <c r="HN18" i="1" s="1"/>
  <c r="RZ9" i="1"/>
  <c r="RZ17" i="1" s="1"/>
  <c r="RZ10" i="1"/>
  <c r="RZ18" i="1" s="1"/>
  <c r="LF14" i="1"/>
  <c r="LF22" i="1" s="1"/>
  <c r="LF13" i="1"/>
  <c r="LF21" i="1" s="1"/>
  <c r="LF12" i="1"/>
  <c r="LF20" i="1" s="1"/>
  <c r="LF10" i="1"/>
  <c r="LF18" i="1" s="1"/>
  <c r="LF7" i="1"/>
  <c r="LF15" i="1" s="1"/>
  <c r="LF11" i="1"/>
  <c r="LF19" i="1" s="1"/>
  <c r="LF8" i="1"/>
  <c r="LF16" i="1" s="1"/>
  <c r="IU10" i="1"/>
  <c r="IU18" i="1" s="1"/>
  <c r="IV6" i="1"/>
  <c r="IV10" i="1" s="1"/>
  <c r="IV18" i="1" s="1"/>
  <c r="HD14" i="1"/>
  <c r="HD22" i="1" s="1"/>
  <c r="HD13" i="1"/>
  <c r="HD21" i="1" s="1"/>
  <c r="HD10" i="1"/>
  <c r="HD18" i="1" s="1"/>
  <c r="HD9" i="1"/>
  <c r="HD17" i="1" s="1"/>
  <c r="HD11" i="1"/>
  <c r="HD19" i="1" s="1"/>
  <c r="HD7" i="1"/>
  <c r="HD15" i="1" s="1"/>
  <c r="HD8" i="1"/>
  <c r="HD16" i="1" s="1"/>
  <c r="HD12" i="1"/>
  <c r="HD20" i="1" s="1"/>
  <c r="LJ14" i="1"/>
  <c r="LJ22" i="1" s="1"/>
  <c r="LJ10" i="1"/>
  <c r="LJ18" i="1" s="1"/>
  <c r="LJ13" i="1"/>
  <c r="LJ21" i="1" s="1"/>
  <c r="LJ11" i="1"/>
  <c r="LJ19" i="1" s="1"/>
  <c r="LJ12" i="1"/>
  <c r="LJ20" i="1" s="1"/>
  <c r="LJ7" i="1"/>
  <c r="LJ15" i="1" s="1"/>
  <c r="LJ8" i="1"/>
  <c r="LJ16" i="1" s="1"/>
  <c r="LN11" i="1"/>
  <c r="LN19" i="1" s="1"/>
  <c r="LN12" i="1"/>
  <c r="LN20" i="1" s="1"/>
  <c r="LN13" i="1"/>
  <c r="LN21" i="1" s="1"/>
  <c r="LN14" i="1"/>
  <c r="LN22" i="1" s="1"/>
  <c r="LN10" i="1"/>
  <c r="LN18" i="1" s="1"/>
  <c r="LN7" i="1"/>
  <c r="LN15" i="1" s="1"/>
  <c r="LN8" i="1"/>
  <c r="LN16" i="1" s="1"/>
  <c r="QW9" i="1"/>
  <c r="QW17" i="1" s="1"/>
  <c r="QW10" i="1"/>
  <c r="QW18" i="1" s="1"/>
  <c r="QH13" i="1"/>
  <c r="QH21" i="1" s="1"/>
  <c r="QH11" i="1"/>
  <c r="QH19" i="1" s="1"/>
  <c r="QH12" i="1"/>
  <c r="QH20" i="1" s="1"/>
  <c r="QH10" i="1"/>
  <c r="QH18" i="1" s="1"/>
  <c r="QH8" i="1"/>
  <c r="QH16" i="1" s="1"/>
  <c r="QH14" i="1"/>
  <c r="QH22" i="1" s="1"/>
  <c r="QI6" i="1"/>
  <c r="QH7" i="1"/>
  <c r="QH15" i="1" s="1"/>
  <c r="QH9" i="1"/>
  <c r="QH17" i="1" s="1"/>
  <c r="IY6" i="1"/>
  <c r="SZ10" i="1"/>
  <c r="SZ18" i="1" s="1"/>
  <c r="SZ9" i="1"/>
  <c r="SZ17" i="1" s="1"/>
  <c r="GG13" i="1"/>
  <c r="GG21" i="1" s="1"/>
  <c r="GG14" i="1"/>
  <c r="GG22" i="1" s="1"/>
  <c r="GG12" i="1"/>
  <c r="GG20" i="1" s="1"/>
  <c r="GG11" i="1"/>
  <c r="GG19" i="1" s="1"/>
  <c r="GG7" i="1"/>
  <c r="GG15" i="1" s="1"/>
  <c r="GG9" i="1"/>
  <c r="GG17" i="1" s="1"/>
  <c r="GG10" i="1"/>
  <c r="GG18" i="1" s="1"/>
  <c r="GG8" i="1"/>
  <c r="GG16" i="1" s="1"/>
  <c r="KS14" i="1"/>
  <c r="KS22" i="1" s="1"/>
  <c r="KS13" i="1"/>
  <c r="KS21" i="1" s="1"/>
  <c r="KS9" i="1"/>
  <c r="KS17" i="1" s="1"/>
  <c r="KS10" i="1"/>
  <c r="KS18" i="1" s="1"/>
  <c r="KS11" i="1"/>
  <c r="KS19" i="1" s="1"/>
  <c r="KS12" i="1"/>
  <c r="KS20" i="1" s="1"/>
  <c r="KS8" i="1"/>
  <c r="KS16" i="1" s="1"/>
  <c r="KS7" i="1"/>
  <c r="KS15" i="1" s="1"/>
  <c r="GV14" i="1"/>
  <c r="GV22" i="1" s="1"/>
  <c r="GV11" i="1"/>
  <c r="GV19" i="1" s="1"/>
  <c r="GV12" i="1"/>
  <c r="GV20" i="1" s="1"/>
  <c r="GV8" i="1"/>
  <c r="GV16" i="1" s="1"/>
  <c r="GW6" i="1"/>
  <c r="GV10" i="1"/>
  <c r="GV18" i="1" s="1"/>
  <c r="GV13" i="1"/>
  <c r="GV21" i="1" s="1"/>
  <c r="GV7" i="1"/>
  <c r="GV15" i="1" s="1"/>
  <c r="GV9" i="1"/>
  <c r="GV17" i="1" s="1"/>
  <c r="RX10" i="1"/>
  <c r="RX18" i="1" s="1"/>
  <c r="RX9" i="1"/>
  <c r="RX17" i="1" s="1"/>
  <c r="KK7" i="1"/>
  <c r="KK15" i="1" s="1"/>
  <c r="KK10" i="1"/>
  <c r="KK18" i="1" s="1"/>
  <c r="KK8" i="1"/>
  <c r="KK16" i="1" s="1"/>
  <c r="UG9" i="1"/>
  <c r="UG17" i="1" s="1"/>
  <c r="UG10" i="1"/>
  <c r="UG18" i="1" s="1"/>
  <c r="GM12" i="1"/>
  <c r="GM20" i="1" s="1"/>
  <c r="GM13" i="1"/>
  <c r="GM21" i="1" s="1"/>
  <c r="GM14" i="1"/>
  <c r="GM22" i="1" s="1"/>
  <c r="GM9" i="1"/>
  <c r="GM17" i="1" s="1"/>
  <c r="GM11" i="1"/>
  <c r="GM19" i="1" s="1"/>
  <c r="GM10" i="1"/>
  <c r="GM18" i="1" s="1"/>
  <c r="GM8" i="1"/>
  <c r="GM16" i="1" s="1"/>
  <c r="GM7" i="1"/>
  <c r="GM15" i="1" s="1"/>
  <c r="OO10" i="1"/>
  <c r="OO18" i="1" s="1"/>
  <c r="OX6" i="1"/>
  <c r="OO7" i="1"/>
  <c r="OO15" i="1" s="1"/>
  <c r="OT6" i="1"/>
  <c r="OR6" i="1"/>
  <c r="OQ6" i="1"/>
  <c r="OS6" i="1"/>
  <c r="OP6" i="1"/>
  <c r="OO8" i="1"/>
  <c r="OO16" i="1" s="1"/>
  <c r="IB10" i="1"/>
  <c r="IB18" i="1" s="1"/>
  <c r="IG6" i="1"/>
  <c r="IG10" i="1" s="1"/>
  <c r="IG18" i="1" s="1"/>
  <c r="IE6" i="1"/>
  <c r="IC6" i="1"/>
  <c r="IC10" i="1" s="1"/>
  <c r="IC18" i="1" s="1"/>
  <c r="QR8" i="1"/>
  <c r="QR16" i="1" s="1"/>
  <c r="QR7" i="1"/>
  <c r="QR15" i="1" s="1"/>
  <c r="LO12" i="1"/>
  <c r="LO20" i="1" s="1"/>
  <c r="LO13" i="1"/>
  <c r="LO21" i="1" s="1"/>
  <c r="LO14" i="1"/>
  <c r="LO22" i="1" s="1"/>
  <c r="LO11" i="1"/>
  <c r="LO19" i="1" s="1"/>
  <c r="LO8" i="1"/>
  <c r="LO16" i="1" s="1"/>
  <c r="LO10" i="1"/>
  <c r="LO18" i="1" s="1"/>
  <c r="LO7" i="1"/>
  <c r="LO15" i="1" s="1"/>
  <c r="JF11" i="1"/>
  <c r="JF19" i="1" s="1"/>
  <c r="JF12" i="1"/>
  <c r="JF20" i="1" s="1"/>
  <c r="JF13" i="1"/>
  <c r="JF21" i="1" s="1"/>
  <c r="JF9" i="1"/>
  <c r="JF17" i="1" s="1"/>
  <c r="JF8" i="1"/>
  <c r="JF16" i="1" s="1"/>
  <c r="JF10" i="1"/>
  <c r="JF18" i="1" s="1"/>
  <c r="JF14" i="1"/>
  <c r="JF22" i="1" s="1"/>
  <c r="JF7" i="1"/>
  <c r="JF15" i="1" s="1"/>
  <c r="KU14" i="1"/>
  <c r="KU22" i="1" s="1"/>
  <c r="KU13" i="1"/>
  <c r="KU21" i="1" s="1"/>
  <c r="KU12" i="1"/>
  <c r="KU20" i="1" s="1"/>
  <c r="KU10" i="1"/>
  <c r="KU18" i="1" s="1"/>
  <c r="KU8" i="1"/>
  <c r="KU16" i="1" s="1"/>
  <c r="KU7" i="1"/>
  <c r="KU15" i="1" s="1"/>
  <c r="KU11" i="1"/>
  <c r="KU19" i="1" s="1"/>
  <c r="KU9" i="1"/>
  <c r="KU17" i="1" s="1"/>
  <c r="KL10" i="1"/>
  <c r="KL18" i="1" s="1"/>
  <c r="KL7" i="1"/>
  <c r="KL15" i="1" s="1"/>
  <c r="KL8" i="1"/>
  <c r="KL16" i="1" s="1"/>
  <c r="GN13" i="1"/>
  <c r="GN21" i="1" s="1"/>
  <c r="GN14" i="1"/>
  <c r="GN22" i="1" s="1"/>
  <c r="GN9" i="1"/>
  <c r="GN17" i="1" s="1"/>
  <c r="GN10" i="1"/>
  <c r="GN18" i="1" s="1"/>
  <c r="GN12" i="1"/>
  <c r="GN20" i="1" s="1"/>
  <c r="GN11" i="1"/>
  <c r="GN19" i="1" s="1"/>
  <c r="GN8" i="1"/>
  <c r="GN16" i="1" s="1"/>
  <c r="GN7" i="1"/>
  <c r="GN15" i="1" s="1"/>
  <c r="RQ9" i="1"/>
  <c r="RQ17" i="1" s="1"/>
  <c r="RQ10" i="1"/>
  <c r="RQ18" i="1" s="1"/>
  <c r="TS10" i="1"/>
  <c r="TS18" i="1" s="1"/>
  <c r="TS9" i="1"/>
  <c r="TS17" i="1" s="1"/>
  <c r="SQ9" i="1"/>
  <c r="SQ17" i="1" s="1"/>
  <c r="SQ10" i="1"/>
  <c r="SQ18" i="1" s="1"/>
  <c r="EL14" i="1"/>
  <c r="EL22" i="1" s="1"/>
  <c r="EL11" i="1"/>
  <c r="EL19" i="1" s="1"/>
  <c r="EL7" i="1"/>
  <c r="EL15" i="1" s="1"/>
  <c r="EL12" i="1"/>
  <c r="EL20" i="1" s="1"/>
  <c r="EL9" i="1"/>
  <c r="EL17" i="1" s="1"/>
  <c r="EL8" i="1"/>
  <c r="EL16" i="1" s="1"/>
  <c r="EL10" i="1"/>
  <c r="EL18" i="1" s="1"/>
  <c r="EL13" i="1"/>
  <c r="EL21" i="1" s="1"/>
  <c r="RC9" i="1"/>
  <c r="RC17" i="1" s="1"/>
  <c r="RC10" i="1"/>
  <c r="RC18" i="1" s="1"/>
  <c r="FV7" i="1"/>
  <c r="FV15" i="1" s="1"/>
  <c r="FV8" i="1"/>
  <c r="FV16" i="1" s="1"/>
  <c r="FV10" i="1"/>
  <c r="FV18" i="1" s="1"/>
  <c r="GJ11" i="1"/>
  <c r="GJ19" i="1" s="1"/>
  <c r="GJ14" i="1"/>
  <c r="GJ22" i="1" s="1"/>
  <c r="GJ13" i="1"/>
  <c r="GJ21" i="1" s="1"/>
  <c r="GJ9" i="1"/>
  <c r="GJ17" i="1" s="1"/>
  <c r="GJ12" i="1"/>
  <c r="GJ20" i="1" s="1"/>
  <c r="GJ10" i="1"/>
  <c r="GJ18" i="1" s="1"/>
  <c r="GJ8" i="1"/>
  <c r="GJ16" i="1" s="1"/>
  <c r="GJ7" i="1"/>
  <c r="GJ15" i="1" s="1"/>
  <c r="TX9" i="1"/>
  <c r="TX17" i="1" s="1"/>
  <c r="TX10" i="1"/>
  <c r="TX18" i="1" s="1"/>
  <c r="HE13" i="1"/>
  <c r="HE21" i="1" s="1"/>
  <c r="HE14" i="1"/>
  <c r="HE22" i="1" s="1"/>
  <c r="HE11" i="1"/>
  <c r="HE19" i="1" s="1"/>
  <c r="HE10" i="1"/>
  <c r="HE18" i="1" s="1"/>
  <c r="HE7" i="1"/>
  <c r="HE15" i="1" s="1"/>
  <c r="HE12" i="1"/>
  <c r="HE20" i="1" s="1"/>
  <c r="HE9" i="1"/>
  <c r="HE17" i="1" s="1"/>
  <c r="HE8" i="1"/>
  <c r="HE16" i="1" s="1"/>
  <c r="LK14" i="1"/>
  <c r="LK22" i="1" s="1"/>
  <c r="LK13" i="1"/>
  <c r="LK21" i="1" s="1"/>
  <c r="LK11" i="1"/>
  <c r="LK19" i="1" s="1"/>
  <c r="LK7" i="1"/>
  <c r="LK15" i="1" s="1"/>
  <c r="LK8" i="1"/>
  <c r="LK16" i="1" s="1"/>
  <c r="LK10" i="1"/>
  <c r="LK18" i="1" s="1"/>
  <c r="LK12" i="1"/>
  <c r="LK20" i="1" s="1"/>
  <c r="JG12" i="1"/>
  <c r="JG20" i="1" s="1"/>
  <c r="JG13" i="1"/>
  <c r="JG21" i="1" s="1"/>
  <c r="JG14" i="1"/>
  <c r="JG22" i="1" s="1"/>
  <c r="JG8" i="1"/>
  <c r="JG16" i="1" s="1"/>
  <c r="JG9" i="1"/>
  <c r="JG17" i="1" s="1"/>
  <c r="JG11" i="1"/>
  <c r="JG19" i="1" s="1"/>
  <c r="JG10" i="1"/>
  <c r="JG18" i="1" s="1"/>
  <c r="JG7" i="1"/>
  <c r="JG15" i="1" s="1"/>
  <c r="SX10" i="1"/>
  <c r="SX18" i="1" s="1"/>
  <c r="SX9" i="1"/>
  <c r="SX17" i="1" s="1"/>
  <c r="KV12" i="1"/>
  <c r="KV20" i="1" s="1"/>
  <c r="KV11" i="1"/>
  <c r="KV19" i="1" s="1"/>
  <c r="KV13" i="1"/>
  <c r="KV21" i="1" s="1"/>
  <c r="KV8" i="1"/>
  <c r="KV16" i="1" s="1"/>
  <c r="KV7" i="1"/>
  <c r="KV15" i="1" s="1"/>
  <c r="KV14" i="1"/>
  <c r="KV22" i="1" s="1"/>
  <c r="KV10" i="1"/>
  <c r="KV18" i="1" s="1"/>
  <c r="KV9" i="1"/>
  <c r="KV17" i="1" s="1"/>
  <c r="RY10" i="1"/>
  <c r="RY18" i="1" s="1"/>
  <c r="RY9" i="1"/>
  <c r="RY17" i="1" s="1"/>
  <c r="KM7" i="1"/>
  <c r="KM15" i="1" s="1"/>
  <c r="KM8" i="1"/>
  <c r="KM16" i="1" s="1"/>
  <c r="KM10" i="1"/>
  <c r="KM18" i="1" s="1"/>
  <c r="GL11" i="1"/>
  <c r="GL19" i="1" s="1"/>
  <c r="GL12" i="1"/>
  <c r="GL20" i="1" s="1"/>
  <c r="GL13" i="1"/>
  <c r="GL21" i="1" s="1"/>
  <c r="GL9" i="1"/>
  <c r="GL17" i="1" s="1"/>
  <c r="GL10" i="1"/>
  <c r="GL18" i="1" s="1"/>
  <c r="GL14" i="1"/>
  <c r="GL22" i="1" s="1"/>
  <c r="GL7" i="1"/>
  <c r="GL15" i="1" s="1"/>
  <c r="GL8" i="1"/>
  <c r="GL16" i="1" s="1"/>
  <c r="OP10" i="1" l="1"/>
  <c r="OP18" i="1" s="1"/>
  <c r="OP7" i="1"/>
  <c r="OP15" i="1" s="1"/>
  <c r="OP8" i="1"/>
  <c r="OP16" i="1" s="1"/>
  <c r="FF14" i="1"/>
  <c r="FF22" i="1" s="1"/>
  <c r="FF10" i="1"/>
  <c r="FF18" i="1" s="1"/>
  <c r="FF11" i="1"/>
  <c r="FF19" i="1" s="1"/>
  <c r="FF13" i="1"/>
  <c r="FF21" i="1" s="1"/>
  <c r="FF12" i="1"/>
  <c r="FF20" i="1" s="1"/>
  <c r="FF9" i="1"/>
  <c r="FF17" i="1" s="1"/>
  <c r="FF7" i="1"/>
  <c r="FF15" i="1" s="1"/>
  <c r="FF8" i="1"/>
  <c r="FF16" i="1" s="1"/>
  <c r="TW9" i="1"/>
  <c r="TW17" i="1" s="1"/>
  <c r="TW10" i="1"/>
  <c r="TW18" i="1" s="1"/>
  <c r="DS10" i="1"/>
  <c r="DS18" i="1" s="1"/>
  <c r="DS8" i="1"/>
  <c r="DS16" i="1" s="1"/>
  <c r="DS7" i="1"/>
  <c r="DS15" i="1" s="1"/>
  <c r="OS8" i="1"/>
  <c r="OS16" i="1" s="1"/>
  <c r="OS10" i="1"/>
  <c r="OS18" i="1" s="1"/>
  <c r="OS7" i="1"/>
  <c r="OS15" i="1" s="1"/>
  <c r="EY14" i="1"/>
  <c r="EY22" i="1" s="1"/>
  <c r="EY13" i="1"/>
  <c r="EY21" i="1" s="1"/>
  <c r="EY12" i="1"/>
  <c r="EY20" i="1" s="1"/>
  <c r="EY7" i="1"/>
  <c r="EY15" i="1" s="1"/>
  <c r="EY8" i="1"/>
  <c r="EY16" i="1" s="1"/>
  <c r="EY9" i="1"/>
  <c r="EY17" i="1" s="1"/>
  <c r="EY11" i="1"/>
  <c r="EY19" i="1" s="1"/>
  <c r="EY10" i="1"/>
  <c r="EY18" i="1" s="1"/>
  <c r="DV10" i="1"/>
  <c r="DV18" i="1" s="1"/>
  <c r="DV7" i="1"/>
  <c r="DV15" i="1" s="1"/>
  <c r="DV8" i="1"/>
  <c r="DV16" i="1" s="1"/>
  <c r="IY14" i="1"/>
  <c r="IY22" i="1" s="1"/>
  <c r="IY13" i="1"/>
  <c r="IY21" i="1" s="1"/>
  <c r="IY12" i="1"/>
  <c r="IY20" i="1" s="1"/>
  <c r="IY10" i="1"/>
  <c r="IY18" i="1" s="1"/>
  <c r="IY11" i="1"/>
  <c r="IY19" i="1" s="1"/>
  <c r="IY9" i="1"/>
  <c r="IY17" i="1" s="1"/>
  <c r="IY8" i="1"/>
  <c r="IY16" i="1" s="1"/>
  <c r="IY7" i="1"/>
  <c r="IY15" i="1" s="1"/>
  <c r="IK14" i="1"/>
  <c r="IK22" i="1" s="1"/>
  <c r="IK13" i="1"/>
  <c r="IK21" i="1" s="1"/>
  <c r="IK11" i="1"/>
  <c r="IK19" i="1" s="1"/>
  <c r="IK9" i="1"/>
  <c r="IK17" i="1" s="1"/>
  <c r="IK12" i="1"/>
  <c r="IK20" i="1" s="1"/>
  <c r="IK7" i="1"/>
  <c r="IK15" i="1" s="1"/>
  <c r="IK10" i="1"/>
  <c r="IK18" i="1" s="1"/>
  <c r="IK8" i="1"/>
  <c r="IK16" i="1" s="1"/>
  <c r="DX10" i="1"/>
  <c r="DX18" i="1" s="1"/>
  <c r="DX7" i="1"/>
  <c r="DX15" i="1" s="1"/>
  <c r="DX8" i="1"/>
  <c r="DX16" i="1" s="1"/>
  <c r="EZ11" i="1"/>
  <c r="EZ19" i="1" s="1"/>
  <c r="EZ14" i="1"/>
  <c r="EZ22" i="1" s="1"/>
  <c r="EZ12" i="1"/>
  <c r="EZ20" i="1" s="1"/>
  <c r="EZ8" i="1"/>
  <c r="EZ16" i="1" s="1"/>
  <c r="EZ13" i="1"/>
  <c r="EZ21" i="1" s="1"/>
  <c r="EZ9" i="1"/>
  <c r="EZ17" i="1" s="1"/>
  <c r="EZ7" i="1"/>
  <c r="EZ15" i="1" s="1"/>
  <c r="EZ10" i="1"/>
  <c r="EZ18" i="1" s="1"/>
  <c r="DR10" i="1"/>
  <c r="DR18" i="1" s="1"/>
  <c r="DR7" i="1"/>
  <c r="DR15" i="1" s="1"/>
  <c r="DR8" i="1"/>
  <c r="DR16" i="1" s="1"/>
  <c r="OQ10" i="1"/>
  <c r="OQ18" i="1" s="1"/>
  <c r="OQ7" i="1"/>
  <c r="OQ15" i="1" s="1"/>
  <c r="OQ8" i="1"/>
  <c r="OQ16" i="1" s="1"/>
  <c r="DW10" i="1"/>
  <c r="DW18" i="1" s="1"/>
  <c r="DW8" i="1"/>
  <c r="DW16" i="1" s="1"/>
  <c r="DW7" i="1"/>
  <c r="DW15" i="1" s="1"/>
  <c r="OT8" i="1"/>
  <c r="OT16" i="1" s="1"/>
  <c r="OT10" i="1"/>
  <c r="OT18" i="1" s="1"/>
  <c r="OT7" i="1"/>
  <c r="OT15" i="1" s="1"/>
  <c r="QI14" i="1"/>
  <c r="QI22" i="1" s="1"/>
  <c r="QI11" i="1"/>
  <c r="QI19" i="1" s="1"/>
  <c r="QI13" i="1"/>
  <c r="QI21" i="1" s="1"/>
  <c r="QI10" i="1"/>
  <c r="QI18" i="1" s="1"/>
  <c r="QI12" i="1"/>
  <c r="QI20" i="1" s="1"/>
  <c r="QI8" i="1"/>
  <c r="QI16" i="1" s="1"/>
  <c r="QI7" i="1"/>
  <c r="QI15" i="1" s="1"/>
  <c r="QI9" i="1"/>
  <c r="QI17" i="1" s="1"/>
  <c r="IZ6" i="1"/>
  <c r="TD10" i="1"/>
  <c r="TD18" i="1" s="1"/>
  <c r="TD9" i="1"/>
  <c r="TD17" i="1" s="1"/>
  <c r="GW12" i="1"/>
  <c r="GW20" i="1" s="1"/>
  <c r="GW14" i="1"/>
  <c r="GW22" i="1" s="1"/>
  <c r="GW11" i="1"/>
  <c r="GW19" i="1" s="1"/>
  <c r="GW13" i="1"/>
  <c r="GW21" i="1" s="1"/>
  <c r="GW8" i="1"/>
  <c r="GW16" i="1" s="1"/>
  <c r="GW9" i="1"/>
  <c r="GW17" i="1" s="1"/>
  <c r="GW10" i="1"/>
  <c r="GW18" i="1" s="1"/>
  <c r="GX6" i="1"/>
  <c r="GW7" i="1"/>
  <c r="GW15" i="1" s="1"/>
  <c r="GZ6" i="1"/>
  <c r="HA6" i="1"/>
  <c r="OX12" i="1"/>
  <c r="OX20" i="1" s="1"/>
  <c r="OX11" i="1"/>
  <c r="OX19" i="1" s="1"/>
  <c r="OX14" i="1"/>
  <c r="OX22" i="1" s="1"/>
  <c r="OX13" i="1"/>
  <c r="OX21" i="1" s="1"/>
  <c r="OX9" i="1"/>
  <c r="OX17" i="1" s="1"/>
  <c r="OX7" i="1"/>
  <c r="OX15" i="1" s="1"/>
  <c r="OX10" i="1"/>
  <c r="OX18" i="1" s="1"/>
  <c r="OX8" i="1"/>
  <c r="OX16" i="1" s="1"/>
  <c r="FB11" i="1"/>
  <c r="FB19" i="1" s="1"/>
  <c r="FB12" i="1"/>
  <c r="FB20" i="1" s="1"/>
  <c r="FB13" i="1"/>
  <c r="FB21" i="1" s="1"/>
  <c r="FB9" i="1"/>
  <c r="FB17" i="1" s="1"/>
  <c r="FB10" i="1"/>
  <c r="FB18" i="1" s="1"/>
  <c r="FB14" i="1"/>
  <c r="FB22" i="1" s="1"/>
  <c r="FB7" i="1"/>
  <c r="FB15" i="1" s="1"/>
  <c r="FB8" i="1"/>
  <c r="FB16" i="1" s="1"/>
  <c r="DT10" i="1"/>
  <c r="DT18" i="1" s="1"/>
  <c r="DT8" i="1"/>
  <c r="DT16" i="1" s="1"/>
  <c r="DT7" i="1"/>
  <c r="DT15" i="1" s="1"/>
  <c r="EI14" i="1"/>
  <c r="EI22" i="1" s="1"/>
  <c r="EI10" i="1"/>
  <c r="EI18" i="1" s="1"/>
  <c r="EI13" i="1"/>
  <c r="EI21" i="1" s="1"/>
  <c r="EI11" i="1"/>
  <c r="EI19" i="1" s="1"/>
  <c r="EI12" i="1"/>
  <c r="EI20" i="1" s="1"/>
  <c r="EI9" i="1"/>
  <c r="EI17" i="1" s="1"/>
  <c r="EI8" i="1"/>
  <c r="EI16" i="1" s="1"/>
  <c r="EI7" i="1"/>
  <c r="EI15" i="1" s="1"/>
  <c r="FO12" i="1"/>
  <c r="FO20" i="1" s="1"/>
  <c r="FO13" i="1"/>
  <c r="FO21" i="1" s="1"/>
  <c r="FO14" i="1"/>
  <c r="FO22" i="1" s="1"/>
  <c r="FO9" i="1"/>
  <c r="FO17" i="1" s="1"/>
  <c r="FO10" i="1"/>
  <c r="FO18" i="1" s="1"/>
  <c r="FO11" i="1"/>
  <c r="FO19" i="1" s="1"/>
  <c r="FO8" i="1"/>
  <c r="FO16" i="1" s="1"/>
  <c r="FO7" i="1"/>
  <c r="FO15" i="1" s="1"/>
  <c r="OZ9" i="1"/>
  <c r="OZ17" i="1" s="1"/>
  <c r="OZ10" i="1"/>
  <c r="OZ18" i="1" s="1"/>
  <c r="HP14" i="1"/>
  <c r="HP22" i="1" s="1"/>
  <c r="HP12" i="1"/>
  <c r="HP20" i="1" s="1"/>
  <c r="HP10" i="1"/>
  <c r="HP18" i="1" s="1"/>
  <c r="HP9" i="1"/>
  <c r="HP17" i="1" s="1"/>
  <c r="HP13" i="1"/>
  <c r="HP21" i="1" s="1"/>
  <c r="HP7" i="1"/>
  <c r="HP15" i="1" s="1"/>
  <c r="HP8" i="1"/>
  <c r="HP16" i="1" s="1"/>
  <c r="HP11" i="1"/>
  <c r="HP19" i="1" s="1"/>
  <c r="HO6" i="1"/>
  <c r="HT6" i="1"/>
  <c r="FC12" i="1"/>
  <c r="FC20" i="1" s="1"/>
  <c r="FC13" i="1"/>
  <c r="FC21" i="1" s="1"/>
  <c r="FC9" i="1"/>
  <c r="FC17" i="1" s="1"/>
  <c r="FC11" i="1"/>
  <c r="FC19" i="1" s="1"/>
  <c r="FC14" i="1"/>
  <c r="FC22" i="1" s="1"/>
  <c r="FC10" i="1"/>
  <c r="FC18" i="1" s="1"/>
  <c r="FC7" i="1"/>
  <c r="FC15" i="1" s="1"/>
  <c r="FC8" i="1"/>
  <c r="FC16" i="1" s="1"/>
  <c r="DU10" i="1"/>
  <c r="DU18" i="1" s="1"/>
  <c r="DU7" i="1"/>
  <c r="DU15" i="1" s="1"/>
  <c r="DU8" i="1"/>
  <c r="DU16" i="1" s="1"/>
  <c r="PB10" i="1"/>
  <c r="PB18" i="1" s="1"/>
  <c r="PB9" i="1"/>
  <c r="PB17" i="1" s="1"/>
  <c r="FD13" i="1"/>
  <c r="FD21" i="1" s="1"/>
  <c r="FD14" i="1"/>
  <c r="FD22" i="1" s="1"/>
  <c r="FD12" i="1"/>
  <c r="FD20" i="1" s="1"/>
  <c r="FD9" i="1"/>
  <c r="FD17" i="1" s="1"/>
  <c r="FD10" i="1"/>
  <c r="FD18" i="1" s="1"/>
  <c r="FD11" i="1"/>
  <c r="FD19" i="1" s="1"/>
  <c r="FD8" i="1"/>
  <c r="FD16" i="1" s="1"/>
  <c r="FD7" i="1"/>
  <c r="FD15" i="1" s="1"/>
  <c r="IE10" i="1"/>
  <c r="IE18" i="1" s="1"/>
  <c r="IF6" i="1"/>
  <c r="IF10" i="1" s="1"/>
  <c r="IF18" i="1" s="1"/>
  <c r="PA10" i="1"/>
  <c r="PA18" i="1" s="1"/>
  <c r="PA9" i="1"/>
  <c r="PA17" i="1" s="1"/>
  <c r="FE14" i="1"/>
  <c r="FE22" i="1" s="1"/>
  <c r="FE13" i="1"/>
  <c r="FE21" i="1" s="1"/>
  <c r="FE12" i="1"/>
  <c r="FE20" i="1" s="1"/>
  <c r="FE9" i="1"/>
  <c r="FE17" i="1" s="1"/>
  <c r="FE10" i="1"/>
  <c r="FE18" i="1" s="1"/>
  <c r="FE11" i="1"/>
  <c r="FE19" i="1" s="1"/>
  <c r="FE7" i="1"/>
  <c r="FE15" i="1" s="1"/>
  <c r="FE8" i="1"/>
  <c r="FE16" i="1" s="1"/>
  <c r="RB9" i="1"/>
  <c r="RB17" i="1" s="1"/>
  <c r="RB10" i="1"/>
  <c r="RB18" i="1" s="1"/>
  <c r="OR10" i="1"/>
  <c r="OR18" i="1" s="1"/>
  <c r="OR8" i="1"/>
  <c r="OR16" i="1" s="1"/>
  <c r="OR7" i="1"/>
  <c r="OR15" i="1" s="1"/>
  <c r="HA14" i="1" l="1"/>
  <c r="HA22" i="1" s="1"/>
  <c r="HA13" i="1"/>
  <c r="HA21" i="1" s="1"/>
  <c r="HA9" i="1"/>
  <c r="HA17" i="1" s="1"/>
  <c r="HA10" i="1"/>
  <c r="HA18" i="1" s="1"/>
  <c r="HA11" i="1"/>
  <c r="HA19" i="1" s="1"/>
  <c r="HA12" i="1"/>
  <c r="HA20" i="1" s="1"/>
  <c r="HA7" i="1"/>
  <c r="HA15" i="1" s="1"/>
  <c r="GY6" i="1"/>
  <c r="HA8" i="1"/>
  <c r="HA16" i="1" s="1"/>
  <c r="HB6" i="1"/>
  <c r="GZ13" i="1"/>
  <c r="GZ21" i="1" s="1"/>
  <c r="GZ12" i="1"/>
  <c r="GZ20" i="1" s="1"/>
  <c r="GZ9" i="1"/>
  <c r="GZ17" i="1" s="1"/>
  <c r="GZ10" i="1"/>
  <c r="GZ18" i="1" s="1"/>
  <c r="GZ14" i="1"/>
  <c r="GZ22" i="1" s="1"/>
  <c r="GZ11" i="1"/>
  <c r="GZ19" i="1" s="1"/>
  <c r="GZ8" i="1"/>
  <c r="GZ16" i="1" s="1"/>
  <c r="GZ7" i="1"/>
  <c r="GZ15" i="1" s="1"/>
  <c r="IZ14" i="1"/>
  <c r="IZ22" i="1" s="1"/>
  <c r="IZ13" i="1"/>
  <c r="IZ21" i="1" s="1"/>
  <c r="IZ12" i="1"/>
  <c r="IZ20" i="1" s="1"/>
  <c r="IZ10" i="1"/>
  <c r="IZ18" i="1" s="1"/>
  <c r="IZ11" i="1"/>
  <c r="IZ19" i="1" s="1"/>
  <c r="IZ7" i="1"/>
  <c r="IZ15" i="1" s="1"/>
  <c r="IZ8" i="1"/>
  <c r="IZ16" i="1" s="1"/>
  <c r="IZ9" i="1"/>
  <c r="IZ17" i="1" s="1"/>
  <c r="HT10" i="1"/>
  <c r="HT18" i="1" s="1"/>
  <c r="HT11" i="1"/>
  <c r="HT19" i="1" s="1"/>
  <c r="HT13" i="1"/>
  <c r="HT21" i="1" s="1"/>
  <c r="HT12" i="1"/>
  <c r="HT20" i="1" s="1"/>
  <c r="HT8" i="1"/>
  <c r="HT16" i="1" s="1"/>
  <c r="HT14" i="1"/>
  <c r="HT22" i="1" s="1"/>
  <c r="HT7" i="1"/>
  <c r="HT15" i="1" s="1"/>
  <c r="HT9" i="1"/>
  <c r="HT17" i="1" s="1"/>
  <c r="HU6" i="1"/>
  <c r="HO14" i="1"/>
  <c r="HO22" i="1" s="1"/>
  <c r="HO10" i="1"/>
  <c r="HO18" i="1" s="1"/>
  <c r="HO13" i="1"/>
  <c r="HO21" i="1" s="1"/>
  <c r="HO12" i="1"/>
  <c r="HO20" i="1" s="1"/>
  <c r="HO9" i="1"/>
  <c r="HO17" i="1" s="1"/>
  <c r="HO8" i="1"/>
  <c r="HO16" i="1" s="1"/>
  <c r="HO7" i="1"/>
  <c r="HO15" i="1" s="1"/>
  <c r="HQ6" i="1"/>
  <c r="HQ10" i="1" s="1"/>
  <c r="HQ18" i="1" s="1"/>
  <c r="HO11" i="1"/>
  <c r="HO19" i="1" s="1"/>
  <c r="GX11" i="1"/>
  <c r="GX19" i="1" s="1"/>
  <c r="GX12" i="1"/>
  <c r="GX20" i="1" s="1"/>
  <c r="GX13" i="1"/>
  <c r="GX21" i="1" s="1"/>
  <c r="GX9" i="1"/>
  <c r="GX17" i="1" s="1"/>
  <c r="GX10" i="1"/>
  <c r="GX18" i="1" s="1"/>
  <c r="GX14" i="1"/>
  <c r="GX22" i="1" s="1"/>
  <c r="GX7" i="1"/>
  <c r="GX15" i="1" s="1"/>
  <c r="GX8" i="1"/>
  <c r="GX16" i="1" s="1"/>
  <c r="HU12" i="1" l="1"/>
  <c r="HU20" i="1" s="1"/>
  <c r="HU13" i="1"/>
  <c r="HU21" i="1" s="1"/>
  <c r="HU11" i="1"/>
  <c r="HU19" i="1" s="1"/>
  <c r="HU8" i="1"/>
  <c r="HU16" i="1" s="1"/>
  <c r="HU14" i="1"/>
  <c r="HU22" i="1" s="1"/>
  <c r="HU10" i="1"/>
  <c r="HU18" i="1" s="1"/>
  <c r="HU9" i="1"/>
  <c r="HU17" i="1" s="1"/>
  <c r="ID6" i="1"/>
  <c r="HU7" i="1"/>
  <c r="HU15" i="1" s="1"/>
  <c r="IJ6" i="1"/>
  <c r="IA6" i="1"/>
  <c r="HV23" i="1"/>
  <c r="HB14" i="1"/>
  <c r="HB22" i="1" s="1"/>
  <c r="HB10" i="1"/>
  <c r="HB18" i="1" s="1"/>
  <c r="HB13" i="1"/>
  <c r="HB21" i="1" s="1"/>
  <c r="HB9" i="1"/>
  <c r="HB17" i="1" s="1"/>
  <c r="HB11" i="1"/>
  <c r="HB19" i="1" s="1"/>
  <c r="HB7" i="1"/>
  <c r="HB15" i="1" s="1"/>
  <c r="HB8" i="1"/>
  <c r="HB16" i="1" s="1"/>
  <c r="HB12" i="1"/>
  <c r="HB20" i="1" s="1"/>
  <c r="GY12" i="1"/>
  <c r="GY20" i="1" s="1"/>
  <c r="GY13" i="1"/>
  <c r="GY21" i="1" s="1"/>
  <c r="GY9" i="1"/>
  <c r="GY17" i="1" s="1"/>
  <c r="GY11" i="1"/>
  <c r="GY19" i="1" s="1"/>
  <c r="GY14" i="1"/>
  <c r="GY22" i="1" s="1"/>
  <c r="GY10" i="1"/>
  <c r="GY18" i="1" s="1"/>
  <c r="GY8" i="1"/>
  <c r="GY16" i="1" s="1"/>
  <c r="GY7" i="1"/>
  <c r="GY15" i="1" s="1"/>
  <c r="IJ13" i="1" l="1"/>
  <c r="IJ21" i="1" s="1"/>
  <c r="IJ14" i="1"/>
  <c r="IJ22" i="1" s="1"/>
  <c r="IJ11" i="1"/>
  <c r="IJ19" i="1" s="1"/>
  <c r="IJ9" i="1"/>
  <c r="IJ17" i="1" s="1"/>
  <c r="IJ10" i="1"/>
  <c r="IJ18" i="1" s="1"/>
  <c r="IJ12" i="1"/>
  <c r="IJ20" i="1" s="1"/>
  <c r="IJ8" i="1"/>
  <c r="IJ16" i="1" s="1"/>
  <c r="IJ7" i="1"/>
  <c r="IJ15" i="1" s="1"/>
  <c r="IA14" i="1"/>
  <c r="IA22" i="1" s="1"/>
  <c r="IA12" i="1"/>
  <c r="IA20" i="1" s="1"/>
  <c r="IA10" i="1"/>
  <c r="IA18" i="1" s="1"/>
  <c r="IA13" i="1"/>
  <c r="IA21" i="1" s="1"/>
  <c r="IA11" i="1"/>
  <c r="IA19" i="1" s="1"/>
  <c r="IA8" i="1"/>
  <c r="IA16" i="1" s="1"/>
  <c r="IA7" i="1"/>
  <c r="IA15" i="1" s="1"/>
  <c r="IA9" i="1"/>
  <c r="IA17" i="1" s="1"/>
  <c r="ID14" i="1"/>
  <c r="ID22" i="1" s="1"/>
  <c r="ID13" i="1"/>
  <c r="ID21" i="1" s="1"/>
  <c r="ID7" i="1"/>
  <c r="ID15" i="1" s="1"/>
  <c r="ID10" i="1"/>
  <c r="ID18" i="1" s="1"/>
  <c r="ID12" i="1"/>
  <c r="ID20" i="1" s="1"/>
  <c r="ID11" i="1"/>
  <c r="ID19" i="1" s="1"/>
  <c r="ID9" i="1"/>
  <c r="ID17" i="1" s="1"/>
  <c r="ID8" i="1"/>
  <c r="ID1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Stietz</author>
  </authors>
  <commentList>
    <comment ref="AU4" authorId="0" shapeId="0" xr:uid="{00000000-0006-0000-0000-000001000000}">
      <text>
        <r>
          <rPr>
            <b/>
            <sz val="9"/>
            <color indexed="81"/>
            <rFont val="Tahoma"/>
            <family val="2"/>
          </rPr>
          <t xml:space="preserve">Due to a solidworks glitch. This cell has to be visible or it looses the link to this dimension when the BTS is zero and does not update the QTY of BTS or TTS (very strange).
</t>
        </r>
      </text>
    </comment>
    <comment ref="W6" authorId="0" shapeId="0" xr:uid="{00000000-0006-0000-0000-000002000000}">
      <text>
        <r>
          <rPr>
            <b/>
            <sz val="9"/>
            <color indexed="81"/>
            <rFont val="Tahoma"/>
            <family val="2"/>
          </rPr>
          <t>36 = Horizontal Units         
15 = EH, VI, &amp; VV             
12 = FI &amp; ship out sections</t>
        </r>
      </text>
    </comment>
    <comment ref="X6" authorId="0" shapeId="0" xr:uid="{00000000-0006-0000-0000-000003000000}">
      <text>
        <r>
          <rPr>
            <b/>
            <sz val="9"/>
            <color indexed="81"/>
            <rFont val="Tahoma"/>
            <family val="2"/>
          </rPr>
          <t>Negative value moves strips to the left &lt;---
Positive value moves strips to the right ---&gt;</t>
        </r>
      </text>
    </comment>
    <comment ref="Y6" authorId="0" shapeId="0" xr:uid="{00000000-0006-0000-0000-000004000000}">
      <text>
        <r>
          <rPr>
            <b/>
            <sz val="9"/>
            <color indexed="81"/>
            <rFont val="Tahoma"/>
            <family val="2"/>
          </rPr>
          <t>Negative value moves strips to the left &lt;---
Positive value moves strips to the right ---&gt;</t>
        </r>
      </text>
    </comment>
    <comment ref="AV6" authorId="0" shapeId="0" xr:uid="{00000000-0006-0000-0000-000005000000}">
      <text>
        <r>
          <rPr>
            <b/>
            <sz val="9"/>
            <color indexed="81"/>
            <rFont val="Tahoma"/>
            <family val="2"/>
          </rPr>
          <t>0 = Welded BTS
1 = Bolted BTS</t>
        </r>
      </text>
    </comment>
    <comment ref="AW6" authorId="0" shapeId="0" xr:uid="{00000000-0006-0000-0000-000006000000}">
      <text>
        <r>
          <rPr>
            <b/>
            <sz val="9"/>
            <color indexed="81"/>
            <rFont val="Tahoma"/>
            <family val="2"/>
          </rPr>
          <t>0= No Top HDR Support
1 = Welded Top HDR Support
1.5 = Bolted Top HDR Support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stietz</author>
    <author>Tietz, Steve</author>
  </authors>
  <commentList>
    <comment ref="CU13" authorId="0" shapeId="0" xr:uid="{00000000-0006-0000-0100-000001000000}">
      <text>
        <r>
          <rPr>
            <b/>
            <sz val="9"/>
            <color indexed="81"/>
            <rFont val="Tahoma"/>
            <family val="2"/>
          </rPr>
          <t>(SF Height) - 1.5</t>
        </r>
      </text>
    </comment>
    <comment ref="CX13" authorId="0" shapeId="0" xr:uid="{00000000-0006-0000-0100-000002000000}">
      <text>
        <r>
          <rPr>
            <b/>
            <sz val="9"/>
            <color indexed="81"/>
            <rFont val="Tahoma"/>
            <family val="2"/>
          </rPr>
          <t>(SF Height) - 1.0</t>
        </r>
      </text>
    </comment>
    <comment ref="DA13" authorId="0" shapeId="0" xr:uid="{00000000-0006-0000-0100-000003000000}">
      <text>
        <r>
          <rPr>
            <b/>
            <sz val="9"/>
            <color indexed="81"/>
            <rFont val="Tahoma"/>
            <family val="2"/>
          </rPr>
          <t>(SF Height) - 0.8125</t>
        </r>
      </text>
    </comment>
    <comment ref="CU16" authorId="1" shapeId="0" xr:uid="{00000000-0006-0000-0100-000004000000}">
      <text>
        <r>
          <rPr>
            <b/>
            <sz val="9"/>
            <color indexed="81"/>
            <rFont val="Tahoma"/>
            <family val="2"/>
          </rPr>
          <t>SF_Depth - (2*SF_Thk) - 0.75</t>
        </r>
      </text>
    </comment>
    <comment ref="CV16" authorId="1" shapeId="0" xr:uid="{00000000-0006-0000-0100-000005000000}">
      <text>
        <r>
          <rPr>
            <b/>
            <sz val="9"/>
            <color indexed="81"/>
            <rFont val="Tahoma"/>
            <family val="2"/>
          </rPr>
          <t>(2 x SF_Thk + 0.75)/2</t>
        </r>
      </text>
    </comment>
    <comment ref="CW16" authorId="1" shapeId="0" xr:uid="{00000000-0006-0000-0100-000006000000}">
      <text>
        <r>
          <rPr>
            <b/>
            <sz val="9"/>
            <color indexed="81"/>
            <rFont val="Tahoma"/>
            <family val="2"/>
          </rPr>
          <t xml:space="preserve">=SF_Thk
</t>
        </r>
      </text>
    </comment>
    <comment ref="CX16" authorId="1" shapeId="0" xr:uid="{00000000-0006-0000-0100-000007000000}">
      <text>
        <r>
          <rPr>
            <b/>
            <sz val="9"/>
            <color indexed="81"/>
            <rFont val="Tahoma"/>
            <family val="2"/>
          </rPr>
          <t>=SF_Depth - (2*SF_Thk) - 0.25</t>
        </r>
      </text>
    </comment>
    <comment ref="CY16" authorId="1" shapeId="0" xr:uid="{00000000-0006-0000-0100-000008000000}">
      <text>
        <r>
          <rPr>
            <b/>
            <sz val="9"/>
            <color indexed="81"/>
            <rFont val="Tahoma"/>
            <family val="2"/>
          </rPr>
          <t>=SF_Thk + 0.1875</t>
        </r>
      </text>
    </comment>
    <comment ref="CZ16" authorId="1" shapeId="0" xr:uid="{00000000-0006-0000-0100-000009000000}">
      <text>
        <r>
          <rPr>
            <b/>
            <sz val="9"/>
            <color indexed="81"/>
            <rFont val="Tahoma"/>
            <family val="2"/>
          </rPr>
          <t xml:space="preserve">=SF_Thk
</t>
        </r>
      </text>
    </comment>
    <comment ref="DA16" authorId="1" shapeId="0" xr:uid="{00000000-0006-0000-0100-00000A000000}">
      <text>
        <r>
          <rPr>
            <b/>
            <sz val="9"/>
            <color indexed="81"/>
            <rFont val="Tahoma"/>
            <family val="2"/>
          </rPr>
          <t>=SF_Depth*(2*SF_Thk)-0.0625</t>
        </r>
      </text>
    </comment>
  </commentList>
</comments>
</file>

<file path=xl/sharedStrings.xml><?xml version="1.0" encoding="utf-8"?>
<sst xmlns="http://schemas.openxmlformats.org/spreadsheetml/2006/main" count="3200" uniqueCount="1315">
  <si>
    <t>Default</t>
  </si>
  <si>
    <t>BTS Spacing</t>
  </si>
  <si>
    <t>QTY of BTS</t>
  </si>
  <si>
    <t>Pitch@Tube and Fin sizes</t>
  </si>
  <si>
    <t>$User_Notes</t>
  </si>
  <si>
    <t>Vertical Pitch</t>
  </si>
  <si>
    <t>Row Length@Row Dims</t>
  </si>
  <si>
    <t>Row Length Ref</t>
  </si>
  <si>
    <t>Max Spacing@Tube Spacer Strip Sketch</t>
  </si>
  <si>
    <t>Spacing@Tube Spacer Strip LPattern</t>
  </si>
  <si>
    <t>QTY@Tube Spacer Strip LPattern</t>
  </si>
  <si>
    <t>Location@Tube Spacer Strip Sketch</t>
  </si>
  <si>
    <t>Tube QTY between TSS</t>
  </si>
  <si>
    <t>TSS Spacing</t>
  </si>
  <si>
    <t>Possible TSS QTY</t>
  </si>
  <si>
    <t>Possible TSS Location</t>
  </si>
  <si>
    <t>TSS QTY</t>
  </si>
  <si>
    <t>TSS Location</t>
  </si>
  <si>
    <t>TSS On/Off?</t>
  </si>
  <si>
    <t>Tube QTY in Row</t>
  </si>
  <si>
    <t>Tube Spacer Strips</t>
  </si>
  <si>
    <t>Row Length {SS}@Row Dims</t>
  </si>
  <si>
    <t>Possible TSS QTY {SS}</t>
  </si>
  <si>
    <t>Tube QTY in Row {SS}</t>
  </si>
  <si>
    <t>Tube QTY between TSS {SS}</t>
  </si>
  <si>
    <t>TSS Spacing {SS}</t>
  </si>
  <si>
    <t>Possible TSS Location {SS}</t>
  </si>
  <si>
    <t>TSS QTY {SS}</t>
  </si>
  <si>
    <t>QTY {SS}@Tube Spacer Strip LPattern {SS}</t>
  </si>
  <si>
    <t>TSS Location {SS}</t>
  </si>
  <si>
    <t>Location {SS}@Tube Spacer Strip Sketch {SS}</t>
  </si>
  <si>
    <t>$STATE@Tube Spacer Strips {SS}</t>
  </si>
  <si>
    <t>TSS On/Off {SS}?</t>
  </si>
  <si>
    <t>TSS QTY {SS} actual</t>
  </si>
  <si>
    <t>TSS QTY actual</t>
  </si>
  <si>
    <t>… -1) means the left most portion has the extra tube</t>
  </si>
  <si>
    <t>…-0) mease the right most portion has the extra tube</t>
  </si>
  <si>
    <t>Tube Spacer Strips {SS}</t>
  </si>
  <si>
    <t>Pitch</t>
  </si>
  <si>
    <t>Spacing {SS}@Tube Spacer Strip LPattern {SS}</t>
  </si>
  <si>
    <t>SS1@Row Dims</t>
  </si>
  <si>
    <t>Shaft Split 1 Ref</t>
  </si>
  <si>
    <t>$STATE@SSS</t>
  </si>
  <si>
    <t>Shaft Split Supports On/Off?</t>
  </si>
  <si>
    <t>Side Frame Length</t>
  </si>
  <si>
    <t>HDR Thickness@Layout Sketch</t>
  </si>
  <si>
    <t>Projection@Layout Sketch</t>
  </si>
  <si>
    <t>Gap@Layout Sketch</t>
  </si>
  <si>
    <t>Header Plate Thickness Ref</t>
  </si>
  <si>
    <t>Tube Projection</t>
  </si>
  <si>
    <t>Gap between header &amp; SF</t>
  </si>
  <si>
    <t>AXC materials:SA-36</t>
  </si>
  <si>
    <t>&lt;- section number</t>
  </si>
  <si>
    <t>$PRP@PartNo</t>
  </si>
  <si>
    <t>Part No</t>
  </si>
  <si>
    <t>Weight</t>
  </si>
  <si>
    <t>Area</t>
  </si>
  <si>
    <t>Small Flat Face</t>
  </si>
  <si>
    <t># for SA36 material</t>
  </si>
  <si>
    <t>Depth@Sketch1</t>
  </si>
  <si>
    <t>TW@Sketch1</t>
  </si>
  <si>
    <t>BF@Sketch1</t>
  </si>
  <si>
    <t>TF@Sketch1</t>
  </si>
  <si>
    <t>RI@Sketch1</t>
  </si>
  <si>
    <t>RA@Sketch1</t>
  </si>
  <si>
    <t>D2@Sketch1</t>
  </si>
  <si>
    <t>flange@Sketch1</t>
  </si>
  <si>
    <t>Weight@Sketch1</t>
  </si>
  <si>
    <t>$prp@Syteline#</t>
  </si>
  <si>
    <t>SS1426</t>
  </si>
  <si>
    <t>SS1415</t>
  </si>
  <si>
    <t>SS1400</t>
  </si>
  <si>
    <t>SS1392</t>
  </si>
  <si>
    <t>SS1390</t>
  </si>
  <si>
    <t>SS1377</t>
  </si>
  <si>
    <t>SS1380</t>
  </si>
  <si>
    <t>SS1376</t>
  </si>
  <si>
    <t>SS1008</t>
  </si>
  <si>
    <t>SS1370</t>
  </si>
  <si>
    <t>SS1367</t>
  </si>
  <si>
    <t>SS1365</t>
  </si>
  <si>
    <t>SS1361</t>
  </si>
  <si>
    <t>C_Channel_Table</t>
  </si>
  <si>
    <t>End Of List</t>
  </si>
  <si>
    <t>End of List</t>
  </si>
  <si>
    <t>End Of Row</t>
  </si>
  <si>
    <t>H_leg@Sketch1</t>
  </si>
  <si>
    <t>V_leg@Sketch1</t>
  </si>
  <si>
    <t>Thickness@Sketch1</t>
  </si>
  <si>
    <t>Radius_1@Sketch1</t>
  </si>
  <si>
    <t>Radius_2@Sketch1</t>
  </si>
  <si>
    <t>Flat_wid@Sketch1</t>
  </si>
  <si>
    <t>$Prp@Syteline#</t>
  </si>
  <si>
    <t>SS1206</t>
  </si>
  <si>
    <t>SS1352</t>
  </si>
  <si>
    <t>SS1320</t>
  </si>
  <si>
    <t>SS1307</t>
  </si>
  <si>
    <t>SS1315</t>
  </si>
  <si>
    <t>SS1306</t>
  </si>
  <si>
    <t>SS1351</t>
  </si>
  <si>
    <t>SS1350</t>
  </si>
  <si>
    <t>SS1272</t>
  </si>
  <si>
    <t>SS1345</t>
  </si>
  <si>
    <t>SS1303</t>
  </si>
  <si>
    <t>SS1302</t>
  </si>
  <si>
    <t>SS1300</t>
  </si>
  <si>
    <t>SS1295</t>
  </si>
  <si>
    <t>SS1290</t>
  </si>
  <si>
    <t>SS1285</t>
  </si>
  <si>
    <t>SS1271</t>
  </si>
  <si>
    <t>SS1281</t>
  </si>
  <si>
    <t>SS1275</t>
  </si>
  <si>
    <t>SS1282</t>
  </si>
  <si>
    <t>SS1270</t>
  </si>
  <si>
    <t>SS1265</t>
  </si>
  <si>
    <t>SS1266</t>
  </si>
  <si>
    <t>SS1244</t>
  </si>
  <si>
    <t>SS1245</t>
  </si>
  <si>
    <t>SS1240</t>
  </si>
  <si>
    <t>SS1235</t>
  </si>
  <si>
    <t>SS1227</t>
  </si>
  <si>
    <t>SS1230</t>
  </si>
  <si>
    <t>SS1225</t>
  </si>
  <si>
    <t>SS1215</t>
  </si>
  <si>
    <t>SS1210</t>
  </si>
  <si>
    <t>SS1205</t>
  </si>
  <si>
    <t>L_Angle_Table</t>
  </si>
  <si>
    <t>None</t>
  </si>
  <si>
    <t>$STATE@Header Support Angle Option</t>
  </si>
  <si>
    <t>$STATE@Header Support Channel Option</t>
  </si>
  <si>
    <t>Header Support Angle On/Off?</t>
  </si>
  <si>
    <t>Header Support Channel On/Off?</t>
  </si>
  <si>
    <t>H_leg@Sketch1865</t>
  </si>
  <si>
    <t>V_leg@Sketch1865</t>
  </si>
  <si>
    <t>Thickness@Sketch1865</t>
  </si>
  <si>
    <t>Radius_1@Sketch1865</t>
  </si>
  <si>
    <t>Radius_2@Sketch1865</t>
  </si>
  <si>
    <t>Flat_wid@Sketch1865</t>
  </si>
  <si>
    <t>Angle Size H Leg</t>
  </si>
  <si>
    <t>Angle Size V Leg</t>
  </si>
  <si>
    <t>Angle Size Thickness</t>
  </si>
  <si>
    <t>Angle Size Radius2</t>
  </si>
  <si>
    <t>Angle Size Radius1</t>
  </si>
  <si>
    <t>Angle Size Small Flat Face</t>
  </si>
  <si>
    <t>Channel</t>
  </si>
  <si>
    <t>Depth@Sketch1869</t>
  </si>
  <si>
    <t>TW@Sketch1869</t>
  </si>
  <si>
    <t>BF@Sketch1869</t>
  </si>
  <si>
    <t>TF@Sketch1869</t>
  </si>
  <si>
    <t>RI@Sketch1869</t>
  </si>
  <si>
    <t>RA@Sketch1869</t>
  </si>
  <si>
    <t>D2@Sketch1869</t>
  </si>
  <si>
    <t>flange@Sketch1869</t>
  </si>
  <si>
    <t>Weight@Sketch1869</t>
  </si>
  <si>
    <t>Channel Depth</t>
  </si>
  <si>
    <t>Channel Wall Thickness</t>
  </si>
  <si>
    <t>Channel Toe Length</t>
  </si>
  <si>
    <t>Channel Ave Toe Thickness</t>
  </si>
  <si>
    <t>Channel Inside Radius</t>
  </si>
  <si>
    <t>Channel Outside Toe Radius</t>
  </si>
  <si>
    <t>Channel Toe Angle</t>
  </si>
  <si>
    <t>Channel Flat Face</t>
  </si>
  <si>
    <t>Channel Weight per Foot</t>
  </si>
  <si>
    <t>Header Support Angle and Size</t>
  </si>
  <si>
    <t>Header Support Channel and Size</t>
  </si>
  <si>
    <t>Shaft Split Supports</t>
  </si>
  <si>
    <t>Size@Sketch1</t>
  </si>
  <si>
    <t>DEPTH@Sketch1</t>
  </si>
  <si>
    <t>D6@Sketch1</t>
  </si>
  <si>
    <t>D1@Sketch1</t>
  </si>
  <si>
    <t>S_Section_Table</t>
  </si>
  <si>
    <t>Tw@Sketch1</t>
  </si>
  <si>
    <t>Bf@Sketch1</t>
  </si>
  <si>
    <t>Tf@Sketch1</t>
  </si>
  <si>
    <t>Ri@Sketch1</t>
  </si>
  <si>
    <t>SS1436</t>
  </si>
  <si>
    <t>SS1498</t>
  </si>
  <si>
    <t>SS1467</t>
  </si>
  <si>
    <t>SS1466</t>
  </si>
  <si>
    <t>SS1469</t>
  </si>
  <si>
    <t>SS1468</t>
  </si>
  <si>
    <t>SS1465</t>
  </si>
  <si>
    <t>SS1460</t>
  </si>
  <si>
    <t>SS1462</t>
  </si>
  <si>
    <t>SS1011</t>
  </si>
  <si>
    <t>SS1002</t>
  </si>
  <si>
    <t>SS1456</t>
  </si>
  <si>
    <t>SS1457</t>
  </si>
  <si>
    <t>SS1450</t>
  </si>
  <si>
    <t>SS1445</t>
  </si>
  <si>
    <t>SS1446</t>
  </si>
  <si>
    <t>SS1440</t>
  </si>
  <si>
    <t>SS1435</t>
  </si>
  <si>
    <t>W_Section_Table</t>
  </si>
  <si>
    <t>BTS Angle On/Off?</t>
  </si>
  <si>
    <t>BTS Channel On/Off?</t>
  </si>
  <si>
    <t>BTS S Section On/Off?</t>
  </si>
  <si>
    <t>BTS W Section On/Off?</t>
  </si>
  <si>
    <t>Angle</t>
  </si>
  <si>
    <t>S Section</t>
  </si>
  <si>
    <t>W Section</t>
  </si>
  <si>
    <t>Depth@Sketch1833</t>
  </si>
  <si>
    <t>TW@Sketch1833</t>
  </si>
  <si>
    <t>BF@Sketch1833</t>
  </si>
  <si>
    <t>TF@Sketch1833</t>
  </si>
  <si>
    <t>RI@Sketch1833</t>
  </si>
  <si>
    <t>RA@Sketch1833</t>
  </si>
  <si>
    <t>D2@Sketch1833</t>
  </si>
  <si>
    <t>flange@Sketch1833</t>
  </si>
  <si>
    <t>Weight@Sketch1833</t>
  </si>
  <si>
    <t>Size@Sketch1848</t>
  </si>
  <si>
    <t>Weight@Sketch1848</t>
  </si>
  <si>
    <t>DEPTH@Sketch1848</t>
  </si>
  <si>
    <t>TW@Sketch1848</t>
  </si>
  <si>
    <t>BF@Sketch1848</t>
  </si>
  <si>
    <t>TF@Sketch1848</t>
  </si>
  <si>
    <t>RI@Sketch1848</t>
  </si>
  <si>
    <t>RA@Sketch1848</t>
  </si>
  <si>
    <t>D6@Sketch1848</t>
  </si>
  <si>
    <t>D1@Sketch1848</t>
  </si>
  <si>
    <t>Size@Sketch1852</t>
  </si>
  <si>
    <t>Weight@Sketch1852</t>
  </si>
  <si>
    <t>Depth@Sketch1852</t>
  </si>
  <si>
    <t>Tw@Sketch1852</t>
  </si>
  <si>
    <t>Bf@Sketch1852</t>
  </si>
  <si>
    <t>Tf@Sketch1852</t>
  </si>
  <si>
    <t>Ri@Sketch1852</t>
  </si>
  <si>
    <t>Bottom Tube Support L Angle and Size</t>
  </si>
  <si>
    <t>Bottom Tube Support C Channel and Size</t>
  </si>
  <si>
    <t>Bottom Tube Support S Section and Size</t>
  </si>
  <si>
    <t>L_Angle_List</t>
  </si>
  <si>
    <t>C_Channel_List</t>
  </si>
  <si>
    <t>S_Section_List</t>
  </si>
  <si>
    <t>W_Section_List</t>
  </si>
  <si>
    <t>BTS_Table</t>
  </si>
  <si>
    <t>Bottom Tube Support W Section and Size</t>
  </si>
  <si>
    <t>Header Support</t>
  </si>
  <si>
    <t>First BTS Location
(from end of tube)</t>
  </si>
  <si>
    <t>BTS (Lowest) Location</t>
  </si>
  <si>
    <t>On - Off@Header Support Layout</t>
  </si>
  <si>
    <t>Header Support Ref Dim</t>
  </si>
  <si>
    <t>TTS Type@Layout Sketch</t>
  </si>
  <si>
    <t>$STATE@TTS Bolt Hole Option</t>
  </si>
  <si>
    <t>TTS_Table</t>
  </si>
  <si>
    <t>Bolt on Angle</t>
  </si>
  <si>
    <t>Bolt on Angle (Broke)</t>
  </si>
  <si>
    <t>Bolt on Bar</t>
  </si>
  <si>
    <t>Bolt on Bar w Spacer</t>
  </si>
  <si>
    <t>Weld on</t>
  </si>
  <si>
    <t>Top Tube Support Type</t>
  </si>
  <si>
    <t>Top Tube Support Ref Dim</t>
  </si>
  <si>
    <t>HDR_Support_Table</t>
  </si>
  <si>
    <t>SF_Sizes_List</t>
  </si>
  <si>
    <t>SF_Ref_Table</t>
  </si>
  <si>
    <t>Side Frame Size</t>
  </si>
  <si>
    <t>Weld Bar Length</t>
  </si>
  <si>
    <t>Float Bar Length</t>
  </si>
  <si>
    <t>Guide Bar SFR Length</t>
  </si>
  <si>
    <t>Side Frame Height</t>
  </si>
  <si>
    <t>Side Frame Ref No</t>
  </si>
  <si>
    <t>SF Ref No.</t>
  </si>
  <si>
    <t>End of Row</t>
  </si>
  <si>
    <t>C8x11.5</t>
  </si>
  <si>
    <t>C10x15.3</t>
  </si>
  <si>
    <t>C15x33.9</t>
  </si>
  <si>
    <t>MC10x8.4</t>
  </si>
  <si>
    <t>MC12x10.6</t>
  </si>
  <si>
    <t>Guide Bar</t>
  </si>
  <si>
    <t>Side Frame Ref No.</t>
  </si>
  <si>
    <t>Guide Bar Length</t>
  </si>
  <si>
    <t>SF Ref No@Guide Bar Location Dims</t>
  </si>
  <si>
    <t>Length@Guide Bar Location Dims</t>
  </si>
  <si>
    <t>Offset@Lifting Lug</t>
  </si>
  <si>
    <t>Location@Lifting Lug Distance</t>
  </si>
  <si>
    <t>Side Frame K value</t>
  </si>
  <si>
    <t>K_Value_Table</t>
  </si>
  <si>
    <t>MC18x58</t>
  </si>
  <si>
    <t>MC18x51.9</t>
  </si>
  <si>
    <t>MC18x45.8</t>
  </si>
  <si>
    <t>MC18x42.7</t>
  </si>
  <si>
    <t>MC13x50</t>
  </si>
  <si>
    <t>MC13x40</t>
  </si>
  <si>
    <t>MC13x35</t>
  </si>
  <si>
    <t>MC13x31.8</t>
  </si>
  <si>
    <t>MC12x50</t>
  </si>
  <si>
    <t>MC12x45</t>
  </si>
  <si>
    <t>MC12x40</t>
  </si>
  <si>
    <t>MC12x35</t>
  </si>
  <si>
    <t>MC12x31</t>
  </si>
  <si>
    <t>MC10x41.1</t>
  </si>
  <si>
    <t>MC10x33.6</t>
  </si>
  <si>
    <t>MC10x28.5</t>
  </si>
  <si>
    <t>MC10x25</t>
  </si>
  <si>
    <t>MC10x22</t>
  </si>
  <si>
    <t>MC10x6.5</t>
  </si>
  <si>
    <t>MC9x25.4</t>
  </si>
  <si>
    <t>MC9x23.9</t>
  </si>
  <si>
    <t>MC8x22.8</t>
  </si>
  <si>
    <t>MC8x21.4</t>
  </si>
  <si>
    <t>MC8x20</t>
  </si>
  <si>
    <t>MC8x18.7</t>
  </si>
  <si>
    <t>MC8x8.5</t>
  </si>
  <si>
    <t>MC7x22.7</t>
  </si>
  <si>
    <t>MC7x19.1</t>
  </si>
  <si>
    <t>MC7x17.6</t>
  </si>
  <si>
    <t>MC6x18</t>
  </si>
  <si>
    <t>MC6x15.3</t>
  </si>
  <si>
    <t>MC6x16.3</t>
  </si>
  <si>
    <t>MC6x15.1</t>
  </si>
  <si>
    <t>MC6x12</t>
  </si>
  <si>
    <t>C15x50</t>
  </si>
  <si>
    <t>C15x40</t>
  </si>
  <si>
    <t>C12x30</t>
  </si>
  <si>
    <t>C12x25</t>
  </si>
  <si>
    <t>C12x20.7</t>
  </si>
  <si>
    <t>C10x30</t>
  </si>
  <si>
    <t>C10x25</t>
  </si>
  <si>
    <t>C10x20</t>
  </si>
  <si>
    <t>C9x20</t>
  </si>
  <si>
    <t>C9x15</t>
  </si>
  <si>
    <t>C9x13.4</t>
  </si>
  <si>
    <t>C8x18.75</t>
  </si>
  <si>
    <t>C8x13.75</t>
  </si>
  <si>
    <t>C7x14.75</t>
  </si>
  <si>
    <t>C7x12.25</t>
  </si>
  <si>
    <t>C7x9.8</t>
  </si>
  <si>
    <t>C6x13</t>
  </si>
  <si>
    <t>C6x10.5</t>
  </si>
  <si>
    <t>C6x8.2</t>
  </si>
  <si>
    <t>C5x9</t>
  </si>
  <si>
    <t>C5x6.7</t>
  </si>
  <si>
    <t>C4x7.25</t>
  </si>
  <si>
    <t>C4x5.4</t>
  </si>
  <si>
    <t>C3x6</t>
  </si>
  <si>
    <t>C3x5</t>
  </si>
  <si>
    <t>C3x4.1</t>
  </si>
  <si>
    <t>$prp@AISC K VALUE</t>
  </si>
  <si>
    <t>$prp@AISC T VALUE</t>
  </si>
  <si>
    <t>MC_Channel_Table</t>
  </si>
  <si>
    <t>$user_Notes</t>
  </si>
  <si>
    <t>d1@Sketch1</t>
  </si>
  <si>
    <t>D3@Sketch1</t>
  </si>
  <si>
    <t>$PRP@AISC K VALUE</t>
  </si>
  <si>
    <t>$PRP@AISC T VALUE</t>
  </si>
  <si>
    <t>SS1589</t>
  </si>
  <si>
    <t>SS1425</t>
  </si>
  <si>
    <t>SS1208</t>
  </si>
  <si>
    <t>SS1416</t>
  </si>
  <si>
    <t>SS1420</t>
  </si>
  <si>
    <t>SS1207</t>
  </si>
  <si>
    <t>Side Frame Material</t>
  </si>
  <si>
    <t>Broke Side Frame Toe (ref)</t>
  </si>
  <si>
    <t>SF Toe@Guide Bar Location Dims</t>
  </si>
  <si>
    <t>MC Channel Side Frame size</t>
  </si>
  <si>
    <t>C Channel Side Frame Size</t>
  </si>
  <si>
    <t>BC Channel Side Frame Size</t>
  </si>
  <si>
    <t>MC Channel On / Off</t>
  </si>
  <si>
    <t>Depth</t>
  </si>
  <si>
    <t>TW</t>
  </si>
  <si>
    <t>BF</t>
  </si>
  <si>
    <t>TF</t>
  </si>
  <si>
    <t>RI</t>
  </si>
  <si>
    <t>RA</t>
  </si>
  <si>
    <t>D2</t>
  </si>
  <si>
    <t>d1</t>
  </si>
  <si>
    <t>D3</t>
  </si>
  <si>
    <t>C Channel On / Off</t>
  </si>
  <si>
    <t>flange</t>
  </si>
  <si>
    <t>Broke Channel On / Off</t>
  </si>
  <si>
    <t>$STATE@MC Channel</t>
  </si>
  <si>
    <t>Weight@Sketch1923</t>
  </si>
  <si>
    <t>Depth@Sketch1923</t>
  </si>
  <si>
    <t>TW@Sketch1923</t>
  </si>
  <si>
    <t>BF@Sketch1923</t>
  </si>
  <si>
    <t>TF@Sketch1923</t>
  </si>
  <si>
    <t>RI@Sketch1923</t>
  </si>
  <si>
    <t>RA@Sketch1923</t>
  </si>
  <si>
    <t>D2@Sketch1923</t>
  </si>
  <si>
    <t>d1@Sketch1923</t>
  </si>
  <si>
    <t>D3@Sketch1923</t>
  </si>
  <si>
    <t>$STATE@C Channel</t>
  </si>
  <si>
    <t>Depth@Sketch1936</t>
  </si>
  <si>
    <t>TW@Sketch1936</t>
  </si>
  <si>
    <t>BF@Sketch1936</t>
  </si>
  <si>
    <t>TF@Sketch1936</t>
  </si>
  <si>
    <t>RI@Sketch1936</t>
  </si>
  <si>
    <t>RA@Sketch1936</t>
  </si>
  <si>
    <t>D2@Sketch1936</t>
  </si>
  <si>
    <t>flange@Sketch1936</t>
  </si>
  <si>
    <t>Weight@Sketch1936</t>
  </si>
  <si>
    <t>$STATE@Broke Channel</t>
  </si>
  <si>
    <t>BTS Channel Pattern On/Off?</t>
  </si>
  <si>
    <t>BTS S Section Pattern On/Off?</t>
  </si>
  <si>
    <t>BTS W Section Pattern On/Off?</t>
  </si>
  <si>
    <t>Info from Header</t>
  </si>
  <si>
    <t>Length@ Tube Slope and BTS</t>
  </si>
  <si>
    <t>D2@ Tube Slope and BTS</t>
  </si>
  <si>
    <t>Tube Spacer Strip On/Off</t>
  </si>
  <si>
    <t>K@TSS Frame Layout Sketch (Left Side)</t>
  </si>
  <si>
    <t>$STATE@TSS</t>
  </si>
  <si>
    <t>$STATE@BTS Angle Option</t>
  </si>
  <si>
    <t>$STATE@BTS Channel Option</t>
  </si>
  <si>
    <t>$STATE@BTS S Section Option</t>
  </si>
  <si>
    <t>$STATE@BTS W Section Option</t>
  </si>
  <si>
    <t>Max spacing between TSS</t>
  </si>
  <si>
    <t>$STATE@BTS Angle Pattern</t>
  </si>
  <si>
    <t>$STATE@BTS Channel Pattern</t>
  </si>
  <si>
    <t>$STATE@BTS S Section Pattern</t>
  </si>
  <si>
    <t>$STATE@BTS W Section Pattern</t>
  </si>
  <si>
    <r>
      <t xml:space="preserve">TTS Spacing
</t>
    </r>
    <r>
      <rPr>
        <i/>
        <sz val="10"/>
        <color theme="0" tint="-0.34998626667073579"/>
        <rFont val="Calibri"/>
        <family val="2"/>
        <scheme val="minor"/>
      </rPr>
      <t>(diff than BTS spacing w slopped tubes)</t>
    </r>
  </si>
  <si>
    <t>Angle@ Tube Slope and BTS</t>
  </si>
  <si>
    <t>Sloped tubes angle</t>
  </si>
  <si>
    <t>BTS Type</t>
  </si>
  <si>
    <t>BTS Size</t>
  </si>
  <si>
    <t>TTS QTY Ref@Layout Sketch</t>
  </si>
  <si>
    <t>TTS QTY REF</t>
  </si>
  <si>
    <t>Front Support Bar Type Ref</t>
  </si>
  <si>
    <t>Front Support Bar Type</t>
  </si>
  <si>
    <t>Rear Support Bar Type Ref</t>
  </si>
  <si>
    <t>Rear Support Bar Type</t>
  </si>
  <si>
    <t>Front Support Bar Type@Guide Bar Location Dims</t>
  </si>
  <si>
    <t>Rear Support Bar Type@Guide Bar Location Dims</t>
  </si>
  <si>
    <t>$STATE@Rear Guide Bars</t>
  </si>
  <si>
    <t>$STATE@Front Guide Bars</t>
  </si>
  <si>
    <t>$STATE@SSS LPattern</t>
  </si>
  <si>
    <t>SSS Lpattern</t>
  </si>
  <si>
    <t>Air Seal Panel Shaft Cutout</t>
  </si>
  <si>
    <t>$STATE@Tube Spacer Strip LPattern</t>
  </si>
  <si>
    <t>$STATE@Tube Spacer Strip LPattern {SS}</t>
  </si>
  <si>
    <t>$STATE@SSPanel</t>
  </si>
  <si>
    <t>$STATE@Back side of BTS Angle and Channel</t>
  </si>
  <si>
    <t>$STATE@Spacing Ref</t>
  </si>
  <si>
    <t>$STATE@Body-Delete8</t>
  </si>
  <si>
    <t>Sacrificial Geometry</t>
  </si>
  <si>
    <t>Backside of BTS</t>
  </si>
  <si>
    <t>Spacing Ref</t>
  </si>
  <si>
    <t>Remove Sacrificial Geometry</t>
  </si>
  <si>
    <t>$STATE@TSS Frame</t>
  </si>
  <si>
    <t>$STATE@TSS Frame Layout Sketch (Left Side)</t>
  </si>
  <si>
    <t>$STATE@Backer Bar Structural Member (Left Side)</t>
  </si>
  <si>
    <t>$STATE@TSS Frame (Left Side)</t>
  </si>
  <si>
    <t>$STATE@Boss-Extrude14</t>
  </si>
  <si>
    <t>$STATE@Boss-Extrude18</t>
  </si>
  <si>
    <t>$STATE@Delete Body1</t>
  </si>
  <si>
    <t>$STATE@Delete Body2</t>
  </si>
  <si>
    <t>$STATE@TSS Frame (Right Side)</t>
  </si>
  <si>
    <t>$STATE@TSS Frame Pattern</t>
  </si>
  <si>
    <t>$STATE@SSS Trim</t>
  </si>
  <si>
    <t>$STATE@Upper SSS Plane</t>
  </si>
  <si>
    <t>$STATE@Upper SSS U Clip</t>
  </si>
  <si>
    <t>$STATE@Lower SSS Plane</t>
  </si>
  <si>
    <t>$STATE@Lower SSS U Clip</t>
  </si>
  <si>
    <t>SSS Trim</t>
  </si>
  <si>
    <t>Upper SSS Plane</t>
  </si>
  <si>
    <t>Upper SSS U Clip</t>
  </si>
  <si>
    <t>Lower SSS Plane</t>
  </si>
  <si>
    <t>Lower SSS U Clip</t>
  </si>
  <si>
    <t>Other stuff in the SSS folder
(just suppressing the folder did not suppress this stuff)</t>
  </si>
  <si>
    <t>Tube Spacer Strips in side Frame (TSS Frame)  (features within this folder) ON / OFF</t>
  </si>
  <si>
    <t>Tube Spacer Strip  Pattern {SS} On/Off</t>
  </si>
  <si>
    <t>$STATE@Tube Spacer Strip</t>
  </si>
  <si>
    <t xml:space="preserve">$STATE@Tube Spacer Strip Trim </t>
  </si>
  <si>
    <t>$STATE@Tube Spacer Strip U Clip Plane</t>
  </si>
  <si>
    <t>$STATE@Tube Spacer Strip U Clip</t>
  </si>
  <si>
    <t>Tube Spacer Strip</t>
  </si>
  <si>
    <t>Tube Spacer Strip Trim</t>
  </si>
  <si>
    <t>U Clip</t>
  </si>
  <si>
    <t>U Clip plane</t>
  </si>
  <si>
    <r>
      <rPr>
        <b/>
        <sz val="11"/>
        <color theme="1"/>
        <rFont val="Calibri"/>
        <family val="2"/>
        <scheme val="minor"/>
      </rPr>
      <t>Offset Center BTS?</t>
    </r>
    <r>
      <rPr>
        <sz val="11"/>
        <color theme="1"/>
        <rFont val="Calibri"/>
        <family val="2"/>
        <scheme val="minor"/>
      </rPr>
      <t xml:space="preserve">
     </t>
    </r>
    <r>
      <rPr>
        <sz val="9"/>
        <color theme="1"/>
        <rFont val="Calibri"/>
        <family val="2"/>
        <scheme val="minor"/>
      </rPr>
      <t>(If one exists)
     (to clear shaft)</t>
    </r>
  </si>
  <si>
    <t>Bottom Tube Support</t>
  </si>
  <si>
    <t>Tube Spacer Strips in Side Frame</t>
  </si>
  <si>
    <t>TSS Side Frame Pattern  On / Off?</t>
  </si>
  <si>
    <t>TSS Side Frame FOLDER On/Off?</t>
  </si>
  <si>
    <t>Top Row Length Ref {SS}</t>
  </si>
  <si>
    <t>Row Length Bottom {SS}@Row Dims</t>
  </si>
  <si>
    <t>Bottom Row Length Ref {SS}</t>
  </si>
  <si>
    <t>$STATE@SSPanel LPattern</t>
  </si>
  <si>
    <t>QTY@SSPanel LPattern</t>
  </si>
  <si>
    <t>SS Panel Pattern On/Off</t>
  </si>
  <si>
    <t>SS Panel Pattern QTY</t>
  </si>
  <si>
    <t>D3@SSPanel</t>
  </si>
  <si>
    <t>D2@SSPanel</t>
  </si>
  <si>
    <r>
      <t xml:space="preserve">BTS offset Distance
    </t>
    </r>
    <r>
      <rPr>
        <sz val="9"/>
        <color theme="1"/>
        <rFont val="Calibri"/>
        <family val="2"/>
        <scheme val="minor"/>
      </rPr>
      <t>(to clear shaft)</t>
    </r>
  </si>
  <si>
    <t>$STATE@SSPanel Remove</t>
  </si>
  <si>
    <t>$STATE@SSPanel Trim Ends</t>
  </si>
  <si>
    <t>SSPanel Trim the Ends</t>
  </si>
  <si>
    <t>Spacing@SSPanel LPattern</t>
  </si>
  <si>
    <t>$STATE@SSPanel Center Opposite</t>
  </si>
  <si>
    <t>D2@SSPanel Center Opposite</t>
  </si>
  <si>
    <t>$STATE@SSPanel Center</t>
  </si>
  <si>
    <t>SSPanel Center</t>
  </si>
  <si>
    <t>SSPanel Remove Dim 1 Inner</t>
  </si>
  <si>
    <t>SSPanel Remove Dim 2 Outter</t>
  </si>
  <si>
    <t>SS Panel Remove</t>
  </si>
  <si>
    <t>$STATE@BTS Move Option</t>
  </si>
  <si>
    <t>SSPanel Center Opposite</t>
  </si>
  <si>
    <t>Location@BTS Layout</t>
  </si>
  <si>
    <t>D1@TTS Pattern Sketch</t>
  </si>
  <si>
    <t>Tube Length (inches)</t>
  </si>
  <si>
    <t>Tube Length (Feet)</t>
  </si>
  <si>
    <t>$STATE@SSPanel Center Shaft Cutout</t>
  </si>
  <si>
    <t>$STATE@SSPanel Center Trim Ends</t>
  </si>
  <si>
    <t>SSPanel Center Trim Ends</t>
  </si>
  <si>
    <t>SSPanel Outer Length</t>
  </si>
  <si>
    <t>SSPanel Inner Length</t>
  </si>
  <si>
    <t>$STATE@SSPanel Option</t>
  </si>
  <si>
    <t>SS Panel Folder On / Off</t>
  </si>
  <si>
    <t>SS Panel On / Off</t>
  </si>
  <si>
    <t>$STATE@SSPanel Center Opposite flip</t>
  </si>
  <si>
    <t>SSPanel Center Opposite flip</t>
  </si>
  <si>
    <t>$State@coincident10@BTS Move Layout</t>
  </si>
  <si>
    <t>$State@coincident9@BTS Move Layout</t>
  </si>
  <si>
    <t>Move Center BTS</t>
  </si>
  <si>
    <t>Move to Front?</t>
  </si>
  <si>
    <t>Move to Rear?</t>
  </si>
  <si>
    <t>$State@Coincident9</t>
  </si>
  <si>
    <t>SSPanel Center Opposite flip mate</t>
  </si>
  <si>
    <t>Half Side frame length</t>
  </si>
  <si>
    <t>Half BTS Spacing</t>
  </si>
  <si>
    <t>Half of center BTS Space</t>
  </si>
  <si>
    <t>Other half of panel Length</t>
  </si>
  <si>
    <t>Amount center panel sticks past middle of Tube</t>
  </si>
  <si>
    <t xml:space="preserve"> ---------------------------------------------------  Shaft Split Panel       Shaft Split Panel       Shaft Split Panel       Shaft Split Panel       Shaft Split Panel       Shaft Split Panel  ----------------------------------------------------</t>
  </si>
  <si>
    <t>IF( AND(SF_Length&gt;=96, QTY_of_BTS=1),   
True↓ False→</t>
  </si>
  <si>
    <t>IF( AND(QTY_of_BTS&lt;=1, SF_Length&lt;=96),
True↓ False→</t>
  </si>
  <si>
    <t>IF( AND(BTS_Spacing&lt;=48, SF_Length&gt;96),
True↓              False↓</t>
  </si>
  <si>
    <t>First Panel Seam Location
(From middle)</t>
  </si>
  <si>
    <t>Center Panel Seam Location
(From middle)</t>
  </si>
  <si>
    <t>SSPanel Length
(Pattern Spacing)</t>
  </si>
  <si>
    <t>SSPanel Center Dim 2 Front</t>
  </si>
  <si>
    <t>SSPanel Center Dim 1 Rear</t>
  </si>
  <si>
    <r>
      <t>=IF(AND(ISEVEN(QTY_of_BTS),QTY_of_BTS&gt;=2,ISEVEN((QTY_of_BTS-1)/2)),
True</t>
    </r>
    <r>
      <rPr>
        <sz val="11"/>
        <rFont val="Times New Roman"/>
        <family val="1"/>
      </rPr>
      <t>↓</t>
    </r>
    <r>
      <rPr>
        <sz val="12.3"/>
        <rFont val="Calibri"/>
        <family val="2"/>
      </rPr>
      <t xml:space="preserve"> False</t>
    </r>
    <r>
      <rPr>
        <sz val="12.3"/>
        <rFont val="Times New Roman"/>
        <family val="1"/>
      </rPr>
      <t>→</t>
    </r>
  </si>
  <si>
    <t>Tube Info</t>
  </si>
  <si>
    <t>Side Frame Info</t>
  </si>
  <si>
    <t>TTS Bolt Holes On/Off?</t>
  </si>
  <si>
    <t>TTS Hole Pattern On/Off?</t>
  </si>
  <si>
    <t>$STATE@BTS Angle Option Remove Center</t>
  </si>
  <si>
    <t>Remove Center BTS (Angle)</t>
  </si>
  <si>
    <t>$STATE@BTS Channel Option Remove Center</t>
  </si>
  <si>
    <t>$STATE@BTS S Section Option Remove Center</t>
  </si>
  <si>
    <t>Remove Center BTS (C Channel)</t>
  </si>
  <si>
    <t>Remove Center BTS (S Section)</t>
  </si>
  <si>
    <t>$STATE@BTS W Section Option Remove Center</t>
  </si>
  <si>
    <t>Remove Center BTS (W Section)</t>
  </si>
  <si>
    <t>$STATE@SSS Remove Center</t>
  </si>
  <si>
    <t>Remove Center BTS (SSS)</t>
  </si>
  <si>
    <t>$STATE@TSS Remove Center</t>
  </si>
  <si>
    <t>Remove Center BTS (TSS)</t>
  </si>
  <si>
    <t>$STATE@Tube Spacer Strips {SS} Remove Center</t>
  </si>
  <si>
    <t>Remove Center BTS (TSS {SS})</t>
  </si>
  <si>
    <t>$STATE@BTS Move Angle</t>
  </si>
  <si>
    <t>$STATE@BTS Move C Channel</t>
  </si>
  <si>
    <t>$STATE@BTS Move S Section</t>
  </si>
  <si>
    <t>$STATE@BTS Move W Section</t>
  </si>
  <si>
    <t>$STATE@BTS Move TSS</t>
  </si>
  <si>
    <t>Move Center BTS Angle</t>
  </si>
  <si>
    <t>Move Center BTS Channel</t>
  </si>
  <si>
    <t>Move Center BTS S Section</t>
  </si>
  <si>
    <t>Move Center BTS W Section</t>
  </si>
  <si>
    <t>Move Center BTS TSS</t>
  </si>
  <si>
    <t>$STATE@TSS Frame Remove Center</t>
  </si>
  <si>
    <t>Remove Center BTS (TSS Frame)</t>
  </si>
  <si>
    <t>Yellow = Educated guess, could not find a job using weld bars</t>
  </si>
  <si>
    <t>Weld Bar Offset 1 ↕</t>
  </si>
  <si>
    <t>Weld Bar Offset 2 ↔</t>
  </si>
  <si>
    <t>Float Bar Offset 1 ↕</t>
  </si>
  <si>
    <t>Float Bar Offset 2 ↔</t>
  </si>
  <si>
    <t>&lt;-float bar data found on job 150389 (header .3)</t>
  </si>
  <si>
    <t>&lt;-float bar data found on job 135133 (header .5)</t>
  </si>
  <si>
    <t>&lt;-float bar data found on job 150389 (header .4)</t>
  </si>
  <si>
    <t>SectionNo</t>
  </si>
  <si>
    <t>$PRP@SectionNo</t>
  </si>
  <si>
    <t>Properties</t>
  </si>
  <si>
    <t>$PRP@JobNumber</t>
  </si>
  <si>
    <t>Job Number</t>
  </si>
  <si>
    <t>Section Number</t>
  </si>
  <si>
    <t>$PRP@SectionNumber</t>
  </si>
  <si>
    <t>Tube Dia@Tube and Fin sizes</t>
  </si>
  <si>
    <t>Fin Dia@Tube and Fin sizes</t>
  </si>
  <si>
    <t>End Drill@Tube and Fin sizes</t>
  </si>
  <si>
    <t>Tube Dia Ref</t>
  </si>
  <si>
    <t>Fin Dia Ref</t>
  </si>
  <si>
    <t>End Drill Ref</t>
  </si>
  <si>
    <t>Thickness@Sketch1791</t>
  </si>
  <si>
    <t>Backer Bar Thickness</t>
  </si>
  <si>
    <t>Web@Side Frame Size Layout Sketch</t>
  </si>
  <si>
    <t>Side Frame Web Thickness</t>
  </si>
  <si>
    <t>Weld on w Spacer</t>
  </si>
  <si>
    <t>Product Line</t>
  </si>
  <si>
    <t>Depth@Sketch2057</t>
  </si>
  <si>
    <t>BF@Sketch2057</t>
  </si>
  <si>
    <t>Double Broke Channel On / Off</t>
  </si>
  <si>
    <t>TW@Sheet-Metal2055</t>
  </si>
  <si>
    <t>RI@Sheet-Metal2055</t>
  </si>
  <si>
    <t>x</t>
  </si>
  <si>
    <t>D1@Sketch123</t>
  </si>
  <si>
    <t>SF Depth@Guide Bar Location Dims</t>
  </si>
  <si>
    <t>SF Thk@Guide Bar Location Dims</t>
  </si>
  <si>
    <t>SF Lip@Guide Bar Location Dims</t>
  </si>
  <si>
    <t>Broke Side Frame Depth (ref)</t>
  </si>
  <si>
    <t>Broke Side Frame thickness (ref)</t>
  </si>
  <si>
    <t>Broke Side Frame Lip (ref)</t>
  </si>
  <si>
    <t>SF Size layout Sketch</t>
  </si>
  <si>
    <t>Double Broke Channel Lip Size</t>
  </si>
  <si>
    <t>BC - Broke Channel</t>
  </si>
  <si>
    <t>Bolt on Angle (Hammco)</t>
  </si>
  <si>
    <t>$STATE@1/2-13 Tapped Hole1</t>
  </si>
  <si>
    <t>TTS Part inside the Part</t>
  </si>
  <si>
    <t>BTS Connection Type</t>
  </si>
  <si>
    <t>$STATE@BTS Channel Trim to Plate</t>
  </si>
  <si>
    <t>BTS Channel Trim to Bolt on Plate</t>
  </si>
  <si>
    <t>$STATE@BTS Angle Trim to Plate</t>
  </si>
  <si>
    <t>BTS Angle Trim to Bolt on Plate</t>
  </si>
  <si>
    <t>$STATE@BTS S Section Trim to Plate</t>
  </si>
  <si>
    <t>$STATE@BTS W Section Trim to Plate</t>
  </si>
  <si>
    <t>$STATE@BTS Bolt on Plate (Hammco)</t>
  </si>
  <si>
    <t>$STATE@BTS Move Bolt on Plate</t>
  </si>
  <si>
    <t>$STATE@BTS Move Rod (Hammco)</t>
  </si>
  <si>
    <t>$STATE@BTS Move TTS Bracket (Hammco)</t>
  </si>
  <si>
    <t>$STATE@BTS Rod (Hammco)</t>
  </si>
  <si>
    <t>$STATE@TTS Bracket (Hammco)</t>
  </si>
  <si>
    <t>TTS Bracket On/Off</t>
  </si>
  <si>
    <t>BTS Rod On/Off?</t>
  </si>
  <si>
    <t>BTS Bolt on Plate On/Off?</t>
  </si>
  <si>
    <t>BTS Angle Pattern On/Off?</t>
  </si>
  <si>
    <t>$STATE@BTS Bolt on Plate (Hammco) Remove Center</t>
  </si>
  <si>
    <t>$STATE@BTS Rod (Hammco) Remove Center</t>
  </si>
  <si>
    <t>$STATE@TTS Bracket (Hammco) Remove Center</t>
  </si>
  <si>
    <t>Side Frame Width@Layout Sketch</t>
  </si>
  <si>
    <t xml:space="preserve">Side Frame Width (ref)  </t>
  </si>
  <si>
    <t>list names</t>
  </si>
  <si>
    <t>table names</t>
  </si>
  <si>
    <t>Height collumn</t>
  </si>
  <si>
    <t>MC Channel</t>
  </si>
  <si>
    <t>MC_Channel_List</t>
  </si>
  <si>
    <t>Height@BTS Bolt on Plate Layout Sketch</t>
  </si>
  <si>
    <t>BTS Bolt On Plate Height</t>
  </si>
  <si>
    <t>D1@Sketch2080</t>
  </si>
  <si>
    <t>BTS Bolt on Plate Hole Location</t>
  </si>
  <si>
    <t>Guide Bar Trim On / Off</t>
  </si>
  <si>
    <t>$STATE@Guide Bar Trim L Angle</t>
  </si>
  <si>
    <t>$STATE@Teflon L Angle</t>
  </si>
  <si>
    <t>$STATE@Rear Teflon L Angle</t>
  </si>
  <si>
    <t>$STATE@Air Gap L Angle</t>
  </si>
  <si>
    <t>$STATE@Air Gap L Angle Mirror</t>
  </si>
  <si>
    <t>$STATE@Air Gap L Angle Move</t>
  </si>
  <si>
    <t>Front Teflon Pad On / Off</t>
  </si>
  <si>
    <t>Rear Teflon Pad On / Off</t>
  </si>
  <si>
    <t>Front Air Gap Filler On / Off</t>
  </si>
  <si>
    <t>Rear Air Gap Filler On / Off</t>
  </si>
  <si>
    <t>Locate Air Gap Filler On / Off</t>
  </si>
  <si>
    <t>Do not cut Side Frame Lip</t>
  </si>
  <si>
    <t>xxxx</t>
  </si>
  <si>
    <t>D1@Sketch2052</t>
  </si>
  <si>
    <t>$state@Collinear74@Layout Sketch</t>
  </si>
  <si>
    <t>Hammco Side Frame</t>
  </si>
  <si>
    <t>AXC Side Frame</t>
  </si>
  <si>
    <t>$STATE@Header Support C Channel</t>
  </si>
  <si>
    <t>$STATE@Teflon C Channel</t>
  </si>
  <si>
    <t>$STATE@Rear Teflon C Channel</t>
  </si>
  <si>
    <t>$STATE@Air Gap Channel</t>
  </si>
  <si>
    <t>$STATE@Air Gap Channel Mirror</t>
  </si>
  <si>
    <t>$STATE@Air Gap Channel Move</t>
  </si>
  <si>
    <t>Header Support C Channel</t>
  </si>
  <si>
    <t>Guide Bar Trim</t>
  </si>
  <si>
    <t>Teflon C Channel</t>
  </si>
  <si>
    <t>Rear Teflon C Channel</t>
  </si>
  <si>
    <t>Air Gap C Channel</t>
  </si>
  <si>
    <t>Air Gap Channel Mirror</t>
  </si>
  <si>
    <t>Air Gap Chanel Move</t>
  </si>
  <si>
    <t>$STATE@Header Support L Angle</t>
  </si>
  <si>
    <t>Header Support L Angle</t>
  </si>
  <si>
    <t>Hammco Air Seal Bracket</t>
  </si>
  <si>
    <t>Lower Trim around HSAngle Front</t>
  </si>
  <si>
    <t>Lower Trim around HSAngle Rear</t>
  </si>
  <si>
    <t>Lower Trim around HSChannel Front</t>
  </si>
  <si>
    <t>Lower Trim around HSChannel Rear</t>
  </si>
  <si>
    <t>Remove Center Rod On/Off</t>
  </si>
  <si>
    <t>BTS and TTS Hammco Options</t>
  </si>
  <si>
    <t>TOP Header Support Angle and Size</t>
  </si>
  <si>
    <t>TOP Header Support Channel and Size</t>
  </si>
  <si>
    <t>H_leg@Sketch11000</t>
  </si>
  <si>
    <t>V_leg@Sketch11000</t>
  </si>
  <si>
    <t>Thickness@Sketch11000</t>
  </si>
  <si>
    <t>Radius_1@Sketch11000</t>
  </si>
  <si>
    <t>Radius_2@Sketch11000</t>
  </si>
  <si>
    <t>Flat_wid@Sketch11000</t>
  </si>
  <si>
    <t>Depth@Sketch1997</t>
  </si>
  <si>
    <t>TW@Sketch1997</t>
  </si>
  <si>
    <t>BF@Sketch1997</t>
  </si>
  <si>
    <t>TF@Sketch1997</t>
  </si>
  <si>
    <t>RI@Sketch1997</t>
  </si>
  <si>
    <t>RA@Sketch1997</t>
  </si>
  <si>
    <t>D2@Sketch1997</t>
  </si>
  <si>
    <t>flange@Sketch1997</t>
  </si>
  <si>
    <t>Weight@Sketch1997</t>
  </si>
  <si>
    <t>$STATE@Header Support Top Angle Option (Hammco)</t>
  </si>
  <si>
    <t>Header Support Top Angle On/Off?</t>
  </si>
  <si>
    <t>$STATE@Header Support Top Angle</t>
  </si>
  <si>
    <t>Header Support Top L Angle</t>
  </si>
  <si>
    <t>$STATE@Header Support Top Channel Bolt on Option</t>
  </si>
  <si>
    <t>Channel Bolt on Option On / Off</t>
  </si>
  <si>
    <t>$STATE@Header Support Top Channel Option (Hammco)</t>
  </si>
  <si>
    <t>$STATE@Header Support Top Channel</t>
  </si>
  <si>
    <t>$STATE@Header Support Top Angle Bolt on Option</t>
  </si>
  <si>
    <t>$STATE@Air Seal Bracket Top (Hammco)</t>
  </si>
  <si>
    <t>Air Seal Bracket Top On / Off</t>
  </si>
  <si>
    <t>$STATE@Air Seal Bracket Top Front HSAngle Trim</t>
  </si>
  <si>
    <t>$STATE@Air Seal Bracket Top Rear HSAngle Trim</t>
  </si>
  <si>
    <t>$STATE@Air Seal Bracket Top Front HSChannel Trim</t>
  </si>
  <si>
    <t>$STATE@Air Seal Bracket Top Rear HSChannel Trim</t>
  </si>
  <si>
    <t>Air Seal Bracket Top Hole Location (Front)
(under angle Header Support)</t>
  </si>
  <si>
    <t>Air Seal Bracket Top Hole Location (Rear)
(under angle Header Support)</t>
  </si>
  <si>
    <t>TOP Hammco Air Seal Bracket</t>
  </si>
  <si>
    <t>Header Support Top Channel</t>
  </si>
  <si>
    <t>$STATE@Air Seal Bracket Top Bolt on Option</t>
  </si>
  <si>
    <t>Air Seal brackt Bolt on Option</t>
  </si>
  <si>
    <t>Bolt on</t>
  </si>
  <si>
    <t>$State@Double Broke Channel</t>
  </si>
  <si>
    <t>Slide_Pad_Table</t>
  </si>
  <si>
    <t>Slide_Pad_List</t>
  </si>
  <si>
    <t>list</t>
  </si>
  <si>
    <t>Header Support Offset</t>
  </si>
  <si>
    <t xml:space="preserve">all AXC side frames = </t>
  </si>
  <si>
    <t>Note:</t>
  </si>
  <si>
    <r>
      <t xml:space="preserve">TOP Header Support
</t>
    </r>
    <r>
      <rPr>
        <b/>
        <sz val="11"/>
        <color theme="1"/>
        <rFont val="Calibri"/>
        <family val="2"/>
        <scheme val="minor"/>
      </rPr>
      <t>Type</t>
    </r>
  </si>
  <si>
    <r>
      <t xml:space="preserve">TOP Header Support
</t>
    </r>
    <r>
      <rPr>
        <b/>
        <sz val="11"/>
        <color theme="1"/>
        <rFont val="Calibri"/>
        <family val="2"/>
        <scheme val="minor"/>
      </rPr>
      <t>Connection Type</t>
    </r>
  </si>
  <si>
    <r>
      <t xml:space="preserve">TOP Header Support
</t>
    </r>
    <r>
      <rPr>
        <b/>
        <sz val="11"/>
        <color theme="1"/>
        <rFont val="Calibri"/>
        <family val="2"/>
        <scheme val="minor"/>
      </rPr>
      <t xml:space="preserve"> Size</t>
    </r>
  </si>
  <si>
    <t>Teflon, 2.5 x 2.5</t>
  </si>
  <si>
    <t>0.125 offset</t>
  </si>
  <si>
    <t>$State@Slide Pad Front 2</t>
  </si>
  <si>
    <t>$State@Slide Pad Rear 1</t>
  </si>
  <si>
    <t>$State@Slide Pad Rear 2</t>
  </si>
  <si>
    <t>$Configuration@Slide Pad Front 2</t>
  </si>
  <si>
    <t>$Configuration@Slide Pad Rear 1</t>
  </si>
  <si>
    <t>$Configuration@Slide Pad Rear 2</t>
  </si>
  <si>
    <t>Clearance@Header Support Layout</t>
  </si>
  <si>
    <t>$STATE@Air Seal Bracket (Hammco)</t>
  </si>
  <si>
    <t>Bronze, 3 x 3</t>
  </si>
  <si>
    <t>Lifting Lug QTY (Hammco)</t>
  </si>
  <si>
    <t>Lifting lug</t>
  </si>
  <si>
    <t>TOP Header Support (Hammco)</t>
  </si>
  <si>
    <r>
      <t xml:space="preserve">Header Support
</t>
    </r>
    <r>
      <rPr>
        <b/>
        <sz val="11"/>
        <color theme="1"/>
        <rFont val="Calibri"/>
        <family val="2"/>
        <scheme val="minor"/>
      </rPr>
      <t>Type</t>
    </r>
  </si>
  <si>
    <r>
      <t xml:space="preserve">Header Support
</t>
    </r>
    <r>
      <rPr>
        <b/>
        <sz val="11"/>
        <color theme="1"/>
        <rFont val="Calibri"/>
        <family val="2"/>
        <scheme val="minor"/>
      </rPr>
      <t>Sizes</t>
    </r>
  </si>
  <si>
    <t>BTS Move Rod (Hammco)</t>
  </si>
  <si>
    <t>BTS Move TTS Bracket (Hammco)</t>
  </si>
  <si>
    <t>BTS Move Bolt on Plate</t>
  </si>
  <si>
    <t>Slide Pad Front 1</t>
  </si>
  <si>
    <t>Slide Pad Front 2</t>
  </si>
  <si>
    <t>Slide Pad Rear 1</t>
  </si>
  <si>
    <t>Slide Pad Rear 2</t>
  </si>
  <si>
    <t>Slide Pad Front 1 Config</t>
  </si>
  <si>
    <t>Slide Pad Rear 1 Config</t>
  </si>
  <si>
    <t>Slide Pad Front 2 Config</t>
  </si>
  <si>
    <t>Slide Pad Rear 2 Config</t>
  </si>
  <si>
    <t>Header Support Layout Clearance</t>
  </si>
  <si>
    <t>Hammco Slide Pad</t>
  </si>
  <si>
    <t>$STATE@TempB2</t>
  </si>
  <si>
    <t>$STATE@Header Support Top Width</t>
  </si>
  <si>
    <t>$STATE@TempB1</t>
  </si>
  <si>
    <t>Header Support Top Channel On/Off?</t>
  </si>
  <si>
    <t>Air Seal Temp Geometry</t>
  </si>
  <si>
    <t>$STATE@BTS Bolt on Plate</t>
  </si>
  <si>
    <t>$State@Vertical8@Top</t>
  </si>
  <si>
    <t>$State@Vertical9@Top</t>
  </si>
  <si>
    <t>$State@Vertical5@Top</t>
  </si>
  <si>
    <t>Top Lip (Hammco)</t>
  </si>
  <si>
    <t>Lower Lip (Hammco)</t>
  </si>
  <si>
    <t>Top Lip (AXC)</t>
  </si>
  <si>
    <t>Lower Lip (AXC)</t>
  </si>
  <si>
    <t>$State@Vertical2@Lower</t>
  </si>
  <si>
    <t>$State@Vertical5@Lower</t>
  </si>
  <si>
    <t>$State@Vertical7@Top</t>
  </si>
  <si>
    <t>$State@Vertical1@Lower</t>
  </si>
  <si>
    <t>$State@Vertical4@Lower</t>
  </si>
  <si>
    <t>LIP@Top</t>
  </si>
  <si>
    <t>LIP@Lower</t>
  </si>
  <si>
    <t>$STATE@Unfold1</t>
  </si>
  <si>
    <t>$STATE@Unfold2</t>
  </si>
  <si>
    <t>$STATE@Relief Cut Top</t>
  </si>
  <si>
    <t>$STATE@Relief Cut Lower</t>
  </si>
  <si>
    <t>$STATE@Fold1</t>
  </si>
  <si>
    <t>$STATE@Fold2</t>
  </si>
  <si>
    <t>Relief Cut (Hammco)</t>
  </si>
  <si>
    <t>$STATE@Broke Channel Lip1</t>
  </si>
  <si>
    <t>$STATE@Broke Channel Lip Mirror</t>
  </si>
  <si>
    <t>Double Broke Lip Mirror</t>
  </si>
  <si>
    <t>Double Broke Lip</t>
  </si>
  <si>
    <t>D3@Air Seal Bracket Top Front Holes Sketch</t>
  </si>
  <si>
    <t>D1@Air Seal Bracket Top Rear Holes Sketch</t>
  </si>
  <si>
    <t>$STATE@Air Seal Bracket Top Front HSAngle Trim Sketch</t>
  </si>
  <si>
    <t>Sketch</t>
  </si>
  <si>
    <t>$STATE@Air Seal Bracket Top Rear HSAngle Trim Sketch</t>
  </si>
  <si>
    <t>$STATE@Air Seal Bracket Top Front HSChannel Trim Sketch</t>
  </si>
  <si>
    <t>$STATE@Air Seal Bracket Top Rear HSChannel Trim Sketch</t>
  </si>
  <si>
    <t>Air Seal Bracket On / Off</t>
  </si>
  <si>
    <t>Trim around HSAngle Front</t>
  </si>
  <si>
    <t>Trim around HSAngle Rear</t>
  </si>
  <si>
    <t>Trim around HSChannel Front</t>
  </si>
  <si>
    <t>Trim around HSChannel Rear</t>
  </si>
  <si>
    <t>Air Seal Bracket Height (Front)</t>
  </si>
  <si>
    <t>Air Seal Bracket Hole Location (Front)
(under angle Header Support)</t>
  </si>
  <si>
    <t>Air Seal Bracket Height (Rear)</t>
  </si>
  <si>
    <t>Air Seal Bracket Hole Location (Rear)
(under angle Header Support)</t>
  </si>
  <si>
    <t>$STATE@Air Seal Bracket Front HSAngle Trim</t>
  </si>
  <si>
    <t>$STATE@Air Seal Bracket Front HSAngle Trim Sketch</t>
  </si>
  <si>
    <t>$STATE@Air Seal Bracket Rear HSAngle Trim</t>
  </si>
  <si>
    <t>$STATE@Air Seal Bracket Front HSChannel Trim</t>
  </si>
  <si>
    <t>$STATE@Air Seal Bracket Front HSChannel Trim Sketch</t>
  </si>
  <si>
    <t>$STATE@Air Seal Bracket Rear HSChannel Trim</t>
  </si>
  <si>
    <t>$STATE@Air Seal Bracket Rear HSChannel Trim Sketch</t>
  </si>
  <si>
    <t>D4@Air Seal Bracket Front Holes Sketch</t>
  </si>
  <si>
    <t>D1@Air Seal Bracket Rear Holes Sketch</t>
  </si>
  <si>
    <t>$STATE@Air Seal Bracket Rear HSAngle Trim Sketch</t>
  </si>
  <si>
    <t>$STATE@Header Support Top Channel Bolt on Option Sketch</t>
  </si>
  <si>
    <t>$STATE@Header Support Top Angle Bolt on Option Sketch</t>
  </si>
  <si>
    <t>$STATE@Teflon C Channel Sketch</t>
  </si>
  <si>
    <t>$STATE@Coincident8</t>
  </si>
  <si>
    <t>Mate</t>
  </si>
  <si>
    <t>$STATE@Air Gap Channel Sketch</t>
  </si>
  <si>
    <t>$STATE@Coincident11</t>
  </si>
  <si>
    <t>$STATE@Coincident12</t>
  </si>
  <si>
    <t>$STATE@Plane49</t>
  </si>
  <si>
    <t>$STATE@Sketch1997</t>
  </si>
  <si>
    <t>Plane</t>
  </si>
  <si>
    <t>$STATE@Plane50</t>
  </si>
  <si>
    <t>$STATE@Sketch11000</t>
  </si>
  <si>
    <t>$STATE@TempB2 Sketch</t>
  </si>
  <si>
    <t>$STATE@TempB1 Sketch</t>
  </si>
  <si>
    <t>$STATE@Guide Bar Trim C Channel</t>
  </si>
  <si>
    <t>$STATE@Guide Bar Trim C Channel Sketch</t>
  </si>
  <si>
    <t>$State@Slide Pad Front 1</t>
  </si>
  <si>
    <t>$Configuration@Slide Pad Front 1</t>
  </si>
  <si>
    <t>Lug to Lug CL dist</t>
  </si>
  <si>
    <t>Lifting Lug CL Dist</t>
  </si>
  <si>
    <t>D1@Section Lifting Lug Hole Location</t>
  </si>
  <si>
    <t>$STATE@Sketch11027</t>
  </si>
  <si>
    <t>$state@Equal length90@Layout Sketch</t>
  </si>
  <si>
    <t>$STATE@BTS Rod</t>
  </si>
  <si>
    <t>$STATE@BTS Rod Trim</t>
  </si>
  <si>
    <t>$STATE@BTS Rod LPattern</t>
  </si>
  <si>
    <t>$STATE@Sketch11022</t>
  </si>
  <si>
    <t>Air Seal Bracket Top Height (Rear)</t>
  </si>
  <si>
    <t>S</t>
  </si>
  <si>
    <t>$STATE@TempA2</t>
  </si>
  <si>
    <t>$STATE@TempA1</t>
  </si>
  <si>
    <t>$STATE@Header Support Width</t>
  </si>
  <si>
    <t>$STATE@Air Seal Bracket Front</t>
  </si>
  <si>
    <t>$STATE@Air Seal Bracket Front Holes</t>
  </si>
  <si>
    <t>$STATE@Air Seal Bracket Rear Holes</t>
  </si>
  <si>
    <t>$STATE@Air Seal Bracket Mirror</t>
  </si>
  <si>
    <t>$STATE@Air Seal Bracket Top Front</t>
  </si>
  <si>
    <t>$STATE@Air Seal Bracket Top Rear</t>
  </si>
  <si>
    <t>$STATE@Air Seal Bracket Top Front Holes</t>
  </si>
  <si>
    <t>$STATE@Air Seal Bracket Top Rear Holes</t>
  </si>
  <si>
    <t>$STATE@Air Seal Bracket Top Mirror</t>
  </si>
  <si>
    <t>HDR Thickness Rear@Layout Sketch</t>
  </si>
  <si>
    <t>Header Plate Thickness Rear Ref</t>
  </si>
  <si>
    <t>$STATE@Sketch139</t>
  </si>
  <si>
    <t>$STATE@Sketch1854</t>
  </si>
  <si>
    <t>$STATE@Sketch161</t>
  </si>
  <si>
    <t>D1@Header Support Layout</t>
  </si>
  <si>
    <t>D1@Header Support Layout Top</t>
  </si>
  <si>
    <t>D2@Header Support Layout Top</t>
  </si>
  <si>
    <t>D2@Header Support Layout</t>
  </si>
  <si>
    <t>D1@Air Seal Bracket Top Bolt on Option</t>
  </si>
  <si>
    <t>Air Seal Bracket Top Height (Front) Ref</t>
  </si>
  <si>
    <t>Air Seal bracket Bolt on Offset Values</t>
  </si>
  <si>
    <t>$STATE@Air Seal Bracket Top Front HSChannel Trim Cleanup</t>
  </si>
  <si>
    <t>Lower Trim around HSChannel Front Cleanup</t>
  </si>
  <si>
    <t>$STATE@Sketch11064</t>
  </si>
  <si>
    <t>$STATE@Air Seal Bracket Top Rear HSChannel Trim Cleanup</t>
  </si>
  <si>
    <t>$STATE@Sketch11065</t>
  </si>
  <si>
    <t>Lower Trim around HSChannel Rear Cleanup</t>
  </si>
  <si>
    <t>Clearance Rear@Header Support Layout</t>
  </si>
  <si>
    <t>Header Support Layout Clearance REAR</t>
  </si>
  <si>
    <t>BTS Bolt Hole Row QTY
1 = 2 holes
2 = 4 holes</t>
  </si>
  <si>
    <t>BTS Bolt Hole Row Spacing</t>
  </si>
  <si>
    <t>Mid Air Seal?</t>
  </si>
  <si>
    <t>Yes</t>
  </si>
  <si>
    <t>$STATE@Mid Air Seal Bracket (Hammco)</t>
  </si>
  <si>
    <t>$STATE@Mid Air Seal Bracket Plane</t>
  </si>
  <si>
    <t>$STATE@Mid Air Seal Bracket</t>
  </si>
  <si>
    <t>$STATE@Mid Air Seal Bracket lip clearance</t>
  </si>
  <si>
    <t>$STATE@Mid Air Seal Bracket Bolt Holes</t>
  </si>
  <si>
    <t>$STATE@Mid Air Seal Bracket Mirror</t>
  </si>
  <si>
    <t>Mid Air Seal Bracket On / Off</t>
  </si>
  <si>
    <t>Mid Air Seal Bracket Plane On / Off</t>
  </si>
  <si>
    <t>Mid Air Seal Bracket folder On / Off</t>
  </si>
  <si>
    <t>Mid Air Seal Bracket Clearance around lipOn / Off</t>
  </si>
  <si>
    <t>Mid Air Seal Bracket Bolt HolesOn / Off</t>
  </si>
  <si>
    <t>Mid Air Seal Bracket MirrorOn / Off</t>
  </si>
  <si>
    <t>Mid Air Seal@Layout Sketch</t>
  </si>
  <si>
    <t>Mid air seal ref dim</t>
  </si>
  <si>
    <t>Length@Sketch11070</t>
  </si>
  <si>
    <t>D4@Sketch11070</t>
  </si>
  <si>
    <t>$STATE@Mid Air Seal (Hammco)</t>
  </si>
  <si>
    <t>$STATE@Mid Air Seal</t>
  </si>
  <si>
    <t>$STATE@Mid Air Seal Notch to SF</t>
  </si>
  <si>
    <t>$STATE@Mid Air Seal Notch to SF Lip</t>
  </si>
  <si>
    <t>Mid Air Seal folder On / Off</t>
  </si>
  <si>
    <t>Mid Air Seal On / Off</t>
  </si>
  <si>
    <t>Mid Air Seal Notch to SF On / Off</t>
  </si>
  <si>
    <t>Mid Air Seal Notch Around SF lip On / Off</t>
  </si>
  <si>
    <t>Mid Air Seal - welded to BTS  (Hammco)</t>
  </si>
  <si>
    <t>Mid Air Seal Bracket (Hammco)</t>
  </si>
  <si>
    <t>Hole QTY@Air Seal Bracket Lower Front Sketch</t>
  </si>
  <si>
    <t>Hole QTY@Air Seal Bracket Rear Sketch</t>
  </si>
  <si>
    <t>Air Seal Bracket FRONT Hole QTY</t>
  </si>
  <si>
    <t>Air Seal Bracket REAR Hole QTY</t>
  </si>
  <si>
    <t>Hole QTY@Air Seal Bracket Top Front Sketch</t>
  </si>
  <si>
    <t>Hole QTY@Air Seal Bracket Top Rear Sketch</t>
  </si>
  <si>
    <t>Air Seal Bracket FRONT TOP Hole QTY</t>
  </si>
  <si>
    <t>Air Seal Bracket RearTOP Hole QTY</t>
  </si>
  <si>
    <t>Hole QTY@Sketch11066</t>
  </si>
  <si>
    <t>Air Seal Bracket Height (Mid)</t>
  </si>
  <si>
    <t>Air Seal Bracket Hole Location (MId)</t>
  </si>
  <si>
    <t>Air Seal Bracket MID Hole QTY</t>
  </si>
  <si>
    <t>$STATE@BTS Move Bolt on Plate Hole (Hammco)</t>
  </si>
  <si>
    <t>$STATE@BTS Move Bolt on Plate Hole Pattern (Hammco)</t>
  </si>
  <si>
    <t>BTS Move Bolt on Plate Hole (Hammco)</t>
  </si>
  <si>
    <t>BTS Move Bolt on Plate Hole Pattern (Hammco)</t>
  </si>
  <si>
    <t>BTS Offset@Layout Sketch</t>
  </si>
  <si>
    <t>BTS Move Ref dim</t>
  </si>
  <si>
    <t>$STATE@BTS Bolt on Bracket Holes MidPlane</t>
  </si>
  <si>
    <t>BTS Bolt on Bracket Option</t>
  </si>
  <si>
    <t>BTS Bolt on Bracket</t>
  </si>
  <si>
    <t>BTS Bolt on Bracket Trim</t>
  </si>
  <si>
    <t>BTS Bolt on Bracket Holes</t>
  </si>
  <si>
    <t>BTS Bolt on Bracket Holes MidPlane</t>
  </si>
  <si>
    <t>BTS Bolt on Bracket Pattern
(along Length)</t>
  </si>
  <si>
    <t>BTS Bolt on Bracket Mirror
(Left Side)</t>
  </si>
  <si>
    <t>Bottom Tube Support C Channel 
Bolt on Bracket Option</t>
  </si>
  <si>
    <t>Side Frame Ref</t>
  </si>
  <si>
    <t>D1@BTS Bolt Hole Pattern</t>
  </si>
  <si>
    <t>D2@BTS Bolt Hole Pattern</t>
  </si>
  <si>
    <t>D2@BTS Move Bolt on Plate Hole Pattern (Hammco)</t>
  </si>
  <si>
    <t>D1@BTS Move Bolt on Plate Hole Pattern (Hammco)</t>
  </si>
  <si>
    <t>BOTTOM TUBE SUPPORT</t>
  </si>
  <si>
    <t>$PRP@DESCRIPTION</t>
  </si>
  <si>
    <t>DESCRIPTION</t>
  </si>
  <si>
    <t>$STATE@BTS ONLY</t>
  </si>
  <si>
    <t>Side Frame Sub Asm</t>
  </si>
  <si>
    <t>Side Frame Sub Asm Opp</t>
  </si>
  <si>
    <t>HDR Support Front</t>
  </si>
  <si>
    <t>HDR Support  Front Opp</t>
  </si>
  <si>
    <t>HDR Support Rear</t>
  </si>
  <si>
    <t>HDR Support Rear Opp</t>
  </si>
  <si>
    <t>CONFIGURATIONS</t>
  </si>
  <si>
    <t>$STATE@Plane51</t>
  </si>
  <si>
    <t>$STATE@Plane52</t>
  </si>
  <si>
    <t>$STATE@BTS Bolt Hole</t>
  </si>
  <si>
    <t>$STATE@BTS Bolt Hole Pattern</t>
  </si>
  <si>
    <t>$STATE@BTS Bolt on Plate Mirror</t>
  </si>
  <si>
    <t>$STATE@BTS Bolt on Plate Pattern</t>
  </si>
  <si>
    <t>$STATE@BTS Bolt Hole Pattern Pattern</t>
  </si>
  <si>
    <t>BTS Bolt on Plate Layout Sketch On/Off?</t>
  </si>
  <si>
    <t>BTS Bolt on Plate (Parent)</t>
  </si>
  <si>
    <t>BTS Bolt on Plate Hole (Parent)</t>
  </si>
  <si>
    <t>BTS Bolt on Plate Hole Pattern (Parent)</t>
  </si>
  <si>
    <t>BTS Bolt on Plate Mirror (Parent)</t>
  </si>
  <si>
    <t>BTS Bolt on Plate HOLE Pattern
 along length</t>
  </si>
  <si>
    <t>BTS Bolt on Plate Pattern
 along length</t>
  </si>
  <si>
    <t>SIDE FRAME ASSEMBLY</t>
  </si>
  <si>
    <t>SEC#@Layout Sketch</t>
  </si>
  <si>
    <t>TSS Half tube face option</t>
  </si>
  <si>
    <t>$STATE@TSS Frame (Right Side) Half Tube Face Option</t>
  </si>
  <si>
    <t>$STATE@Boss-Extrude15</t>
  </si>
  <si>
    <t>0.5"</t>
  </si>
  <si>
    <t>HDRSupportTop@Layout Sketch</t>
  </si>
  <si>
    <t>Header Support Top Ref dim</t>
  </si>
  <si>
    <t>$STATE@Air Seal Bracket Flange Top Front</t>
  </si>
  <si>
    <t>$STATE@Air Seal Bracket Flange Top Rear</t>
  </si>
  <si>
    <t>Flange Top Front</t>
  </si>
  <si>
    <t>Flange Top Rear</t>
  </si>
  <si>
    <t>BTSconType@Layout Sketch</t>
  </si>
  <si>
    <t>GapRear@Layout Sketch</t>
  </si>
  <si>
    <t>Gap between header &amp; SF
Rear</t>
  </si>
  <si>
    <t>$STATE@BTS Angle</t>
  </si>
  <si>
    <t>$STATE@BTS Angle Trim</t>
  </si>
  <si>
    <t>BTS Angle TrimOn/Off?</t>
  </si>
  <si>
    <t>$STATE@BTS Channel</t>
  </si>
  <si>
    <t>$STATE@BTS Channel Trim</t>
  </si>
  <si>
    <t>BTS Channel Trim On/Off?</t>
  </si>
  <si>
    <t>BTS Angle Folder On/Off?</t>
  </si>
  <si>
    <t>BTS Channel Folder On/Off?</t>
  </si>
  <si>
    <t>$STATE@BTS S Section</t>
  </si>
  <si>
    <t>$STATE@BTS S Section Trim</t>
  </si>
  <si>
    <t>BTS S Section Folder On/Off?</t>
  </si>
  <si>
    <t>BTS S Section Trim On/Off?</t>
  </si>
  <si>
    <t>$STATE@BTS W Section</t>
  </si>
  <si>
    <t>$STATE@BTS W Section Trim</t>
  </si>
  <si>
    <t>BTS W Section Folder On/Off?</t>
  </si>
  <si>
    <t>BTS W Section Trim On/Off?</t>
  </si>
  <si>
    <t>$STATE@Sketch2043</t>
  </si>
  <si>
    <t>SSPanel Center Opposite Sketch</t>
  </si>
  <si>
    <t>$STATE@000000_S03-TTS</t>
  </si>
  <si>
    <t>$Value@QTY of BTS@EQUATIONS</t>
  </si>
  <si>
    <t>$Value@BTS Spacing@EQUATIONS</t>
  </si>
  <si>
    <t>Mid Air Seal
Connection Type</t>
  </si>
  <si>
    <t>Mid Air Seal</t>
  </si>
  <si>
    <t>$STATE@BTS Channel Extra Trim (Bolt on)</t>
  </si>
  <si>
    <t xml:space="preserve">BTS extra clearance </t>
  </si>
  <si>
    <t>TSS Frame Move
to above BTS Bracket</t>
  </si>
  <si>
    <t xml:space="preserve"> 
</t>
  </si>
  <si>
    <t>$STATE@Sketch1996</t>
  </si>
  <si>
    <t>BTS Bolt on Plate (Parent) Sketch</t>
  </si>
  <si>
    <t>BTS Trim Sketch to Bolt On Plate (Shared)</t>
  </si>
  <si>
    <t>Yes - Rear HDR</t>
  </si>
  <si>
    <t>SIDE FRAME ASSEMBLY, SIDE A</t>
  </si>
  <si>
    <t>SIDE FRAME ASSEMBLY, SIDE B</t>
  </si>
  <si>
    <r>
      <t xml:space="preserve">SF Header Support </t>
    </r>
    <r>
      <rPr>
        <b/>
        <sz val="11"/>
        <color theme="1"/>
        <rFont val="Calibri"/>
        <family val="2"/>
        <scheme val="minor"/>
      </rPr>
      <t>Slide Pad</t>
    </r>
    <r>
      <rPr>
        <sz val="11"/>
        <color theme="1"/>
        <rFont val="Calibri"/>
        <family val="2"/>
        <scheme val="minor"/>
      </rPr>
      <t xml:space="preserve">
(Hammco)</t>
    </r>
  </si>
  <si>
    <r>
      <t xml:space="preserve">SF Header Support </t>
    </r>
    <r>
      <rPr>
        <b/>
        <sz val="11"/>
        <color theme="1"/>
        <rFont val="Calibri"/>
        <family val="2"/>
        <scheme val="minor"/>
      </rPr>
      <t>Slide Pad REAR</t>
    </r>
    <r>
      <rPr>
        <sz val="11"/>
        <color theme="1"/>
        <rFont val="Calibri"/>
        <family val="2"/>
        <scheme val="minor"/>
      </rPr>
      <t xml:space="preserve">
(Hammco)</t>
    </r>
  </si>
  <si>
    <t>HEADER SUPPORT, REAR SIDE B</t>
  </si>
  <si>
    <t>HEADER SUPPORT, REAR SIDE A</t>
  </si>
  <si>
    <t>$STATE@BTS Mid W Filler Only</t>
  </si>
  <si>
    <t>BOTTOM TUBE SUPPORT, MID WITH AIR SEAL</t>
  </si>
  <si>
    <t>$STATE@SFR Sub Asm Side B  Only</t>
  </si>
  <si>
    <t>$STATE@SFR Sub Asm Side A Only</t>
  </si>
  <si>
    <t>$STATE@HS Front Side B Only</t>
  </si>
  <si>
    <t>$STATE@HS Front Side A Only</t>
  </si>
  <si>
    <t>$STATE@HS Rear Side B Only</t>
  </si>
  <si>
    <t>$STATE@HS Rear Side A Only</t>
  </si>
  <si>
    <t>$STATE@TTS Bracket Lpattern</t>
  </si>
  <si>
    <t>Remove TTS Bracket On/Off (folder)</t>
  </si>
  <si>
    <t>TTS Bracket Lpattern On/Off?</t>
  </si>
  <si>
    <t>$STATE@Air Seal Bracket Top Mirror (Separate Side A from B)</t>
  </si>
  <si>
    <t>Air Seal Bracket Top (Separates Side A from B)</t>
  </si>
  <si>
    <t>$STATE@Temp1</t>
  </si>
  <si>
    <t>Temp Body to cut away for BTS Clearance around Double Broke Side Frames</t>
  </si>
  <si>
    <t>$STATE@BTS Angle Notch around SF Lip</t>
  </si>
  <si>
    <t>$STATE@BTS Channel Notch around SF Lip</t>
  </si>
  <si>
    <t>BTS Channel Notch around Double Broke Side Frame lip On/Off?</t>
  </si>
  <si>
    <t>BTS Angle Notch around Double Broke Side Frame lip On/Off?</t>
  </si>
  <si>
    <t>$STATE@BTS S Section Notch around SF Lip</t>
  </si>
  <si>
    <t>$STATE@BTS W Section Notch around SF Lip</t>
  </si>
  <si>
    <t>Wiggle Strip Thk</t>
  </si>
  <si>
    <t>Gap between
Side Frame &amp; Full Fin Dia</t>
  </si>
  <si>
    <t>Backer Bar Thickness@TSS Frame Layout Sketch (Left Side)</t>
  </si>
  <si>
    <t>Flat_Bar_Thk_List</t>
  </si>
  <si>
    <t>Gap between
Side Frame &amp; Fin Dia crushed</t>
  </si>
  <si>
    <r>
      <rPr>
        <b/>
        <sz val="11"/>
        <color theme="1"/>
        <rFont val="Calibri"/>
        <family val="2"/>
        <scheme val="minor"/>
      </rPr>
      <t xml:space="preserve">Possible Backer Bar Thicker
</t>
    </r>
    <r>
      <rPr>
        <sz val="11"/>
        <color theme="1"/>
        <rFont val="Calibri"/>
        <family val="2"/>
        <scheme val="minor"/>
      </rPr>
      <t>Rounded UP to 0.125</t>
    </r>
  </si>
  <si>
    <r>
      <rPr>
        <b/>
        <sz val="11"/>
        <color theme="1"/>
        <rFont val="Calibri"/>
        <family val="2"/>
        <scheme val="minor"/>
      </rPr>
      <t xml:space="preserve">Possible Backer Bar Thinner
</t>
    </r>
    <r>
      <rPr>
        <sz val="11"/>
        <color theme="1"/>
        <rFont val="Calibri"/>
        <family val="2"/>
        <scheme val="minor"/>
      </rPr>
      <t>Rounded DOWN to 0.126</t>
    </r>
  </si>
  <si>
    <t>ACTUAL Backer Bar Thk</t>
  </si>
  <si>
    <t>SSS Length Match?</t>
  </si>
  <si>
    <t>$STATE@Coincident26@SSS Trim Sketch</t>
  </si>
  <si>
    <t>$STATE@Horizontal1@SSS Trim Sketch</t>
  </si>
  <si>
    <t>Shaft Split Supports Match Left, Right, or Unique</t>
  </si>
  <si>
    <t>$STATE@Coincident35@SSS Trim Sketch</t>
  </si>
  <si>
    <t>Yes - Right Side</t>
  </si>
  <si>
    <t>Slide_Pad_Size_Table</t>
  </si>
  <si>
    <t>Teflon, 3.5 x 5</t>
  </si>
  <si>
    <t>10ga x 3.5 x 5</t>
  </si>
  <si>
    <t>BAR, 0.25 x 2 x 2</t>
  </si>
  <si>
    <t>BAR, 0.25 x 4 x 5.5</t>
  </si>
  <si>
    <t>Bronze, 3 x 3 Pad</t>
  </si>
  <si>
    <t>Bronze, 3 x 3 Keeper</t>
  </si>
  <si>
    <t>Slide Pad Thk@Header Support Layout</t>
  </si>
  <si>
    <t>Header Slide Pads Thickness FRONT</t>
  </si>
  <si>
    <t>Header Slide Pads Thickness REAR</t>
  </si>
  <si>
    <t>Slide Pad Thk Rear@Header Support Layout</t>
  </si>
  <si>
    <t>Slide Pad Thk@Header Support Layout Top</t>
  </si>
  <si>
    <t>Slide Pad Thk Rear@Header Support Layout Top</t>
  </si>
  <si>
    <r>
      <t xml:space="preserve">Header </t>
    </r>
    <r>
      <rPr>
        <b/>
        <sz val="11"/>
        <color theme="1"/>
        <rFont val="Calibri"/>
        <family val="2"/>
        <scheme val="minor"/>
      </rPr>
      <t>TOP</t>
    </r>
    <r>
      <rPr>
        <sz val="11"/>
        <color theme="1"/>
        <rFont val="Calibri"/>
        <family val="2"/>
        <scheme val="minor"/>
      </rPr>
      <t xml:space="preserve"> Slide Pad Thickness  FRONT</t>
    </r>
  </si>
  <si>
    <r>
      <t xml:space="preserve">Header </t>
    </r>
    <r>
      <rPr>
        <b/>
        <sz val="11"/>
        <color theme="1"/>
        <rFont val="Calibri"/>
        <family val="2"/>
        <scheme val="minor"/>
      </rPr>
      <t>TOP</t>
    </r>
    <r>
      <rPr>
        <sz val="11"/>
        <color theme="1"/>
        <rFont val="Calibri"/>
        <family val="2"/>
        <scheme val="minor"/>
      </rPr>
      <t xml:space="preserve"> Slide Pad Thickness  REAR</t>
    </r>
  </si>
  <si>
    <t>Clearance@Header Support Layout Top</t>
  </si>
  <si>
    <t>TOP Header Support Layout Clearance</t>
  </si>
  <si>
    <t>TOP Header Support Layout Clearance Rear</t>
  </si>
  <si>
    <t>Side Frame Slide Pad Thk</t>
  </si>
  <si>
    <t>Side Frame Slide Pad REAR Thk</t>
  </si>
  <si>
    <t>Customer
Lifting Lug On/Off</t>
  </si>
  <si>
    <t>Customer Lifting Lug
Bolt Holes
(Hammco - Bolt On)</t>
  </si>
  <si>
    <t>Customer Lifting Lug
(AXC - Weld On)</t>
  </si>
  <si>
    <t>Customer Lifting Lug Type</t>
  </si>
  <si>
    <t>Customer Lifting Lug Thickness</t>
  </si>
  <si>
    <t>Customer Lifting Lug Spacing</t>
  </si>
  <si>
    <t>Customer Lifting Lug total QTY</t>
  </si>
  <si>
    <t>Customer Lifting Lug Location
(from end)</t>
  </si>
  <si>
    <t>Customer Lifting Lug Offset
(from side)</t>
  </si>
  <si>
    <t>$STATE@Shop Lifting Lug Option</t>
  </si>
  <si>
    <t>$STATE@Shop Lifting Lug Holes</t>
  </si>
  <si>
    <t>$STATE@Heavy Hex Nut_AI</t>
  </si>
  <si>
    <t>Shop Lifting Lug Folder</t>
  </si>
  <si>
    <t>Shop Lifting Lug Hole</t>
  </si>
  <si>
    <t>Shop Lifting Lug Heavy Hex Nut</t>
  </si>
  <si>
    <t>Shop Lifting lug</t>
  </si>
  <si>
    <t>$STATE@Shop Lifting Lug Nut Pattern</t>
  </si>
  <si>
    <r>
      <rPr>
        <b/>
        <sz val="11"/>
        <color theme="1"/>
        <rFont val="Calibri"/>
        <family val="2"/>
        <scheme val="minor"/>
      </rPr>
      <t>Shop</t>
    </r>
    <r>
      <rPr>
        <sz val="11"/>
        <color theme="1"/>
        <rFont val="Calibri"/>
        <family val="2"/>
        <scheme val="minor"/>
      </rPr>
      <t xml:space="preserve"> Lifting Lug 
Hole &amp; Nut On/Off
Status</t>
    </r>
  </si>
  <si>
    <t>Shop Lifting Lug Nut Pattern</t>
  </si>
  <si>
    <t>$STATE@Shop Lifting Lug Nut Remove Extra</t>
  </si>
  <si>
    <t>Shop Lifting Lug Nut Remove Extra</t>
  </si>
  <si>
    <t>Rear Guide Bars On / Off</t>
  </si>
  <si>
    <t>Front Guide Bars On / Off</t>
  </si>
  <si>
    <t>ON = 
AXC, Broke SF, &amp; valid Weight</t>
  </si>
  <si>
    <t>Chamfer to make Side A unique from Side B</t>
  </si>
  <si>
    <t>Chamfer to make Side B unique from Side A</t>
  </si>
  <si>
    <t>$STATE@Header Support Top Channel Side A Rear</t>
  </si>
  <si>
    <t>$STATE@Header Support Top Channel Side A Front</t>
  </si>
  <si>
    <t>$STATE@Header Support Top Channel Side B</t>
  </si>
  <si>
    <t>Chamfer to make Rear Side A unique from Side B</t>
  </si>
  <si>
    <t>Chamfer to make Front Side A unique from Side B</t>
  </si>
  <si>
    <t>$STATE@Header Support Top Angle Side A</t>
  </si>
  <si>
    <t>$STATE@Header Support Top Angle Side B</t>
  </si>
  <si>
    <t>No</t>
  </si>
  <si>
    <t>Restore above formula to get pannels to cover 2 BTS</t>
  </si>
  <si>
    <t>Restore "Other half of panel Length" to be in the TRUE possition for Panels to cover 2 BTS  (just invert both columns)</t>
  </si>
  <si>
    <t>$STATE@Air Seal Bracket Front Holes Mid Plane</t>
  </si>
  <si>
    <t>$STATE@Air Seal Bracket Rear Holes Mid Plane</t>
  </si>
  <si>
    <t>$STATE@Air Seal Bracket Top Front Holes Mid Plane</t>
  </si>
  <si>
    <t>$STATE@Air Seal Bracket Top Rear Holes Mid Plane</t>
  </si>
  <si>
    <t>Length@Air Seal Bracket Front Holes Sketch</t>
  </si>
  <si>
    <t>Length@Air Seal Bracket Rear Holes Sketch</t>
  </si>
  <si>
    <t>Length@Air Seal Bracket Top Front Holes Sketch</t>
  </si>
  <si>
    <t>Length@Air Seal Bracket Top Rear Holes Sketch</t>
  </si>
  <si>
    <t>Tube Length (in)</t>
  </si>
  <si>
    <t>Tube Length (ft)</t>
  </si>
  <si>
    <t>Lifting lug Spacing</t>
  </si>
  <si>
    <t>First BTS Location</t>
  </si>
  <si>
    <t>BTS_LL_Hammco_Table</t>
  </si>
  <si>
    <t>&lt;- Ref Job 18-174</t>
  </si>
  <si>
    <t>&lt;- Ref Job 18-123</t>
  </si>
  <si>
    <t>&lt;- Ref Job 18-171</t>
  </si>
  <si>
    <t xml:space="preserve">Highlighted items were not in the original chart provded by Chris Knight </t>
  </si>
  <si>
    <t>(same as previous 0.625 table)</t>
  </si>
  <si>
    <t>( can also be used on EH/VV/VI Units Non API Units)</t>
  </si>
  <si>
    <t>BTS_Loc\Qty_EH\VV\VI_0.625_Table</t>
  </si>
  <si>
    <t>BTS_Loc\Qty_EH\VV\VI_0.75_Table</t>
  </si>
  <si>
    <t>BTS_Loc\Qty_Horizontal_0.625_Table</t>
  </si>
  <si>
    <t>BTS_Loc\Qty_Horizontal_0.75_Table</t>
  </si>
  <si>
    <t>BTS_Loc\Qty_Horizontal_1_Table</t>
  </si>
  <si>
    <t>BTS_Loc\Qty_Horizontal_1.25_Table</t>
  </si>
  <si>
    <t>BTS_Loc\Qty_Horizontal_1.5_Table</t>
  </si>
  <si>
    <t>BTS_Loc\Qty_Horiz\TEMA\API_0.625_Table</t>
  </si>
  <si>
    <t>Length FT</t>
  </si>
  <si>
    <t>Tube Length Inches</t>
  </si>
  <si>
    <t>Spacing</t>
  </si>
  <si>
    <t>QTY of Bands</t>
  </si>
  <si>
    <t xml:space="preserve"> </t>
  </si>
  <si>
    <t>Unit Type</t>
  </si>
  <si>
    <t>EH\VV\VI_</t>
  </si>
  <si>
    <t>Remove Top Header supports
from Default config</t>
  </si>
  <si>
    <t>L4x6x0.625</t>
  </si>
  <si>
    <t>Just permanatly suppressing
instead of deleting (for now)
if it is not needed after awhile
these can be deleted</t>
  </si>
  <si>
    <t>$STATE@BTS Channel Ghost</t>
  </si>
  <si>
    <t>BTS Channel Ghost On/Off?</t>
  </si>
  <si>
    <t>$STATE@BTS Bolt on Plate Ghost</t>
  </si>
  <si>
    <t>BTS Bolt on Plate Ghost</t>
  </si>
  <si>
    <t>$STATE@BTS Rod Ghost</t>
  </si>
  <si>
    <t>BTS Rod Ghost On/Off?</t>
  </si>
  <si>
    <t>BTS S Section Ghost On/Off?</t>
  </si>
  <si>
    <t>BTS W Section Ghost On/Off?</t>
  </si>
  <si>
    <t>$STATE@BTS Angle Ghost</t>
  </si>
  <si>
    <t>BTS Angle Ghost On/Off?</t>
  </si>
  <si>
    <t>$STATE@BTS S Section Ghost</t>
  </si>
  <si>
    <t>$STATE@BTS W Section Ghost</t>
  </si>
  <si>
    <t>$STATE@Header Support Top Angle Ghost</t>
  </si>
  <si>
    <t>$STATE@Header Support Top Channel Ghost</t>
  </si>
  <si>
    <t/>
  </si>
  <si>
    <t>BTS_Loc\Qty_Horiz\TEMA\API_0.75_Table</t>
  </si>
  <si>
    <t>BTS_Loc\Qty_Horiz\TEMA\API_1_Table</t>
  </si>
  <si>
    <t>BTS_Loc\Qty_Horiz\TEMA\API_1.25_Table</t>
  </si>
  <si>
    <t>BTS_Loc\Qty_Horiz\TEMA\API_1.5_Table</t>
  </si>
  <si>
    <t>Clearance Rear@Header Support Layout Top</t>
  </si>
  <si>
    <t>Customer Lifting Lug?</t>
  </si>
  <si>
    <t>Lifting Lug Holes On/Off? (Hammco)
Bolt On</t>
  </si>
  <si>
    <t>Lifting Lug Holes On/Off? (Hammco) 
Bolt On</t>
  </si>
  <si>
    <t>Lifting Lug On/Off
Weld On</t>
  </si>
  <si>
    <t>$STATE@SectionLiftingLugs WeldOn AXC</t>
  </si>
  <si>
    <t>$STATE@Section Lifting Lugs BoltOn Holes (Hammco)</t>
  </si>
  <si>
    <t>$STATE@Section Lifting Lugs WeldOn (Hammco)</t>
  </si>
  <si>
    <t>HAC Weld On</t>
  </si>
  <si>
    <t>$STATE@LiftingLug BoltOn Import HAC</t>
  </si>
  <si>
    <t>QTY@LiftingLug BoltOn Holes Pattern HAC</t>
  </si>
  <si>
    <t>$STATE@Move to Inside SF Web Option</t>
  </si>
  <si>
    <t>Lifting Lug On/Off? (Hammco)
Weld On</t>
  </si>
  <si>
    <t>Move WeldOn Lifting Lug to Inside of SF Web</t>
  </si>
  <si>
    <t>Customer Lifting Lug Location
on SideFrame</t>
  </si>
  <si>
    <t>LL Type@Layout Sketch</t>
  </si>
  <si>
    <t>Lifting Lug Type</t>
  </si>
  <si>
    <t>LL_Type_Ref_Table</t>
  </si>
  <si>
    <t>LL Ref No.</t>
  </si>
  <si>
    <t>AXC Weld On</t>
  </si>
  <si>
    <t>HAC Bolt On</t>
  </si>
  <si>
    <t>Lifting Lug Type Ref No.</t>
  </si>
  <si>
    <t>Outside</t>
  </si>
  <si>
    <t>$STATE@000000_S03-Lifting Lug</t>
  </si>
  <si>
    <t>$STATE@BTS Channel Bracket (Bolt on) Option</t>
  </si>
  <si>
    <t>$STATE@BTS Channel Bracket (Bolt on)</t>
  </si>
  <si>
    <t>$STATE@BTS Channel Bracket Trim (Bolt on)</t>
  </si>
  <si>
    <t>$STATE@BTS Channel Bracket Holes (Bolt on)</t>
  </si>
  <si>
    <t>$STATE@BTS Channel Bracket Mirror (Bolt on)</t>
  </si>
  <si>
    <t>$STATE@BTS Channel Bracket Pattern (Bolt on)</t>
  </si>
  <si>
    <t>Bottom Tube Support L Angle 
Bolt on Bracket Option</t>
  </si>
  <si>
    <t>$STATE@BTS Angle Bracket (Bolt on) Option</t>
  </si>
  <si>
    <t>$STATE@BTS Angle Bracket (Bolt on)</t>
  </si>
  <si>
    <t>$STATE@BTS Angle Extra Trim (Bolt on)</t>
  </si>
  <si>
    <t>$STATE@BTS Angle Bracket Trim (Bolt on)</t>
  </si>
  <si>
    <t>$STATE@BTS Angle Bracket Holes (Bolt on)</t>
  </si>
  <si>
    <t>$STATE@BTS Angle Bracket Mirror (Bolt on)</t>
  </si>
  <si>
    <t>$STATE@BTS Angle Bracket Pattern (Bolt on)</t>
  </si>
  <si>
    <t>$State@BTS Trim to Plate Sketch</t>
  </si>
  <si>
    <t>0.4375  if Painted or 0.5 if galvanized…  but currently it Is 0.625</t>
  </si>
  <si>
    <t>$STATE@TSS Move to BTS Channel Bracket Bolt on Option</t>
  </si>
  <si>
    <t>TSS Frame Move
to above BTS Angle Bracket</t>
  </si>
  <si>
    <t>$STATE@TSS Move to BTS Angle Bracket Bolt on Option</t>
  </si>
  <si>
    <t>U</t>
  </si>
  <si>
    <t>D3@BTS Channel Bracket Holes (Bolt on) Sketch</t>
  </si>
  <si>
    <t>Dia@BTS Channel Bracket Holes (Bolt on) Sketch</t>
  </si>
  <si>
    <t>Bolt on Plate State AGAIN to workaround issue where it changes state when BTS type changes</t>
  </si>
  <si>
    <t>D3@BTS Angle Bracket Holes (Bolt on) Sketch</t>
  </si>
  <si>
    <t>Dia@BTS Angle Bracket Holes (Bolt on) Sketch</t>
  </si>
  <si>
    <r>
      <rPr>
        <b/>
        <sz val="11"/>
        <color theme="1"/>
        <rFont val="Calibri"/>
        <family val="2"/>
        <scheme val="minor"/>
      </rPr>
      <t>Holes Location</t>
    </r>
    <r>
      <rPr>
        <sz val="11"/>
        <color theme="1"/>
        <rFont val="Calibri"/>
        <family val="2"/>
        <scheme val="minor"/>
      </rPr>
      <t xml:space="preserve">
BTS Channel Bolt on Bracket</t>
    </r>
  </si>
  <si>
    <r>
      <rPr>
        <b/>
        <sz val="11"/>
        <color theme="1"/>
        <rFont val="Calibri"/>
        <family val="2"/>
        <scheme val="minor"/>
      </rPr>
      <t>Holes Location</t>
    </r>
    <r>
      <rPr>
        <sz val="11"/>
        <color theme="1"/>
        <rFont val="Calibri"/>
        <family val="2"/>
        <scheme val="minor"/>
      </rPr>
      <t xml:space="preserve">
BTS Angle Bolt on Bracket</t>
    </r>
  </si>
  <si>
    <r>
      <rPr>
        <b/>
        <sz val="11"/>
        <color theme="1"/>
        <rFont val="Calibri"/>
        <family val="2"/>
        <scheme val="minor"/>
      </rPr>
      <t>Hole Dia</t>
    </r>
    <r>
      <rPr>
        <sz val="11"/>
        <color theme="1"/>
        <rFont val="Calibri"/>
        <family val="2"/>
        <scheme val="minor"/>
      </rPr>
      <t xml:space="preserve">
BTS Angle Bolt on Bracket</t>
    </r>
  </si>
  <si>
    <r>
      <rPr>
        <b/>
        <sz val="11"/>
        <color theme="1"/>
        <rFont val="Calibri"/>
        <family val="2"/>
        <scheme val="minor"/>
      </rPr>
      <t xml:space="preserve">Hole Dia
</t>
    </r>
    <r>
      <rPr>
        <sz val="11"/>
        <color theme="1"/>
        <rFont val="Calibri"/>
        <family val="2"/>
        <scheme val="minor"/>
      </rPr>
      <t>BTS Channel Bolt on Bracket</t>
    </r>
  </si>
  <si>
    <t>$Prp@Coating</t>
  </si>
  <si>
    <t>Coating</t>
  </si>
  <si>
    <t>Galvanized</t>
  </si>
  <si>
    <t>Structure Thru Holes On/Off?</t>
  </si>
  <si>
    <t>Structure Tapped Holes On/Off?</t>
  </si>
  <si>
    <t>$STATE@5/8 (0.625) Diameter Hole1</t>
  </si>
  <si>
    <t>Structure Tapped Holes Pattern On/Off?</t>
  </si>
  <si>
    <t>$STATE@1/2-13 Tapped Hole6</t>
  </si>
  <si>
    <t>SideFrame size driven by header table</t>
  </si>
  <si>
    <t>Design Table for: 000000_S03-SFR</t>
  </si>
  <si>
    <t>$LIBRARY:MATERIAL@000000_S03-SFR</t>
  </si>
  <si>
    <t>$STATE@Structure Holes Layout Sketch</t>
  </si>
  <si>
    <t>Layout Sketch</t>
  </si>
  <si>
    <t>$STATE@Structure Tap Holes Pattern</t>
  </si>
  <si>
    <t>$STATE@Geom Pattern Workaround1</t>
  </si>
  <si>
    <t>$STATE@Geom Pattern Workaround2</t>
  </si>
  <si>
    <t>Geomtry Pattern Workaround 1 of 2</t>
  </si>
  <si>
    <t>Geomtry Pattern Workaround 2 of 2</t>
  </si>
  <si>
    <t>$STATE@Structure Thru Holes Pattern</t>
  </si>
  <si>
    <t>Structure Through Holes Pattern On/Off?</t>
  </si>
  <si>
    <t>$configuration@SectionLiftingLug</t>
  </si>
  <si>
    <t>$STATE@SectionLiftingLug</t>
  </si>
  <si>
    <t>$STATE@TTS Hole Pattern</t>
  </si>
  <si>
    <t>???</t>
  </si>
  <si>
    <t>$STATE@TTS Pattern</t>
  </si>
  <si>
    <t>TTS Pattern</t>
  </si>
  <si>
    <t>Spacing@TTS Pattern</t>
  </si>
  <si>
    <t>TTS Pattern Spacing</t>
  </si>
  <si>
    <t>$STATE@000000_S03-Filler</t>
  </si>
  <si>
    <t>$STATE@000000_S03-Filler2</t>
  </si>
  <si>
    <t>Air Filler (Front)</t>
  </si>
  <si>
    <t>Air Filler (Rear)</t>
  </si>
  <si>
    <t>TTS Pattern QTY</t>
  </si>
  <si>
    <t>QTY@TTS Pattern</t>
  </si>
  <si>
    <t>N</t>
  </si>
  <si>
    <t>$STATE@Equal Length65@TSS Frame Layout Sketch (Left Side)</t>
  </si>
  <si>
    <t>TSS shape for Actual Pitch</t>
  </si>
  <si>
    <t>$STATE@Equal Length69@TSS Frame Layout Sketch (Left Side)</t>
  </si>
  <si>
    <r>
      <rPr>
        <b/>
        <sz val="11"/>
        <color theme="1"/>
        <rFont val="Calibri"/>
        <family val="2"/>
        <scheme val="minor"/>
      </rPr>
      <t>TSS Shape / Dimensions</t>
    </r>
    <r>
      <rPr>
        <sz val="11"/>
        <color theme="1"/>
        <rFont val="Calibri"/>
        <family val="2"/>
        <scheme val="minor"/>
      </rPr>
      <t xml:space="preserve">
to match STD or Actual Tube Pitch</t>
    </r>
  </si>
  <si>
    <r>
      <rPr>
        <b/>
        <sz val="11"/>
        <color theme="1"/>
        <rFont val="Calibri"/>
        <family val="2"/>
        <scheme val="minor"/>
      </rPr>
      <t>TSS Adjustment</t>
    </r>
    <r>
      <rPr>
        <sz val="11"/>
        <color theme="1"/>
        <rFont val="Calibri"/>
        <family val="2"/>
        <scheme val="minor"/>
      </rPr>
      <t xml:space="preserve">
</t>
    </r>
    <r>
      <rPr>
        <sz val="10"/>
        <color theme="1"/>
        <rFont val="Calibri"/>
        <family val="2"/>
        <scheme val="minor"/>
      </rPr>
      <t>(# of tubes)</t>
    </r>
  </si>
  <si>
    <r>
      <rPr>
        <b/>
        <sz val="11"/>
        <color theme="1"/>
        <rFont val="Calibri"/>
        <family val="2"/>
        <scheme val="minor"/>
      </rPr>
      <t>TSS Adjustment {SS}</t>
    </r>
    <r>
      <rPr>
        <sz val="11"/>
        <color theme="1"/>
        <rFont val="Calibri"/>
        <family val="2"/>
        <scheme val="minor"/>
      </rPr>
      <t xml:space="preserve">
</t>
    </r>
    <r>
      <rPr>
        <sz val="10"/>
        <color theme="1"/>
        <rFont val="Calibri"/>
        <family val="2"/>
        <scheme val="minor"/>
      </rPr>
      <t>(# of tubes)</t>
    </r>
  </si>
  <si>
    <t>TSS shape for Standard (STD) Pitch</t>
  </si>
  <si>
    <t>STD</t>
  </si>
  <si>
    <t>&lt;- Started using this size in Oct of 2022</t>
  </si>
  <si>
    <t>HDR_Support_Type_Table</t>
  </si>
  <si>
    <t>HDR_Support_Type_List</t>
  </si>
  <si>
    <t>Support Bar Code</t>
  </si>
  <si>
    <t>Name</t>
  </si>
  <si>
    <t>Float Bar</t>
  </si>
  <si>
    <t>Float Bar with SF Support Beam</t>
  </si>
  <si>
    <t>Weld Bar</t>
  </si>
  <si>
    <t>Weld Bar with SF Support Beam</t>
  </si>
  <si>
    <t>Yes - Front HDR</t>
  </si>
  <si>
    <t>Ref Dim</t>
  </si>
  <si>
    <t>Offset_Center_BTS_Table</t>
  </si>
  <si>
    <t>Offset_Center_BTS_List</t>
  </si>
  <si>
    <t>BTS Move toward: Front = 1, Rear = 2, none=0
Ref dim</t>
  </si>
  <si>
    <t>BTS Move Amount
Ref dim</t>
  </si>
  <si>
    <t>BTSOffset@ Tube Slope and BTS</t>
  </si>
  <si>
    <t>BTSOffset Front or Rear@ Tube Slope and BTS</t>
  </si>
  <si>
    <t>Hammco</t>
  </si>
  <si>
    <t>Values for Hammco:</t>
  </si>
  <si>
    <t>AXC</t>
  </si>
  <si>
    <t>Layout sketch Section Number</t>
  </si>
  <si>
    <t>$PRP@TYPE</t>
  </si>
  <si>
    <t>Type</t>
  </si>
  <si>
    <t>Used On</t>
  </si>
  <si>
    <t>$PRP@USED ON</t>
  </si>
  <si>
    <t>is Section Weight
under 28,000 lbs?</t>
  </si>
  <si>
    <t>$STATE@Guide Bar Mirror Front</t>
  </si>
  <si>
    <t>$STATE@Guide Bar Front</t>
  </si>
  <si>
    <t>$STATE@Guide Bar Mirror Rear</t>
  </si>
  <si>
    <t>$STATE@Guide Bar Rear</t>
  </si>
  <si>
    <t>Front Guide Bar Mirror On / Off</t>
  </si>
  <si>
    <t>Rear Guide Bar Mirror On / Off</t>
  </si>
  <si>
    <t>Delete this Later</t>
  </si>
  <si>
    <t>Tube Spacer Strips
in Side Frame?</t>
  </si>
  <si>
    <t>Tube Spacer Strip Ref Dim
( in Side Frame)</t>
  </si>
  <si>
    <t>TSS in SF@Layout Sketch</t>
  </si>
  <si>
    <t>Locking Tab@Layout Sketch</t>
  </si>
  <si>
    <t>Locking Tab Ref</t>
  </si>
  <si>
    <t>Locking Tab?</t>
  </si>
  <si>
    <t>$STATE@Locking Tab Holes</t>
  </si>
  <si>
    <r>
      <rPr>
        <b/>
        <sz val="11"/>
        <color theme="1"/>
        <rFont val="Calibri"/>
        <family val="2"/>
        <scheme val="minor"/>
      </rPr>
      <t xml:space="preserve">Shop 
</t>
    </r>
    <r>
      <rPr>
        <sz val="11"/>
        <color theme="1"/>
        <rFont val="Calibri"/>
        <family val="2"/>
        <scheme val="minor"/>
      </rPr>
      <t>Lifting Lug On / Off
(max weight 28,000lbs)</t>
    </r>
  </si>
  <si>
    <t>Leave as "No" as we are no longer using the Shop Lifting Lug</t>
  </si>
  <si>
    <t>$STATE@Parallel38@TTS Pattern Sketch</t>
  </si>
  <si>
    <t>TTS Pattern Sketch Vector
Angled = Hammco</t>
  </si>
  <si>
    <t>$STATE@Parallel36@TTS Pattern Sketch</t>
  </si>
  <si>
    <t>TTS Pattern Sketch vector
Horizontal &lt;&gt; Hammco</t>
  </si>
  <si>
    <t>$STATE@TSS Frame Trim</t>
  </si>
  <si>
    <t>$STATE@TSS Backer Bar (Right Side)</t>
  </si>
  <si>
    <t>$STATE@TSS Backer Bar Pattern</t>
  </si>
  <si>
    <t>n</t>
  </si>
  <si>
    <t>Backer Bar?</t>
  </si>
  <si>
    <t>$VALUE@QTY of Tube Supports2@Equations</t>
  </si>
  <si>
    <t>$VALUE@QTY of Tube Supports@Equations</t>
  </si>
  <si>
    <t>$VALUE@Wiggle Strip Thickness@Equations</t>
  </si>
  <si>
    <t>$VALUE@K dim@Equations</t>
  </si>
  <si>
    <t>$VALUE@Spacing@Equations</t>
  </si>
  <si>
    <t>workaround to 2025
 design table bug
 - delete me later?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</si>
</sst>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000"/>
  </numFmts>
  <fonts count="21" x14ac:knownFonts="1">
    <font>
      <sz val="11"/>
      <color theme="1"/>
      <name val="Calibri"/>
      <family val="2"/>
      <scheme val="minor"/>
    </font>
    <font>
      <b/>
      <sz val="14"/>
      <color theme="1"/>
      <name val="Calibri"/>
      <family val="2"/>
      <scheme val="minor"/>
    </font>
    <font>
      <b/>
      <sz val="11"/>
      <color theme="1"/>
      <name val="Calibri"/>
      <family val="2"/>
      <scheme val="minor"/>
    </font>
    <font>
      <sz val="8"/>
      <color theme="1"/>
      <name val="Calibri"/>
      <family val="2"/>
      <scheme val="minor"/>
    </font>
    <font>
      <b/>
      <sz val="9"/>
      <color indexed="81"/>
      <name val="Tahoma"/>
      <family val="2"/>
    </font>
    <font>
      <sz val="9"/>
      <color theme="1"/>
      <name val="Calibri"/>
      <family val="2"/>
      <scheme val="minor"/>
    </font>
    <font>
      <sz val="10"/>
      <name val="MS Sans Serif"/>
      <family val="2"/>
    </font>
    <font>
      <sz val="10"/>
      <color theme="1"/>
      <name val="Calibri"/>
      <family val="2"/>
      <scheme val="minor"/>
    </font>
    <font>
      <i/>
      <sz val="10"/>
      <color theme="0" tint="-0.34998626667073579"/>
      <name val="Calibri"/>
      <family val="2"/>
      <scheme val="minor"/>
    </font>
    <font>
      <sz val="11"/>
      <color theme="1"/>
      <name val="Calibri"/>
      <family val="2"/>
      <scheme val="minor"/>
    </font>
    <font>
      <sz val="11"/>
      <name val="Calibri"/>
      <family val="2"/>
      <scheme val="minor"/>
    </font>
    <font>
      <sz val="11"/>
      <name val="Times New Roman"/>
      <family val="1"/>
    </font>
    <font>
      <sz val="12.3"/>
      <name val="Calibri"/>
      <family val="2"/>
    </font>
    <font>
      <sz val="12.3"/>
      <name val="Times New Roman"/>
      <family val="1"/>
    </font>
    <font>
      <sz val="11"/>
      <color theme="0" tint="-0.499984740745262"/>
      <name val="Calibri"/>
      <family val="2"/>
      <scheme val="minor"/>
    </font>
    <font>
      <sz val="10"/>
      <color theme="0"/>
      <name val="MS Sans Serif"/>
      <family val="2"/>
    </font>
    <font>
      <b/>
      <sz val="10"/>
      <name val="MS Sans Serif"/>
    </font>
    <font>
      <sz val="11"/>
      <color theme="0" tint="-0.34998626667073579"/>
      <name val="Calibri"/>
      <family val="2"/>
      <scheme val="minor"/>
    </font>
    <font>
      <i/>
      <sz val="11"/>
      <color theme="1"/>
      <name val="Calibri"/>
      <family val="2"/>
      <scheme val="minor"/>
    </font>
    <font>
      <strike/>
      <sz val="11"/>
      <color theme="1"/>
      <name val="Calibri"/>
      <family val="2"/>
      <scheme val="minor"/>
    </font>
    <font>
      <sz val="8"/>
      <name val="Calibri"/>
      <family val="2"/>
      <scheme val="minor"/>
    </font>
  </fonts>
  <fills count="15">
    <fill>
      <patternFill patternType="none"/>
    </fill>
    <fill>
      <patternFill patternType="gray125"/>
    </fill>
    <fill>
      <patternFill patternType="solid">
        <fgColor theme="0" tint="-0.249977111117893"/>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theme="0"/>
        <bgColor indexed="64"/>
      </patternFill>
    </fill>
    <fill>
      <patternFill patternType="solid">
        <fgColor rgb="FFFFFF00"/>
        <bgColor indexed="64"/>
      </patternFill>
    </fill>
    <fill>
      <patternFill patternType="solid">
        <fgColor theme="4" tint="0.39997558519241921"/>
        <bgColor indexed="64"/>
      </patternFill>
    </fill>
    <fill>
      <patternFill patternType="solid">
        <fgColor rgb="FFFFC000"/>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9" tint="0.39997558519241921"/>
        <bgColor indexed="64"/>
      </patternFill>
    </fill>
  </fills>
  <borders count="91">
    <border>
      <left/>
      <right/>
      <top/>
      <bottom/>
      <diagonal/>
    </border>
    <border>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medium">
        <color indexed="64"/>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top/>
      <bottom/>
      <diagonal/>
    </border>
    <border>
      <left style="thick">
        <color indexed="64"/>
      </left>
      <right/>
      <top/>
      <bottom style="thin">
        <color indexed="64"/>
      </bottom>
      <diagonal/>
    </border>
    <border>
      <left style="thin">
        <color indexed="64"/>
      </left>
      <right style="thick">
        <color indexed="64"/>
      </right>
      <top/>
      <bottom style="thin">
        <color indexed="64"/>
      </bottom>
      <diagonal/>
    </border>
    <border>
      <left/>
      <right style="thick">
        <color indexed="64"/>
      </right>
      <top/>
      <bottom/>
      <diagonal/>
    </border>
    <border>
      <left/>
      <right style="thick">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ck">
        <color indexed="64"/>
      </right>
      <top style="thin">
        <color indexed="64"/>
      </top>
      <bottom/>
      <diagonal/>
    </border>
    <border>
      <left/>
      <right style="thin">
        <color indexed="64"/>
      </right>
      <top style="thin">
        <color indexed="64"/>
      </top>
      <bottom/>
      <diagonal/>
    </border>
    <border>
      <left/>
      <right style="thick">
        <color indexed="64"/>
      </right>
      <top style="thin">
        <color indexed="64"/>
      </top>
      <bottom/>
      <diagonal/>
    </border>
    <border>
      <left style="thick">
        <color indexed="64"/>
      </left>
      <right/>
      <top style="thin">
        <color indexed="64"/>
      </top>
      <bottom/>
      <diagonal/>
    </border>
    <border>
      <left style="thick">
        <color indexed="64"/>
      </left>
      <right style="thin">
        <color indexed="64"/>
      </right>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medium">
        <color indexed="64"/>
      </left>
      <right/>
      <top style="thin">
        <color indexed="64"/>
      </top>
      <bottom/>
      <diagonal/>
    </border>
    <border>
      <left/>
      <right style="medium">
        <color indexed="64"/>
      </right>
      <top style="thin">
        <color indexed="64"/>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bottom/>
      <diagonal/>
    </border>
    <border>
      <left style="thick">
        <color indexed="64"/>
      </left>
      <right style="thick">
        <color indexed="64"/>
      </right>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ck">
        <color indexed="64"/>
      </bottom>
      <diagonal/>
    </border>
    <border>
      <left style="dashed">
        <color indexed="64"/>
      </left>
      <right/>
      <top style="thin">
        <color indexed="64"/>
      </top>
      <bottom style="thin">
        <color indexed="64"/>
      </bottom>
      <diagonal/>
    </border>
    <border>
      <left style="dashed">
        <color indexed="64"/>
      </left>
      <right/>
      <top/>
      <bottom style="thin">
        <color indexed="64"/>
      </bottom>
      <diagonal/>
    </border>
    <border>
      <left style="dashed">
        <color indexed="64"/>
      </left>
      <right/>
      <top/>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ck">
        <color indexed="64"/>
      </left>
      <right/>
      <top style="thick">
        <color indexed="64"/>
      </top>
      <bottom style="thin">
        <color indexed="64"/>
      </bottom>
      <diagonal/>
    </border>
    <border>
      <left style="thin">
        <color indexed="64"/>
      </left>
      <right/>
      <top style="thick">
        <color indexed="64"/>
      </top>
      <bottom style="thin">
        <color indexed="64"/>
      </bottom>
      <diagonal/>
    </border>
    <border>
      <left style="thick">
        <color indexed="64"/>
      </left>
      <right/>
      <top style="thin">
        <color indexed="64"/>
      </top>
      <bottom style="thick">
        <color indexed="64"/>
      </bottom>
      <diagonal/>
    </border>
    <border>
      <left style="thin">
        <color indexed="64"/>
      </left>
      <right/>
      <top style="thin">
        <color indexed="64"/>
      </top>
      <bottom style="thick">
        <color indexed="64"/>
      </bottom>
      <diagonal/>
    </border>
    <border>
      <left/>
      <right style="mediumDashed">
        <color indexed="64"/>
      </right>
      <top style="thin">
        <color indexed="64"/>
      </top>
      <bottom style="thin">
        <color indexed="64"/>
      </bottom>
      <diagonal/>
    </border>
    <border>
      <left style="mediumDashed">
        <color indexed="64"/>
      </left>
      <right/>
      <top style="thin">
        <color indexed="64"/>
      </top>
      <bottom style="thin">
        <color indexed="64"/>
      </bottom>
      <diagonal/>
    </border>
    <border>
      <left/>
      <right style="mediumDashed">
        <color indexed="64"/>
      </right>
      <top/>
      <bottom/>
      <diagonal/>
    </border>
    <border>
      <left style="mediumDashed">
        <color indexed="64"/>
      </left>
      <right/>
      <top/>
      <bottom/>
      <diagonal/>
    </border>
    <border>
      <left/>
      <right style="mediumDashed">
        <color indexed="64"/>
      </right>
      <top/>
      <bottom style="thin">
        <color indexed="64"/>
      </bottom>
      <diagonal/>
    </border>
    <border>
      <left style="mediumDashed">
        <color indexed="64"/>
      </left>
      <right/>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3">
    <xf numFmtId="0" fontId="0" fillId="0" borderId="0"/>
    <xf numFmtId="0" fontId="6" fillId="0" borderId="0"/>
    <xf numFmtId="43" fontId="9" fillId="0" borderId="0" applyFont="0" applyFill="0" applyBorder="0" applyAlignment="0" applyProtection="0"/>
  </cellStyleXfs>
  <cellXfs count="414">
    <xf numFmtId="0" fontId="0" fillId="0" borderId="0" xfId="0"/>
    <xf numFmtId="49" fontId="0" fillId="0" borderId="0" xfId="0" applyNumberFormat="1" applyAlignment="1">
      <alignment horizontal="center" textRotation="90"/>
    </xf>
    <xf numFmtId="0" fontId="0" fillId="0" borderId="0" xfId="0" applyAlignment="1">
      <alignment horizontal="center" textRotation="90"/>
    </xf>
    <xf numFmtId="0" fontId="0" fillId="0" borderId="0" xfId="0" applyAlignment="1">
      <alignment horizontal="center"/>
    </xf>
    <xf numFmtId="49" fontId="0" fillId="0" borderId="1" xfId="0" applyNumberFormat="1" applyBorder="1" applyAlignment="1">
      <alignment horizontal="center" textRotation="90"/>
    </xf>
    <xf numFmtId="49" fontId="0" fillId="0" borderId="0" xfId="0" applyNumberFormat="1" applyAlignment="1">
      <alignment textRotation="90"/>
    </xf>
    <xf numFmtId="0" fontId="0" fillId="0" borderId="0" xfId="0" applyAlignment="1">
      <alignment textRotation="90"/>
    </xf>
    <xf numFmtId="0" fontId="0" fillId="4" borderId="0" xfId="0" applyFill="1" applyAlignment="1">
      <alignment horizontal="center" textRotation="90"/>
    </xf>
    <xf numFmtId="49" fontId="0" fillId="0" borderId="2" xfId="0" applyNumberFormat="1" applyBorder="1" applyAlignment="1">
      <alignment horizontal="center" textRotation="90"/>
    </xf>
    <xf numFmtId="0" fontId="0" fillId="0" borderId="2" xfId="0" applyBorder="1" applyAlignment="1">
      <alignment horizontal="center" textRotation="90"/>
    </xf>
    <xf numFmtId="0" fontId="0" fillId="0" borderId="6" xfId="0" quotePrefix="1" applyBorder="1"/>
    <xf numFmtId="0" fontId="6" fillId="0" borderId="6" xfId="1" quotePrefix="1" applyBorder="1"/>
    <xf numFmtId="0" fontId="0" fillId="0" borderId="6" xfId="0" applyBorder="1"/>
    <xf numFmtId="0" fontId="0" fillId="0" borderId="5" xfId="0" applyBorder="1" applyAlignment="1">
      <alignment horizontal="center" vertical="center"/>
    </xf>
    <xf numFmtId="49" fontId="0" fillId="0" borderId="5" xfId="0" applyNumberFormat="1" applyBorder="1" applyAlignment="1">
      <alignment horizontal="center" vertical="center"/>
    </xf>
    <xf numFmtId="49" fontId="0" fillId="0" borderId="5" xfId="0" applyNumberFormat="1" applyBorder="1" applyAlignment="1">
      <alignment horizontal="center" textRotation="90"/>
    </xf>
    <xf numFmtId="0" fontId="0" fillId="0" borderId="5" xfId="0" applyBorder="1" applyAlignment="1">
      <alignment horizontal="center" textRotation="90"/>
    </xf>
    <xf numFmtId="49" fontId="0" fillId="0" borderId="3" xfId="0" applyNumberFormat="1" applyBorder="1" applyAlignment="1">
      <alignment horizontal="center" textRotation="90"/>
    </xf>
    <xf numFmtId="0" fontId="0" fillId="0" borderId="5" xfId="0" applyBorder="1" applyAlignment="1">
      <alignment textRotation="90"/>
    </xf>
    <xf numFmtId="49" fontId="0" fillId="0" borderId="4" xfId="0" applyNumberFormat="1" applyBorder="1" applyAlignment="1">
      <alignment horizontal="center" textRotation="90"/>
    </xf>
    <xf numFmtId="49" fontId="3" fillId="0" borderId="5" xfId="0" applyNumberFormat="1" applyFont="1" applyBorder="1" applyAlignment="1">
      <alignment horizontal="center" textRotation="90"/>
    </xf>
    <xf numFmtId="0" fontId="0" fillId="0" borderId="5" xfId="0" applyBorder="1" applyAlignment="1">
      <alignment horizontal="center"/>
    </xf>
    <xf numFmtId="49" fontId="0" fillId="0" borderId="5" xfId="0" applyNumberFormat="1" applyBorder="1" applyAlignment="1">
      <alignment horizontal="center" textRotation="90" wrapText="1"/>
    </xf>
    <xf numFmtId="0" fontId="0" fillId="2" borderId="0" xfId="0" applyFill="1" applyAlignment="1">
      <alignment horizontal="center" textRotation="90"/>
    </xf>
    <xf numFmtId="0" fontId="0" fillId="7" borderId="0" xfId="0" applyFill="1" applyAlignment="1">
      <alignment horizontal="center" textRotation="90"/>
    </xf>
    <xf numFmtId="49" fontId="2" fillId="0" borderId="5" xfId="0" applyNumberFormat="1" applyFont="1" applyBorder="1" applyAlignment="1">
      <alignment horizontal="center" textRotation="90"/>
    </xf>
    <xf numFmtId="0" fontId="6" fillId="0" borderId="0" xfId="1"/>
    <xf numFmtId="49" fontId="0" fillId="0" borderId="7" xfId="0" applyNumberFormat="1" applyBorder="1" applyAlignment="1">
      <alignment horizontal="center" textRotation="90"/>
    </xf>
    <xf numFmtId="0" fontId="0" fillId="7" borderId="10" xfId="0" applyFill="1" applyBorder="1" applyAlignment="1">
      <alignment horizontal="center" textRotation="90"/>
    </xf>
    <xf numFmtId="0" fontId="0" fillId="8" borderId="6" xfId="0" applyFill="1" applyBorder="1"/>
    <xf numFmtId="49" fontId="0" fillId="8" borderId="0" xfId="0" applyNumberFormat="1" applyFill="1" applyAlignment="1">
      <alignment horizontal="left"/>
    </xf>
    <xf numFmtId="0" fontId="1" fillId="8" borderId="0" xfId="0" applyFont="1" applyFill="1"/>
    <xf numFmtId="0" fontId="0" fillId="8" borderId="0" xfId="0" applyFill="1"/>
    <xf numFmtId="0" fontId="0" fillId="8" borderId="2" xfId="0" applyFill="1" applyBorder="1"/>
    <xf numFmtId="49" fontId="0" fillId="8" borderId="0" xfId="0" applyNumberFormat="1" applyFill="1"/>
    <xf numFmtId="43" fontId="10" fillId="8" borderId="3" xfId="2" quotePrefix="1" applyFont="1" applyFill="1" applyBorder="1" applyAlignment="1">
      <alignment vertical="center" wrapText="1"/>
    </xf>
    <xf numFmtId="43" fontId="10" fillId="8" borderId="5" xfId="2" applyFont="1" applyFill="1" applyBorder="1" applyAlignment="1">
      <alignment vertical="center" wrapText="1"/>
    </xf>
    <xf numFmtId="49" fontId="0" fillId="8" borderId="6" xfId="0" applyNumberFormat="1" applyFill="1" applyBorder="1"/>
    <xf numFmtId="49" fontId="0" fillId="2" borderId="6" xfId="0" applyNumberFormat="1" applyFill="1" applyBorder="1" applyAlignment="1">
      <alignment horizontal="center"/>
    </xf>
    <xf numFmtId="0" fontId="0" fillId="0" borderId="6" xfId="0" applyBorder="1" applyAlignment="1">
      <alignment horizontal="center"/>
    </xf>
    <xf numFmtId="0" fontId="0" fillId="2" borderId="6" xfId="0" applyFill="1" applyBorder="1" applyAlignment="1">
      <alignment horizontal="center"/>
    </xf>
    <xf numFmtId="0" fontId="0" fillId="3" borderId="6" xfId="0" applyFill="1" applyBorder="1" applyAlignment="1">
      <alignment horizontal="center"/>
    </xf>
    <xf numFmtId="0" fontId="0" fillId="5" borderId="6" xfId="0" applyFill="1" applyBorder="1" applyAlignment="1">
      <alignment horizontal="center"/>
    </xf>
    <xf numFmtId="0" fontId="0" fillId="2" borderId="8" xfId="0" applyFill="1" applyBorder="1" applyAlignment="1">
      <alignment horizontal="center"/>
    </xf>
    <xf numFmtId="0" fontId="0" fillId="2" borderId="9" xfId="0" applyFill="1" applyBorder="1" applyAlignment="1">
      <alignment horizontal="center"/>
    </xf>
    <xf numFmtId="0" fontId="0" fillId="6" borderId="6" xfId="0" applyFill="1" applyBorder="1" applyAlignment="1">
      <alignment horizontal="center"/>
    </xf>
    <xf numFmtId="0" fontId="10" fillId="6" borderId="6" xfId="0" applyFont="1" applyFill="1" applyBorder="1" applyAlignment="1">
      <alignment horizontal="center"/>
    </xf>
    <xf numFmtId="0" fontId="10" fillId="2" borderId="6" xfId="0" applyFont="1" applyFill="1" applyBorder="1" applyAlignment="1">
      <alignment horizontal="center"/>
    </xf>
    <xf numFmtId="0" fontId="0" fillId="2" borderId="11" xfId="0" applyFill="1" applyBorder="1" applyAlignment="1">
      <alignment horizontal="center"/>
    </xf>
    <xf numFmtId="43" fontId="2" fillId="0" borderId="5" xfId="2" applyFont="1" applyBorder="1" applyAlignment="1">
      <alignment vertical="center"/>
    </xf>
    <xf numFmtId="49" fontId="0" fillId="0" borderId="12" xfId="0" applyNumberFormat="1" applyBorder="1" applyAlignment="1">
      <alignment horizontal="center" textRotation="90"/>
    </xf>
    <xf numFmtId="0" fontId="0" fillId="0" borderId="13" xfId="0" applyBorder="1" applyAlignment="1">
      <alignment horizontal="center" textRotation="90"/>
    </xf>
    <xf numFmtId="0" fontId="0" fillId="0" borderId="12" xfId="0" applyBorder="1" applyAlignment="1">
      <alignment horizontal="center" textRotation="90"/>
    </xf>
    <xf numFmtId="49" fontId="0" fillId="0" borderId="16" xfId="0" applyNumberFormat="1" applyBorder="1" applyAlignment="1">
      <alignment horizontal="center" textRotation="90"/>
    </xf>
    <xf numFmtId="49" fontId="0" fillId="0" borderId="15" xfId="0" applyNumberFormat="1" applyBorder="1" applyAlignment="1">
      <alignment horizontal="left"/>
    </xf>
    <xf numFmtId="0" fontId="0" fillId="0" borderId="17" xfId="0" applyBorder="1" applyAlignment="1">
      <alignment horizontal="center"/>
    </xf>
    <xf numFmtId="0" fontId="0" fillId="0" borderId="18" xfId="0" applyBorder="1" applyAlignment="1">
      <alignment horizontal="center"/>
    </xf>
    <xf numFmtId="0" fontId="0" fillId="0" borderId="17" xfId="0" applyBorder="1" applyAlignment="1">
      <alignment horizontal="center" textRotation="90"/>
    </xf>
    <xf numFmtId="0" fontId="0" fillId="0" borderId="6" xfId="0" applyBorder="1" applyAlignment="1">
      <alignment horizontal="center" textRotation="90"/>
    </xf>
    <xf numFmtId="0" fontId="0" fillId="0" borderId="18" xfId="0" applyBorder="1" applyAlignment="1">
      <alignment horizontal="center" textRotation="90"/>
    </xf>
    <xf numFmtId="49" fontId="0" fillId="0" borderId="18" xfId="0" applyNumberFormat="1" applyBorder="1" applyAlignment="1">
      <alignment horizontal="center" textRotation="90"/>
    </xf>
    <xf numFmtId="0" fontId="0" fillId="0" borderId="6" xfId="0" applyBorder="1" applyAlignment="1">
      <alignment horizontal="center" textRotation="90" wrapText="1"/>
    </xf>
    <xf numFmtId="49" fontId="1" fillId="8" borderId="0" xfId="0" applyNumberFormat="1" applyFont="1" applyFill="1" applyAlignment="1">
      <alignment horizontal="center"/>
    </xf>
    <xf numFmtId="49" fontId="0" fillId="0" borderId="6" xfId="0" applyNumberFormat="1" applyBorder="1" applyAlignment="1">
      <alignment horizontal="center" textRotation="90"/>
    </xf>
    <xf numFmtId="49" fontId="0" fillId="0" borderId="17" xfId="0" applyNumberFormat="1" applyBorder="1" applyAlignment="1">
      <alignment horizontal="center"/>
    </xf>
    <xf numFmtId="0" fontId="14" fillId="0" borderId="17" xfId="0" applyFont="1" applyBorder="1" applyAlignment="1">
      <alignment horizontal="center"/>
    </xf>
    <xf numFmtId="0" fontId="14" fillId="0" borderId="18" xfId="0" applyFont="1" applyBorder="1" applyAlignment="1">
      <alignment horizontal="center"/>
    </xf>
    <xf numFmtId="0" fontId="6" fillId="0" borderId="0" xfId="1" applyAlignment="1">
      <alignment horizontal="center" vertical="center"/>
    </xf>
    <xf numFmtId="0" fontId="0" fillId="10" borderId="6" xfId="0" applyFill="1" applyBorder="1" applyAlignment="1">
      <alignment horizontal="center"/>
    </xf>
    <xf numFmtId="49" fontId="0" fillId="0" borderId="23" xfId="0" applyNumberFormat="1" applyBorder="1" applyAlignment="1">
      <alignment horizontal="center" textRotation="90"/>
    </xf>
    <xf numFmtId="0" fontId="0" fillId="0" borderId="25" xfId="0" applyBorder="1" applyAlignment="1">
      <alignment horizontal="center" textRotation="90"/>
    </xf>
    <xf numFmtId="0" fontId="0" fillId="2" borderId="26" xfId="0" applyFill="1" applyBorder="1" applyAlignment="1">
      <alignment horizontal="center"/>
    </xf>
    <xf numFmtId="0" fontId="0" fillId="0" borderId="28" xfId="0" applyBorder="1" applyAlignment="1">
      <alignment horizontal="center" textRotation="90"/>
    </xf>
    <xf numFmtId="0" fontId="0" fillId="2" borderId="29" xfId="0" applyFill="1" applyBorder="1" applyAlignment="1">
      <alignment horizontal="center"/>
    </xf>
    <xf numFmtId="49" fontId="0" fillId="0" borderId="24" xfId="0" applyNumberFormat="1" applyBorder="1" applyAlignment="1">
      <alignment horizontal="center" textRotation="90"/>
    </xf>
    <xf numFmtId="49" fontId="0" fillId="0" borderId="25" xfId="0" applyNumberFormat="1" applyBorder="1" applyAlignment="1">
      <alignment horizontal="center" textRotation="90"/>
    </xf>
    <xf numFmtId="0" fontId="0" fillId="0" borderId="23" xfId="0" applyBorder="1" applyAlignment="1">
      <alignment horizontal="center" textRotation="90"/>
    </xf>
    <xf numFmtId="49" fontId="0" fillId="0" borderId="28" xfId="0" applyNumberFormat="1" applyBorder="1" applyAlignment="1">
      <alignment horizontal="center" textRotation="90"/>
    </xf>
    <xf numFmtId="0" fontId="0" fillId="6" borderId="26" xfId="0" applyFill="1" applyBorder="1" applyAlignment="1">
      <alignment horizontal="center"/>
    </xf>
    <xf numFmtId="0" fontId="0" fillId="6" borderId="29" xfId="0" applyFill="1" applyBorder="1" applyAlignment="1">
      <alignment horizontal="center"/>
    </xf>
    <xf numFmtId="43" fontId="2" fillId="0" borderId="5" xfId="2" quotePrefix="1" applyFont="1" applyBorder="1" applyAlignment="1">
      <alignment vertical="center"/>
    </xf>
    <xf numFmtId="0" fontId="0" fillId="3" borderId="26" xfId="0" applyFill="1" applyBorder="1" applyAlignment="1">
      <alignment horizontal="center"/>
    </xf>
    <xf numFmtId="0" fontId="0" fillId="0" borderId="24" xfId="0" applyBorder="1" applyAlignment="1">
      <alignment horizontal="center" textRotation="90"/>
    </xf>
    <xf numFmtId="0" fontId="0" fillId="0" borderId="24" xfId="0" applyBorder="1" applyAlignment="1">
      <alignment textRotation="90"/>
    </xf>
    <xf numFmtId="49" fontId="3" fillId="0" borderId="24" xfId="0" applyNumberFormat="1" applyFont="1" applyBorder="1" applyAlignment="1">
      <alignment horizontal="center" textRotation="90"/>
    </xf>
    <xf numFmtId="49" fontId="0" fillId="0" borderId="26" xfId="0" applyNumberFormat="1" applyBorder="1" applyAlignment="1">
      <alignment horizontal="center" textRotation="90"/>
    </xf>
    <xf numFmtId="0" fontId="0" fillId="0" borderId="29" xfId="0" applyBorder="1" applyAlignment="1">
      <alignment horizontal="center" textRotation="90"/>
    </xf>
    <xf numFmtId="0" fontId="0" fillId="0" borderId="24" xfId="0" applyBorder="1" applyAlignment="1">
      <alignment horizontal="center"/>
    </xf>
    <xf numFmtId="49" fontId="0" fillId="0" borderId="29" xfId="0" applyNumberFormat="1" applyBorder="1" applyAlignment="1">
      <alignment horizontal="center" textRotation="90"/>
    </xf>
    <xf numFmtId="0" fontId="0" fillId="0" borderId="7" xfId="0" applyBorder="1" applyAlignment="1">
      <alignment horizontal="center"/>
    </xf>
    <xf numFmtId="0" fontId="0" fillId="0" borderId="7" xfId="0" applyBorder="1"/>
    <xf numFmtId="0" fontId="0" fillId="0" borderId="30" xfId="0" applyBorder="1" applyAlignment="1">
      <alignment horizontal="center"/>
    </xf>
    <xf numFmtId="0" fontId="0" fillId="0" borderId="31" xfId="0" applyBorder="1"/>
    <xf numFmtId="0" fontId="0" fillId="0" borderId="32" xfId="0" applyBorder="1" applyAlignment="1">
      <alignment horizontal="center"/>
    </xf>
    <xf numFmtId="0" fontId="0" fillId="0" borderId="33" xfId="0" applyBorder="1" applyAlignment="1">
      <alignment horizontal="center"/>
    </xf>
    <xf numFmtId="0" fontId="0" fillId="0" borderId="34" xfId="0" applyBorder="1"/>
    <xf numFmtId="0" fontId="0" fillId="0" borderId="35" xfId="0" applyBorder="1"/>
    <xf numFmtId="0" fontId="0" fillId="0" borderId="35" xfId="0" applyBorder="1" applyAlignment="1">
      <alignment horizontal="center"/>
    </xf>
    <xf numFmtId="0" fontId="0" fillId="0" borderId="17" xfId="0" applyBorder="1" applyAlignment="1">
      <alignment horizontal="center" textRotation="90" wrapText="1"/>
    </xf>
    <xf numFmtId="0" fontId="0" fillId="0" borderId="36" xfId="0" applyBorder="1" applyAlignment="1">
      <alignment horizontal="center"/>
    </xf>
    <xf numFmtId="0" fontId="0" fillId="0" borderId="37" xfId="0" applyBorder="1" applyAlignment="1">
      <alignment horizontal="center"/>
    </xf>
    <xf numFmtId="0" fontId="0" fillId="0" borderId="38" xfId="0" applyBorder="1"/>
    <xf numFmtId="49" fontId="0" fillId="0" borderId="23" xfId="0" applyNumberFormat="1" applyBorder="1" applyAlignment="1">
      <alignment horizontal="center" textRotation="90" wrapText="1"/>
    </xf>
    <xf numFmtId="49" fontId="0" fillId="9" borderId="5" xfId="0" applyNumberFormat="1" applyFill="1" applyBorder="1" applyAlignment="1">
      <alignment horizontal="center" textRotation="90"/>
    </xf>
    <xf numFmtId="0" fontId="0" fillId="0" borderId="1" xfId="0" applyBorder="1" applyAlignment="1">
      <alignment horizontal="center" textRotation="90"/>
    </xf>
    <xf numFmtId="0" fontId="0" fillId="2" borderId="43" xfId="0" applyFill="1" applyBorder="1" applyAlignment="1">
      <alignment horizontal="center"/>
    </xf>
    <xf numFmtId="0" fontId="0" fillId="0" borderId="44" xfId="0" applyBorder="1" applyAlignment="1">
      <alignment horizontal="center" textRotation="90"/>
    </xf>
    <xf numFmtId="0" fontId="0" fillId="0" borderId="44" xfId="0" applyBorder="1" applyAlignment="1">
      <alignment horizontal="center" textRotation="90" wrapText="1"/>
    </xf>
    <xf numFmtId="0" fontId="15" fillId="8" borderId="0" xfId="1" applyFont="1" applyFill="1"/>
    <xf numFmtId="0" fontId="10" fillId="0" borderId="17" xfId="0" applyFont="1" applyBorder="1" applyAlignment="1">
      <alignment horizontal="center"/>
    </xf>
    <xf numFmtId="0" fontId="0" fillId="6" borderId="8" xfId="0" applyFill="1" applyBorder="1" applyAlignment="1">
      <alignment horizontal="center"/>
    </xf>
    <xf numFmtId="49" fontId="0" fillId="0" borderId="22" xfId="0" applyNumberFormat="1" applyBorder="1" applyAlignment="1">
      <alignment horizontal="center" textRotation="90"/>
    </xf>
    <xf numFmtId="0" fontId="0" fillId="0" borderId="22" xfId="0" applyBorder="1" applyAlignment="1">
      <alignment horizontal="center" textRotation="90"/>
    </xf>
    <xf numFmtId="49" fontId="0" fillId="0" borderId="41" xfId="0" applyNumberFormat="1" applyBorder="1" applyAlignment="1">
      <alignment horizontal="center" textRotation="90"/>
    </xf>
    <xf numFmtId="0" fontId="14" fillId="0" borderId="6" xfId="0" applyFont="1" applyBorder="1" applyAlignment="1">
      <alignment horizontal="center"/>
    </xf>
    <xf numFmtId="49" fontId="0" fillId="0" borderId="24" xfId="0" applyNumberFormat="1" applyBorder="1" applyAlignment="1">
      <alignment horizontal="center" textRotation="90" wrapText="1"/>
    </xf>
    <xf numFmtId="49" fontId="3" fillId="0" borderId="5" xfId="0" applyNumberFormat="1" applyFont="1" applyBorder="1" applyAlignment="1">
      <alignment horizontal="center" textRotation="90" wrapText="1"/>
    </xf>
    <xf numFmtId="49" fontId="0" fillId="6" borderId="0" xfId="0" applyNumberFormat="1" applyFill="1" applyAlignment="1">
      <alignment horizontal="center"/>
    </xf>
    <xf numFmtId="0" fontId="16" fillId="0" borderId="0" xfId="1" applyFont="1" applyAlignment="1">
      <alignment horizontal="center" vertical="center"/>
    </xf>
    <xf numFmtId="0" fontId="16" fillId="0" borderId="0" xfId="1" applyFont="1"/>
    <xf numFmtId="49" fontId="6" fillId="0" borderId="0" xfId="1" applyNumberFormat="1"/>
    <xf numFmtId="0" fontId="0" fillId="6" borderId="0" xfId="0" applyFill="1" applyAlignment="1">
      <alignment horizontal="center"/>
    </xf>
    <xf numFmtId="0" fontId="0" fillId="7" borderId="0" xfId="0" applyFill="1" applyAlignment="1">
      <alignment horizontal="center"/>
    </xf>
    <xf numFmtId="49" fontId="17" fillId="0" borderId="0" xfId="0" applyNumberFormat="1" applyFont="1" applyAlignment="1">
      <alignment horizontal="left"/>
    </xf>
    <xf numFmtId="0" fontId="0" fillId="0" borderId="45" xfId="0" applyBorder="1"/>
    <xf numFmtId="0" fontId="0" fillId="0" borderId="46" xfId="0" applyBorder="1" applyAlignment="1">
      <alignment horizontal="center"/>
    </xf>
    <xf numFmtId="0" fontId="0" fillId="0" borderId="47" xfId="0" applyBorder="1" applyAlignment="1">
      <alignment horizontal="center"/>
    </xf>
    <xf numFmtId="0" fontId="0" fillId="0" borderId="12" xfId="0" applyBorder="1"/>
    <xf numFmtId="0" fontId="0" fillId="0" borderId="13" xfId="0" applyBorder="1" applyAlignment="1">
      <alignment horizontal="center"/>
    </xf>
    <xf numFmtId="0" fontId="0" fillId="0" borderId="48" xfId="0" applyBorder="1"/>
    <xf numFmtId="0" fontId="0" fillId="0" borderId="49" xfId="0" applyBorder="1"/>
    <xf numFmtId="0" fontId="0" fillId="0" borderId="46" xfId="0" applyBorder="1"/>
    <xf numFmtId="0" fontId="0" fillId="0" borderId="47" xfId="0" applyBorder="1"/>
    <xf numFmtId="0" fontId="0" fillId="0" borderId="13" xfId="0" applyBorder="1"/>
    <xf numFmtId="0" fontId="0" fillId="0" borderId="46" xfId="0" quotePrefix="1" applyBorder="1"/>
    <xf numFmtId="0" fontId="0" fillId="4" borderId="46" xfId="0" applyFill="1" applyBorder="1"/>
    <xf numFmtId="0" fontId="0" fillId="4" borderId="46" xfId="0" applyFill="1" applyBorder="1" applyAlignment="1">
      <alignment horizontal="center"/>
    </xf>
    <xf numFmtId="164" fontId="0" fillId="4" borderId="46" xfId="0" applyNumberFormat="1" applyFill="1" applyBorder="1"/>
    <xf numFmtId="0" fontId="0" fillId="0" borderId="0" xfId="0" quotePrefix="1"/>
    <xf numFmtId="0" fontId="0" fillId="4" borderId="0" xfId="0" applyFill="1"/>
    <xf numFmtId="0" fontId="0" fillId="4" borderId="0" xfId="0" applyFill="1" applyAlignment="1">
      <alignment horizontal="center"/>
    </xf>
    <xf numFmtId="164" fontId="0" fillId="4" borderId="0" xfId="0" applyNumberFormat="1" applyFill="1"/>
    <xf numFmtId="0" fontId="0" fillId="0" borderId="45" xfId="0" quotePrefix="1" applyBorder="1"/>
    <xf numFmtId="0" fontId="0" fillId="0" borderId="12" xfId="0" quotePrefix="1" applyBorder="1"/>
    <xf numFmtId="0" fontId="6" fillId="0" borderId="0" xfId="1" quotePrefix="1"/>
    <xf numFmtId="0" fontId="0" fillId="0" borderId="50" xfId="0" applyBorder="1"/>
    <xf numFmtId="0" fontId="0" fillId="0" borderId="51" xfId="0" quotePrefix="1" applyBorder="1"/>
    <xf numFmtId="0" fontId="6" fillId="0" borderId="51" xfId="1" quotePrefix="1" applyBorder="1"/>
    <xf numFmtId="0" fontId="0" fillId="0" borderId="51" xfId="0" applyBorder="1"/>
    <xf numFmtId="0" fontId="0" fillId="0" borderId="52" xfId="0" applyBorder="1"/>
    <xf numFmtId="0" fontId="0" fillId="0" borderId="25" xfId="0" applyBorder="1"/>
    <xf numFmtId="0" fontId="0" fillId="0" borderId="28" xfId="0" applyBorder="1"/>
    <xf numFmtId="0" fontId="0" fillId="0" borderId="26" xfId="0" applyBorder="1"/>
    <xf numFmtId="0" fontId="0" fillId="0" borderId="53" xfId="0" applyBorder="1"/>
    <xf numFmtId="0" fontId="0" fillId="0" borderId="54" xfId="0" applyBorder="1"/>
    <xf numFmtId="0" fontId="0" fillId="0" borderId="55" xfId="0" applyBorder="1"/>
    <xf numFmtId="0" fontId="0" fillId="7" borderId="0" xfId="0" applyFill="1"/>
    <xf numFmtId="0" fontId="0" fillId="9" borderId="51" xfId="0" applyFill="1" applyBorder="1"/>
    <xf numFmtId="0" fontId="0" fillId="0" borderId="51" xfId="0" applyBorder="1" applyAlignment="1">
      <alignment horizontal="center"/>
    </xf>
    <xf numFmtId="0" fontId="0" fillId="9" borderId="0" xfId="0" applyFill="1"/>
    <xf numFmtId="0" fontId="0" fillId="2" borderId="0" xfId="0" applyFill="1" applyAlignment="1">
      <alignment horizontal="center"/>
    </xf>
    <xf numFmtId="0" fontId="0" fillId="2" borderId="28" xfId="0" applyFill="1" applyBorder="1"/>
    <xf numFmtId="0" fontId="0" fillId="0" borderId="5" xfId="0" applyBorder="1" applyAlignment="1">
      <alignment horizontal="center" textRotation="90" wrapText="1"/>
    </xf>
    <xf numFmtId="0" fontId="0" fillId="0" borderId="0" xfId="0" applyAlignment="1">
      <alignment horizontal="center" vertical="center" wrapText="1"/>
    </xf>
    <xf numFmtId="49" fontId="0" fillId="6" borderId="12" xfId="0" applyNumberFormat="1" applyFill="1" applyBorder="1" applyAlignment="1">
      <alignment horizontal="center"/>
    </xf>
    <xf numFmtId="0" fontId="0" fillId="10" borderId="26" xfId="0" applyFill="1" applyBorder="1" applyAlignment="1">
      <alignment horizontal="center"/>
    </xf>
    <xf numFmtId="0" fontId="6" fillId="0" borderId="0" xfId="1" applyAlignment="1">
      <alignment horizontal="center"/>
    </xf>
    <xf numFmtId="0" fontId="0" fillId="0" borderId="57" xfId="0" applyBorder="1" applyAlignment="1">
      <alignment horizontal="center" textRotation="90"/>
    </xf>
    <xf numFmtId="0" fontId="6" fillId="0" borderId="0" xfId="1" applyAlignment="1">
      <alignment wrapText="1"/>
    </xf>
    <xf numFmtId="49" fontId="0" fillId="6" borderId="56" xfId="0" applyNumberFormat="1" applyFill="1" applyBorder="1" applyAlignment="1">
      <alignment horizontal="center"/>
    </xf>
    <xf numFmtId="49" fontId="0" fillId="6" borderId="22" xfId="0" applyNumberFormat="1" applyFill="1" applyBorder="1" applyAlignment="1">
      <alignment horizontal="center"/>
    </xf>
    <xf numFmtId="0" fontId="0" fillId="0" borderId="8" xfId="0" applyBorder="1" applyAlignment="1">
      <alignment horizontal="center" textRotation="90"/>
    </xf>
    <xf numFmtId="0" fontId="0" fillId="0" borderId="8" xfId="0" applyBorder="1" applyAlignment="1">
      <alignment horizontal="center"/>
    </xf>
    <xf numFmtId="0" fontId="0" fillId="0" borderId="9" xfId="0" applyBorder="1" applyAlignment="1">
      <alignment horizontal="center"/>
    </xf>
    <xf numFmtId="0" fontId="0" fillId="0" borderId="40" xfId="0" applyBorder="1" applyAlignment="1">
      <alignment horizontal="center" textRotation="90"/>
    </xf>
    <xf numFmtId="0" fontId="0" fillId="7" borderId="0" xfId="0" applyFill="1" applyAlignment="1">
      <alignment horizontal="center" vertical="top"/>
    </xf>
    <xf numFmtId="0" fontId="0" fillId="0" borderId="0" xfId="0" applyAlignment="1">
      <alignment horizontal="center" vertical="top" wrapText="1"/>
    </xf>
    <xf numFmtId="0" fontId="0" fillId="0" borderId="10" xfId="0" applyBorder="1" applyAlignment="1">
      <alignment horizontal="center" textRotation="90"/>
    </xf>
    <xf numFmtId="49" fontId="0" fillId="0" borderId="60" xfId="0" applyNumberFormat="1" applyBorder="1" applyAlignment="1">
      <alignment horizontal="center" vertical="center"/>
    </xf>
    <xf numFmtId="49" fontId="0" fillId="0" borderId="60" xfId="0" applyNumberFormat="1" applyBorder="1" applyAlignment="1">
      <alignment horizontal="center" textRotation="90" wrapText="1"/>
    </xf>
    <xf numFmtId="0" fontId="0" fillId="0" borderId="61" xfId="0" applyBorder="1" applyAlignment="1">
      <alignment horizontal="center" textRotation="90"/>
    </xf>
    <xf numFmtId="0" fontId="0" fillId="2" borderId="62" xfId="0" applyFill="1" applyBorder="1" applyAlignment="1">
      <alignment horizontal="center"/>
    </xf>
    <xf numFmtId="0" fontId="0" fillId="0" borderId="61" xfId="0" applyBorder="1" applyAlignment="1">
      <alignment horizontal="center"/>
    </xf>
    <xf numFmtId="49" fontId="0" fillId="6" borderId="61" xfId="0" applyNumberFormat="1" applyFill="1" applyBorder="1" applyAlignment="1">
      <alignment horizontal="center"/>
    </xf>
    <xf numFmtId="49" fontId="0" fillId="0" borderId="0" xfId="0" applyNumberFormat="1"/>
    <xf numFmtId="0" fontId="0" fillId="0" borderId="0" xfId="0" applyAlignment="1">
      <alignment wrapText="1"/>
    </xf>
    <xf numFmtId="0" fontId="14" fillId="0" borderId="17" xfId="0" applyFont="1" applyBorder="1" applyAlignment="1">
      <alignment horizontal="center" vertical="top"/>
    </xf>
    <xf numFmtId="0" fontId="14" fillId="0" borderId="6" xfId="0" applyFont="1" applyBorder="1" applyAlignment="1">
      <alignment horizontal="center" vertical="top"/>
    </xf>
    <xf numFmtId="49" fontId="0" fillId="6" borderId="6" xfId="0" applyNumberFormat="1" applyFill="1" applyBorder="1" applyAlignment="1">
      <alignment horizontal="center"/>
    </xf>
    <xf numFmtId="49" fontId="0" fillId="6" borderId="17" xfId="0" applyNumberFormat="1" applyFill="1" applyBorder="1" applyAlignment="1">
      <alignment horizontal="center"/>
    </xf>
    <xf numFmtId="0" fontId="0" fillId="0" borderId="62" xfId="0" applyBorder="1" applyAlignment="1">
      <alignment horizontal="center"/>
    </xf>
    <xf numFmtId="49" fontId="0" fillId="0" borderId="8" xfId="0" applyNumberFormat="1" applyBorder="1" applyAlignment="1">
      <alignment horizontal="center" textRotation="90"/>
    </xf>
    <xf numFmtId="0" fontId="0" fillId="2" borderId="5" xfId="0" applyFill="1" applyBorder="1" applyAlignment="1">
      <alignment horizontal="center"/>
    </xf>
    <xf numFmtId="0" fontId="0" fillId="0" borderId="0" xfId="0" applyAlignment="1">
      <alignment horizontal="right" vertical="center"/>
    </xf>
    <xf numFmtId="0" fontId="0" fillId="0" borderId="0" xfId="0" applyAlignment="1">
      <alignment horizontal="center" vertical="center"/>
    </xf>
    <xf numFmtId="0" fontId="0" fillId="0" borderId="63" xfId="0" applyBorder="1"/>
    <xf numFmtId="0" fontId="0" fillId="0" borderId="60" xfId="0" applyBorder="1"/>
    <xf numFmtId="0" fontId="0" fillId="0" borderId="64" xfId="0" applyBorder="1"/>
    <xf numFmtId="0" fontId="1" fillId="2" borderId="5" xfId="0" applyFont="1" applyFill="1" applyBorder="1" applyAlignment="1">
      <alignment horizontal="center"/>
    </xf>
    <xf numFmtId="49" fontId="0" fillId="6" borderId="67" xfId="0" applyNumberFormat="1" applyFill="1" applyBorder="1" applyAlignment="1">
      <alignment horizontal="center"/>
    </xf>
    <xf numFmtId="49" fontId="0" fillId="0" borderId="65" xfId="0" applyNumberFormat="1" applyBorder="1" applyAlignment="1">
      <alignment horizontal="center" textRotation="90" wrapText="1"/>
    </xf>
    <xf numFmtId="49" fontId="0" fillId="0" borderId="66" xfId="0" applyNumberFormat="1" applyBorder="1" applyAlignment="1">
      <alignment horizontal="center" textRotation="90"/>
    </xf>
    <xf numFmtId="0" fontId="0" fillId="2" borderId="65" xfId="0" applyFill="1" applyBorder="1" applyAlignment="1">
      <alignment horizontal="center"/>
    </xf>
    <xf numFmtId="49" fontId="0" fillId="6" borderId="66" xfId="0" applyNumberFormat="1" applyFill="1" applyBorder="1" applyAlignment="1">
      <alignment horizontal="center"/>
    </xf>
    <xf numFmtId="49" fontId="2" fillId="0" borderId="5" xfId="0" applyNumberFormat="1" applyFont="1" applyBorder="1" applyAlignment="1">
      <alignment horizontal="center" textRotation="90" wrapText="1"/>
    </xf>
    <xf numFmtId="0" fontId="16" fillId="0" borderId="0" xfId="1" applyFont="1" applyAlignment="1">
      <alignment horizontal="center" wrapText="1"/>
    </xf>
    <xf numFmtId="0" fontId="14" fillId="0" borderId="0" xfId="0" applyFont="1" applyAlignment="1">
      <alignment horizontal="center" vertical="top"/>
    </xf>
    <xf numFmtId="0" fontId="10" fillId="0" borderId="8" xfId="0" applyFont="1" applyBorder="1" applyAlignment="1">
      <alignment horizontal="center"/>
    </xf>
    <xf numFmtId="49" fontId="0" fillId="6" borderId="2" xfId="0" applyNumberFormat="1" applyFill="1" applyBorder="1" applyAlignment="1">
      <alignment horizontal="center"/>
    </xf>
    <xf numFmtId="49" fontId="0" fillId="6" borderId="8" xfId="0" applyNumberFormat="1" applyFill="1" applyBorder="1" applyAlignment="1">
      <alignment horizontal="center"/>
    </xf>
    <xf numFmtId="0" fontId="0" fillId="0" borderId="9" xfId="0" applyBorder="1" applyAlignment="1">
      <alignment horizontal="center" textRotation="90" wrapText="1"/>
    </xf>
    <xf numFmtId="0" fontId="10" fillId="0" borderId="6" xfId="0" applyFont="1" applyBorder="1" applyAlignment="1">
      <alignment horizontal="center"/>
    </xf>
    <xf numFmtId="0" fontId="2" fillId="2" borderId="6" xfId="0" applyFont="1" applyFill="1" applyBorder="1" applyAlignment="1">
      <alignment horizontal="center"/>
    </xf>
    <xf numFmtId="0" fontId="6" fillId="0" borderId="0" xfId="1" applyAlignment="1">
      <alignment horizontal="center" vertical="top" wrapText="1"/>
    </xf>
    <xf numFmtId="0" fontId="6" fillId="0" borderId="0" xfId="1" applyAlignment="1">
      <alignment horizontal="center" wrapText="1"/>
    </xf>
    <xf numFmtId="0" fontId="0" fillId="2" borderId="68" xfId="0" applyFill="1" applyBorder="1" applyAlignment="1">
      <alignment horizontal="center" vertical="center"/>
    </xf>
    <xf numFmtId="0" fontId="0" fillId="0" borderId="69" xfId="0" applyBorder="1" applyAlignment="1">
      <alignment horizontal="center" vertical="center"/>
    </xf>
    <xf numFmtId="0" fontId="0" fillId="0" borderId="69" xfId="0" quotePrefix="1" applyBorder="1" applyAlignment="1">
      <alignment horizontal="center" vertical="center"/>
    </xf>
    <xf numFmtId="0" fontId="0" fillId="2" borderId="69" xfId="0" applyFill="1" applyBorder="1" applyAlignment="1">
      <alignment horizontal="center" vertical="center"/>
    </xf>
    <xf numFmtId="0" fontId="0" fillId="0" borderId="70" xfId="0" applyBorder="1"/>
    <xf numFmtId="0" fontId="0" fillId="2" borderId="71" xfId="0" applyFill="1" applyBorder="1" applyAlignment="1">
      <alignment horizontal="center" vertical="center"/>
    </xf>
    <xf numFmtId="0" fontId="0" fillId="0" borderId="7" xfId="0" applyBorder="1" applyAlignment="1">
      <alignment horizontal="center" vertical="center"/>
    </xf>
    <xf numFmtId="0" fontId="0" fillId="0" borderId="7" xfId="0" quotePrefix="1" applyBorder="1" applyAlignment="1">
      <alignment horizontal="center" vertical="center"/>
    </xf>
    <xf numFmtId="0" fontId="0" fillId="2" borderId="7" xfId="0" applyFill="1" applyBorder="1" applyAlignment="1">
      <alignment horizontal="center" vertical="center"/>
    </xf>
    <xf numFmtId="0" fontId="0" fillId="0" borderId="72" xfId="0" applyBorder="1"/>
    <xf numFmtId="0" fontId="0" fillId="0" borderId="73" xfId="0" applyBorder="1"/>
    <xf numFmtId="0" fontId="0" fillId="0" borderId="74" xfId="0" applyBorder="1"/>
    <xf numFmtId="0" fontId="0" fillId="0" borderId="75" xfId="0" applyBorder="1"/>
    <xf numFmtId="0" fontId="0" fillId="9" borderId="7" xfId="0" applyFill="1" applyBorder="1" applyAlignment="1">
      <alignment horizontal="center" vertical="center"/>
    </xf>
    <xf numFmtId="0" fontId="0" fillId="9" borderId="72" xfId="0" applyFill="1" applyBorder="1"/>
    <xf numFmtId="0" fontId="18" fillId="0" borderId="0" xfId="0" applyFont="1"/>
    <xf numFmtId="0" fontId="2" fillId="0" borderId="0" xfId="0" applyFont="1"/>
    <xf numFmtId="0" fontId="0" fillId="13" borderId="3" xfId="0" applyFill="1" applyBorder="1" applyAlignment="1">
      <alignment horizontal="center"/>
    </xf>
    <xf numFmtId="0" fontId="0" fillId="13" borderId="68" xfId="0" applyFill="1" applyBorder="1" applyAlignment="1">
      <alignment horizontal="center"/>
    </xf>
    <xf numFmtId="0" fontId="0" fillId="13" borderId="69" xfId="0" applyFill="1" applyBorder="1"/>
    <xf numFmtId="0" fontId="0" fillId="13" borderId="70" xfId="0" applyFill="1" applyBorder="1"/>
    <xf numFmtId="0" fontId="0" fillId="13" borderId="4" xfId="0" applyFill="1" applyBorder="1"/>
    <xf numFmtId="0" fontId="0" fillId="6" borderId="3" xfId="0" applyFill="1" applyBorder="1" applyAlignment="1">
      <alignment horizontal="center"/>
    </xf>
    <xf numFmtId="0" fontId="0" fillId="6" borderId="68" xfId="0" applyFill="1" applyBorder="1" applyAlignment="1">
      <alignment horizontal="center"/>
    </xf>
    <xf numFmtId="0" fontId="0" fillId="6" borderId="69" xfId="0" applyFill="1" applyBorder="1"/>
    <xf numFmtId="0" fontId="0" fillId="6" borderId="70" xfId="0" applyFill="1" applyBorder="1"/>
    <xf numFmtId="0" fontId="0" fillId="6" borderId="4" xfId="0" applyFill="1" applyBorder="1"/>
    <xf numFmtId="0" fontId="0" fillId="13" borderId="3" xfId="0" applyFill="1" applyBorder="1"/>
    <xf numFmtId="0" fontId="0" fillId="0" borderId="3" xfId="0" applyBorder="1" applyAlignment="1">
      <alignment horizontal="center"/>
    </xf>
    <xf numFmtId="0" fontId="0" fillId="0" borderId="71" xfId="0" applyBorder="1" applyAlignment="1">
      <alignment horizontal="center"/>
    </xf>
    <xf numFmtId="0" fontId="0" fillId="0" borderId="4" xfId="0" applyBorder="1"/>
    <xf numFmtId="0" fontId="0" fillId="6" borderId="71" xfId="0" applyFill="1" applyBorder="1" applyAlignment="1">
      <alignment horizontal="center"/>
    </xf>
    <xf numFmtId="0" fontId="0" fillId="6" borderId="7" xfId="0" applyFill="1" applyBorder="1"/>
    <xf numFmtId="0" fontId="0" fillId="6" borderId="72" xfId="0" applyFill="1" applyBorder="1"/>
    <xf numFmtId="0" fontId="0" fillId="0" borderId="3" xfId="0" applyBorder="1"/>
    <xf numFmtId="0" fontId="0" fillId="3" borderId="3" xfId="0" applyFill="1" applyBorder="1" applyAlignment="1">
      <alignment horizontal="center"/>
    </xf>
    <xf numFmtId="0" fontId="0" fillId="3" borderId="71" xfId="0" applyFill="1" applyBorder="1" applyAlignment="1">
      <alignment horizontal="center"/>
    </xf>
    <xf numFmtId="0" fontId="0" fillId="3" borderId="7" xfId="0" applyFill="1" applyBorder="1"/>
    <xf numFmtId="0" fontId="0" fillId="3" borderId="72" xfId="0" applyFill="1" applyBorder="1"/>
    <xf numFmtId="0" fontId="0" fillId="3" borderId="4" xfId="0" applyFill="1" applyBorder="1"/>
    <xf numFmtId="0" fontId="0" fillId="3" borderId="3" xfId="0" applyFill="1" applyBorder="1"/>
    <xf numFmtId="0" fontId="0" fillId="13" borderId="71" xfId="0" applyFill="1" applyBorder="1" applyAlignment="1">
      <alignment horizontal="center"/>
    </xf>
    <xf numFmtId="0" fontId="0" fillId="13" borderId="7" xfId="0" applyFill="1" applyBorder="1"/>
    <xf numFmtId="0" fontId="0" fillId="13" borderId="72" xfId="0" applyFill="1" applyBorder="1"/>
    <xf numFmtId="0" fontId="0" fillId="13" borderId="73" xfId="0" applyFill="1" applyBorder="1" applyAlignment="1">
      <alignment horizontal="center"/>
    </xf>
    <xf numFmtId="0" fontId="0" fillId="13" borderId="74" xfId="0" applyFill="1" applyBorder="1"/>
    <xf numFmtId="0" fontId="0" fillId="13" borderId="75" xfId="0" applyFill="1" applyBorder="1"/>
    <xf numFmtId="0" fontId="0" fillId="6" borderId="73" xfId="0" applyFill="1" applyBorder="1" applyAlignment="1">
      <alignment horizontal="center"/>
    </xf>
    <xf numFmtId="0" fontId="0" fillId="6" borderId="74" xfId="0" applyFill="1" applyBorder="1"/>
    <xf numFmtId="0" fontId="0" fillId="6" borderId="75" xfId="0" applyFill="1" applyBorder="1"/>
    <xf numFmtId="49" fontId="0" fillId="0" borderId="0" xfId="0" applyNumberFormat="1" applyAlignment="1">
      <alignment horizontal="center"/>
    </xf>
    <xf numFmtId="49" fontId="0" fillId="0" borderId="6" xfId="0" applyNumberFormat="1" applyBorder="1" applyAlignment="1">
      <alignment horizontal="center"/>
    </xf>
    <xf numFmtId="49" fontId="19" fillId="0" borderId="5" xfId="0" applyNumberFormat="1" applyFont="1" applyBorder="1" applyAlignment="1">
      <alignment horizontal="center" textRotation="90"/>
    </xf>
    <xf numFmtId="0" fontId="19" fillId="0" borderId="0" xfId="0" applyFont="1" applyAlignment="1">
      <alignment horizontal="center" textRotation="90"/>
    </xf>
    <xf numFmtId="0" fontId="6" fillId="0" borderId="0" xfId="1" applyAlignment="1">
      <alignment horizontal="center" textRotation="90" wrapText="1"/>
    </xf>
    <xf numFmtId="49" fontId="17" fillId="0" borderId="6" xfId="0" applyNumberFormat="1" applyFont="1" applyBorder="1" applyAlignment="1">
      <alignment horizontal="left"/>
    </xf>
    <xf numFmtId="0" fontId="0" fillId="14" borderId="6" xfId="0" applyFill="1" applyBorder="1" applyAlignment="1">
      <alignment horizontal="center" textRotation="90"/>
    </xf>
    <xf numFmtId="0" fontId="0" fillId="14" borderId="0" xfId="0" applyFill="1" applyAlignment="1">
      <alignment horizontal="center" textRotation="90"/>
    </xf>
    <xf numFmtId="0" fontId="0" fillId="14" borderId="2" xfId="0" applyFill="1" applyBorder="1" applyAlignment="1">
      <alignment horizontal="center" textRotation="90"/>
    </xf>
    <xf numFmtId="49" fontId="0" fillId="14" borderId="0" xfId="0" applyNumberFormat="1" applyFill="1" applyAlignment="1">
      <alignment horizontal="center" textRotation="90"/>
    </xf>
    <xf numFmtId="49" fontId="0" fillId="11" borderId="23" xfId="0" applyNumberFormat="1" applyFill="1" applyBorder="1" applyAlignment="1">
      <alignment vertical="center"/>
    </xf>
    <xf numFmtId="49" fontId="0" fillId="11" borderId="5" xfId="0" applyNumberFormat="1" applyFill="1" applyBorder="1" applyAlignment="1">
      <alignment vertical="center"/>
    </xf>
    <xf numFmtId="49" fontId="0" fillId="11" borderId="24" xfId="0" applyNumberFormat="1" applyFill="1" applyBorder="1" applyAlignment="1">
      <alignment vertical="center"/>
    </xf>
    <xf numFmtId="0" fontId="17" fillId="0" borderId="0" xfId="0" applyFont="1" applyAlignment="1">
      <alignment horizontal="left"/>
    </xf>
    <xf numFmtId="49" fontId="10" fillId="0" borderId="0" xfId="0" applyNumberFormat="1" applyFont="1" applyAlignment="1">
      <alignment horizontal="left"/>
    </xf>
    <xf numFmtId="0" fontId="0" fillId="6" borderId="5" xfId="0" applyFill="1" applyBorder="1" applyAlignment="1">
      <alignment horizontal="center"/>
    </xf>
    <xf numFmtId="0" fontId="0" fillId="6" borderId="76" xfId="0" applyFill="1" applyBorder="1" applyAlignment="1">
      <alignment horizontal="center"/>
    </xf>
    <xf numFmtId="0" fontId="0" fillId="6" borderId="77" xfId="0" applyFill="1" applyBorder="1" applyAlignment="1">
      <alignment horizontal="center"/>
    </xf>
    <xf numFmtId="0" fontId="0" fillId="6" borderId="70" xfId="0" applyFill="1" applyBorder="1" applyAlignment="1">
      <alignment horizontal="center"/>
    </xf>
    <xf numFmtId="0" fontId="0" fillId="6" borderId="23" xfId="0" applyFill="1" applyBorder="1" applyAlignment="1">
      <alignment horizontal="center"/>
    </xf>
    <xf numFmtId="0" fontId="0" fillId="6" borderId="72" xfId="0" applyFill="1" applyBorder="1" applyAlignment="1">
      <alignment horizontal="center"/>
    </xf>
    <xf numFmtId="0" fontId="0" fillId="6" borderId="78" xfId="0" applyFill="1" applyBorder="1" applyAlignment="1">
      <alignment horizontal="center"/>
    </xf>
    <xf numFmtId="0" fontId="0" fillId="6" borderId="79" xfId="0" applyFill="1" applyBorder="1" applyAlignment="1">
      <alignment horizontal="center"/>
    </xf>
    <xf numFmtId="0" fontId="0" fillId="6" borderId="75" xfId="0" applyFill="1" applyBorder="1" applyAlignment="1">
      <alignment horizontal="center"/>
    </xf>
    <xf numFmtId="0" fontId="6" fillId="9" borderId="0" xfId="1" applyFill="1"/>
    <xf numFmtId="0" fontId="0" fillId="0" borderId="68" xfId="0" applyBorder="1" applyAlignment="1">
      <alignment horizontal="center"/>
    </xf>
    <xf numFmtId="0" fontId="0" fillId="0" borderId="69" xfId="0" applyBorder="1"/>
    <xf numFmtId="0" fontId="0" fillId="0" borderId="68" xfId="0" applyBorder="1"/>
    <xf numFmtId="0" fontId="0" fillId="0" borderId="71" xfId="0" applyBorder="1"/>
    <xf numFmtId="0" fontId="0" fillId="0" borderId="69" xfId="0" applyBorder="1" applyAlignment="1">
      <alignment horizontal="center"/>
    </xf>
    <xf numFmtId="0" fontId="0" fillId="0" borderId="74" xfId="0" applyBorder="1" applyAlignment="1">
      <alignment horizontal="center"/>
    </xf>
    <xf numFmtId="0" fontId="0" fillId="8" borderId="0" xfId="0" applyFill="1" applyAlignment="1">
      <alignment horizontal="left"/>
    </xf>
    <xf numFmtId="0" fontId="0" fillId="0" borderId="5" xfId="0" applyBorder="1" applyAlignment="1">
      <alignment vertical="center" wrapText="1"/>
    </xf>
    <xf numFmtId="49" fontId="0" fillId="0" borderId="6" xfId="0" applyNumberFormat="1" applyBorder="1" applyAlignment="1">
      <alignment horizontal="center" textRotation="90" wrapText="1"/>
    </xf>
    <xf numFmtId="0" fontId="0" fillId="7" borderId="6" xfId="0" applyFill="1" applyBorder="1" applyAlignment="1">
      <alignment horizontal="center"/>
    </xf>
    <xf numFmtId="49" fontId="0" fillId="0" borderId="80" xfId="0" applyNumberFormat="1" applyBorder="1" applyAlignment="1">
      <alignment horizontal="center" vertical="center"/>
    </xf>
    <xf numFmtId="49" fontId="0" fillId="0" borderId="81" xfId="0" applyNumberFormat="1" applyBorder="1" applyAlignment="1">
      <alignment horizontal="center" vertical="center"/>
    </xf>
    <xf numFmtId="49" fontId="0" fillId="0" borderId="80" xfId="0" applyNumberFormat="1" applyBorder="1" applyAlignment="1">
      <alignment horizontal="center" textRotation="90"/>
    </xf>
    <xf numFmtId="49" fontId="0" fillId="0" borderId="82" xfId="0" applyNumberFormat="1" applyBorder="1" applyAlignment="1">
      <alignment horizontal="center" textRotation="90"/>
    </xf>
    <xf numFmtId="49" fontId="0" fillId="0" borderId="83" xfId="0" applyNumberFormat="1" applyBorder="1" applyAlignment="1">
      <alignment horizontal="center" textRotation="90"/>
    </xf>
    <xf numFmtId="0" fontId="0" fillId="2" borderId="84" xfId="0" applyFill="1" applyBorder="1" applyAlignment="1">
      <alignment horizontal="center"/>
    </xf>
    <xf numFmtId="0" fontId="0" fillId="2" borderId="85" xfId="0" applyFill="1" applyBorder="1" applyAlignment="1">
      <alignment horizontal="center"/>
    </xf>
    <xf numFmtId="49" fontId="0" fillId="6" borderId="82" xfId="0" applyNumberFormat="1" applyFill="1" applyBorder="1" applyAlignment="1">
      <alignment horizontal="center"/>
    </xf>
    <xf numFmtId="49" fontId="0" fillId="6" borderId="83" xfId="0" applyNumberFormat="1" applyFill="1" applyBorder="1" applyAlignment="1">
      <alignment horizontal="center"/>
    </xf>
    <xf numFmtId="0" fontId="0" fillId="0" borderId="82" xfId="0" applyBorder="1" applyAlignment="1">
      <alignment horizontal="center"/>
    </xf>
    <xf numFmtId="0" fontId="0" fillId="0" borderId="83" xfId="0" applyBorder="1" applyAlignment="1">
      <alignment horizontal="center"/>
    </xf>
    <xf numFmtId="0" fontId="0" fillId="0" borderId="84" xfId="0" applyBorder="1" applyAlignment="1">
      <alignment horizontal="center"/>
    </xf>
    <xf numFmtId="0" fontId="0" fillId="0" borderId="85" xfId="0" applyBorder="1" applyAlignment="1">
      <alignment horizontal="center"/>
    </xf>
    <xf numFmtId="49" fontId="0" fillId="9" borderId="81" xfId="0" applyNumberFormat="1" applyFill="1" applyBorder="1" applyAlignment="1">
      <alignment horizontal="center" textRotation="90"/>
    </xf>
    <xf numFmtId="0" fontId="6" fillId="8" borderId="0" xfId="1" applyFill="1" applyAlignment="1">
      <alignment horizontal="center"/>
    </xf>
    <xf numFmtId="0" fontId="0" fillId="8" borderId="0" xfId="0" applyFill="1" applyAlignment="1">
      <alignment horizontal="center"/>
    </xf>
    <xf numFmtId="0" fontId="0" fillId="0" borderId="86" xfId="0" applyBorder="1" applyAlignment="1">
      <alignment horizontal="center" textRotation="90" wrapText="1"/>
    </xf>
    <xf numFmtId="0" fontId="2" fillId="0" borderId="17" xfId="0" applyFont="1" applyBorder="1" applyAlignment="1">
      <alignment horizontal="center" textRotation="90"/>
    </xf>
    <xf numFmtId="0" fontId="2" fillId="0" borderId="25" xfId="0" applyFont="1" applyBorder="1"/>
    <xf numFmtId="0" fontId="0" fillId="9" borderId="71" xfId="0" applyFill="1" applyBorder="1" applyAlignment="1">
      <alignment horizontal="center"/>
    </xf>
    <xf numFmtId="0" fontId="0" fillId="9" borderId="7" xfId="0" applyFill="1" applyBorder="1"/>
    <xf numFmtId="43" fontId="2" fillId="0" borderId="5" xfId="2" applyFont="1" applyBorder="1" applyAlignment="1">
      <alignment horizontal="center" vertical="center"/>
    </xf>
    <xf numFmtId="0" fontId="0" fillId="0" borderId="87" xfId="0" applyBorder="1"/>
    <xf numFmtId="0" fontId="0" fillId="0" borderId="88" xfId="0" applyBorder="1"/>
    <xf numFmtId="0" fontId="0" fillId="0" borderId="30" xfId="0" applyBorder="1"/>
    <xf numFmtId="0" fontId="0" fillId="0" borderId="32" xfId="0" applyBorder="1"/>
    <xf numFmtId="0" fontId="0" fillId="0" borderId="5" xfId="0" applyBorder="1" applyAlignment="1">
      <alignment vertical="center"/>
    </xf>
    <xf numFmtId="0" fontId="15" fillId="8" borderId="0" xfId="1" applyFont="1" applyFill="1" applyAlignment="1">
      <alignment horizontal="center"/>
    </xf>
    <xf numFmtId="49" fontId="0" fillId="11" borderId="5" xfId="0" applyNumberFormat="1" applyFill="1" applyBorder="1" applyAlignment="1">
      <alignment horizontal="center" vertical="center"/>
    </xf>
    <xf numFmtId="0" fontId="6" fillId="9" borderId="0" xfId="1" applyFill="1" applyAlignment="1">
      <alignment horizontal="center" wrapText="1"/>
    </xf>
    <xf numFmtId="0" fontId="10" fillId="0" borderId="89" xfId="0" applyFont="1" applyBorder="1" applyAlignment="1">
      <alignment horizontal="center"/>
    </xf>
    <xf numFmtId="0" fontId="6" fillId="0" borderId="0" xfId="1" applyAlignment="1">
      <alignment wrapText="1"/>
    </xf>
    <xf numFmtId="0" fontId="0" fillId="0" borderId="42" xfId="0" applyBorder="1" applyAlignment="1">
      <alignment horizontal="center" vertical="center"/>
    </xf>
    <xf numFmtId="0" fontId="0" fillId="0" borderId="22" xfId="0" applyBorder="1" applyAlignment="1">
      <alignment horizontal="center" vertical="center"/>
    </xf>
    <xf numFmtId="0" fontId="0" fillId="0" borderId="41" xfId="0" applyBorder="1" applyAlignment="1">
      <alignment horizontal="center" vertical="center"/>
    </xf>
    <xf numFmtId="0" fontId="0" fillId="0" borderId="23" xfId="0" applyBorder="1" applyAlignment="1">
      <alignment horizontal="center" vertical="center"/>
    </xf>
    <xf numFmtId="0" fontId="0" fillId="0" borderId="5" xfId="0" applyBorder="1" applyAlignment="1">
      <alignment horizontal="center" vertical="center"/>
    </xf>
    <xf numFmtId="0" fontId="0" fillId="0" borderId="24" xfId="0" applyBorder="1" applyAlignment="1">
      <alignment horizontal="center" vertical="center"/>
    </xf>
    <xf numFmtId="49" fontId="0" fillId="0" borderId="23" xfId="0" applyNumberFormat="1" applyBorder="1" applyAlignment="1">
      <alignment horizontal="center" vertical="center"/>
    </xf>
    <xf numFmtId="49" fontId="0" fillId="0" borderId="5" xfId="0" applyNumberFormat="1" applyBorder="1" applyAlignment="1">
      <alignment horizontal="center" vertical="center"/>
    </xf>
    <xf numFmtId="49" fontId="0" fillId="0" borderId="24" xfId="0" applyNumberFormat="1" applyBorder="1" applyAlignment="1">
      <alignment horizontal="center" vertical="center"/>
    </xf>
    <xf numFmtId="0" fontId="0" fillId="0" borderId="23" xfId="0" applyBorder="1" applyAlignment="1">
      <alignment horizontal="center" vertical="center" wrapText="1"/>
    </xf>
    <xf numFmtId="0" fontId="0" fillId="0" borderId="5" xfId="0" applyBorder="1" applyAlignment="1">
      <alignment horizontal="center" vertical="center" wrapText="1"/>
    </xf>
    <xf numFmtId="0" fontId="0" fillId="0" borderId="24" xfId="0" applyBorder="1" applyAlignment="1">
      <alignment horizontal="center" vertical="center" wrapText="1"/>
    </xf>
    <xf numFmtId="49" fontId="0" fillId="9" borderId="23" xfId="0" applyNumberFormat="1" applyFill="1" applyBorder="1" applyAlignment="1">
      <alignment horizontal="center" vertical="center"/>
    </xf>
    <xf numFmtId="49" fontId="0" fillId="9" borderId="5" xfId="0" applyNumberFormat="1" applyFill="1" applyBorder="1" applyAlignment="1">
      <alignment horizontal="center" vertical="center"/>
    </xf>
    <xf numFmtId="49" fontId="0" fillId="9" borderId="24" xfId="0" applyNumberFormat="1" applyFill="1" applyBorder="1" applyAlignment="1">
      <alignment horizontal="center" vertical="center"/>
    </xf>
    <xf numFmtId="0" fontId="0" fillId="0" borderId="19" xfId="0" applyBorder="1" applyAlignment="1">
      <alignment horizontal="center" vertical="center"/>
    </xf>
    <xf numFmtId="0" fontId="0" fillId="0" borderId="21" xfId="0" applyBorder="1" applyAlignment="1">
      <alignment horizontal="center" vertical="center"/>
    </xf>
    <xf numFmtId="49" fontId="0" fillId="12" borderId="23" xfId="0" applyNumberFormat="1" applyFill="1" applyBorder="1" applyAlignment="1">
      <alignment horizontal="center" vertical="center"/>
    </xf>
    <xf numFmtId="49" fontId="0" fillId="12" borderId="5" xfId="0" applyNumberFormat="1" applyFill="1" applyBorder="1" applyAlignment="1">
      <alignment horizontal="center" vertical="center"/>
    </xf>
    <xf numFmtId="49" fontId="0" fillId="12" borderId="24" xfId="0" applyNumberFormat="1" applyFill="1" applyBorder="1" applyAlignment="1">
      <alignment horizontal="center" vertical="center"/>
    </xf>
    <xf numFmtId="49" fontId="0" fillId="11" borderId="23" xfId="0" applyNumberFormat="1" applyFill="1" applyBorder="1" applyAlignment="1">
      <alignment horizontal="center" vertical="center"/>
    </xf>
    <xf numFmtId="49" fontId="0" fillId="11" borderId="5" xfId="0" applyNumberFormat="1" applyFill="1" applyBorder="1" applyAlignment="1">
      <alignment horizontal="center" vertical="center"/>
    </xf>
    <xf numFmtId="49" fontId="0" fillId="11" borderId="24" xfId="0" applyNumberFormat="1" applyFill="1" applyBorder="1" applyAlignment="1">
      <alignment horizontal="center" vertical="center"/>
    </xf>
    <xf numFmtId="0" fontId="0" fillId="0" borderId="20" xfId="0" applyBorder="1" applyAlignment="1">
      <alignment horizontal="center" vertical="center"/>
    </xf>
    <xf numFmtId="0" fontId="6" fillId="0" borderId="0" xfId="1" applyAlignment="1">
      <alignment horizontal="center"/>
    </xf>
    <xf numFmtId="49" fontId="0" fillId="0" borderId="3" xfId="0" applyNumberFormat="1" applyBorder="1" applyAlignment="1">
      <alignment horizontal="center" vertical="center" wrapText="1"/>
    </xf>
    <xf numFmtId="49" fontId="0" fillId="0" borderId="5" xfId="0" applyNumberFormat="1" applyBorder="1" applyAlignment="1">
      <alignment horizontal="center" vertical="center" wrapText="1"/>
    </xf>
    <xf numFmtId="43" fontId="10" fillId="8" borderId="5" xfId="2" applyFont="1" applyFill="1" applyBorder="1" applyAlignment="1">
      <alignment horizontal="center" vertical="center" wrapText="1"/>
    </xf>
    <xf numFmtId="43" fontId="10" fillId="8" borderId="4" xfId="2" applyFont="1" applyFill="1" applyBorder="1" applyAlignment="1">
      <alignment horizontal="center" vertical="center" wrapText="1"/>
    </xf>
    <xf numFmtId="0" fontId="0" fillId="0" borderId="39" xfId="0" applyBorder="1" applyAlignment="1">
      <alignment horizontal="center" textRotation="90"/>
    </xf>
    <xf numFmtId="0" fontId="0" fillId="0" borderId="27" xfId="0" applyBorder="1" applyAlignment="1">
      <alignment horizontal="center" textRotation="90"/>
    </xf>
    <xf numFmtId="0" fontId="0" fillId="0" borderId="40" xfId="0" applyBorder="1" applyAlignment="1">
      <alignment horizontal="center" textRotation="90"/>
    </xf>
    <xf numFmtId="0" fontId="0" fillId="0" borderId="9" xfId="0" applyBorder="1" applyAlignment="1">
      <alignment horizontal="center" textRotation="90"/>
    </xf>
    <xf numFmtId="43" fontId="0" fillId="0" borderId="23" xfId="2" applyFont="1" applyFill="1" applyBorder="1" applyAlignment="1">
      <alignment horizontal="center" vertical="center"/>
    </xf>
    <xf numFmtId="43" fontId="0" fillId="0" borderId="5" xfId="2" applyFont="1" applyFill="1" applyBorder="1" applyAlignment="1">
      <alignment horizontal="center" vertical="center"/>
    </xf>
    <xf numFmtId="43" fontId="0" fillId="0" borderId="24" xfId="2" applyFont="1" applyFill="1" applyBorder="1" applyAlignment="1">
      <alignment horizontal="center" vertical="center"/>
    </xf>
    <xf numFmtId="0" fontId="0" fillId="0" borderId="58" xfId="0" applyBorder="1" applyAlignment="1">
      <alignment horizontal="center" vertical="center" wrapText="1"/>
    </xf>
    <xf numFmtId="0" fontId="0" fillId="0" borderId="20" xfId="0" applyBorder="1" applyAlignment="1">
      <alignment horizontal="center" vertical="center" wrapText="1"/>
    </xf>
    <xf numFmtId="0" fontId="0" fillId="0" borderId="59" xfId="0" applyBorder="1" applyAlignment="1">
      <alignment horizontal="center" vertical="center" wrapText="1"/>
    </xf>
    <xf numFmtId="0" fontId="0" fillId="0" borderId="19" xfId="0" applyBorder="1" applyAlignment="1">
      <alignment horizontal="center" vertical="center" wrapText="1"/>
    </xf>
    <xf numFmtId="0" fontId="0" fillId="0" borderId="45" xfId="0" applyBorder="1" applyAlignment="1">
      <alignment horizontal="center" vertical="center"/>
    </xf>
    <xf numFmtId="0" fontId="0" fillId="0" borderId="46" xfId="0" applyBorder="1" applyAlignment="1">
      <alignment horizontal="center" vertical="center"/>
    </xf>
    <xf numFmtId="0" fontId="0" fillId="0" borderId="47" xfId="0" applyBorder="1" applyAlignment="1">
      <alignment horizontal="center" vertical="center"/>
    </xf>
    <xf numFmtId="49" fontId="0" fillId="0" borderId="19" xfId="0" applyNumberFormat="1" applyBorder="1" applyAlignment="1">
      <alignment horizontal="center" vertical="center"/>
    </xf>
    <xf numFmtId="49" fontId="0" fillId="0" borderId="20" xfId="0" applyNumberFormat="1" applyBorder="1" applyAlignment="1">
      <alignment horizontal="center" vertical="center"/>
    </xf>
    <xf numFmtId="49" fontId="0" fillId="0" borderId="21" xfId="0" applyNumberFormat="1" applyBorder="1" applyAlignment="1">
      <alignment horizontal="center" vertical="center"/>
    </xf>
    <xf numFmtId="0" fontId="2" fillId="0" borderId="38" xfId="0" applyFont="1" applyBorder="1" applyAlignment="1">
      <alignment horizontal="center" vertical="center" textRotation="90" wrapText="1"/>
    </xf>
    <xf numFmtId="0" fontId="2" fillId="0" borderId="90" xfId="0" applyFont="1" applyBorder="1" applyAlignment="1">
      <alignment horizontal="center" vertical="center" textRotation="90" wrapText="1"/>
    </xf>
    <xf numFmtId="0" fontId="2" fillId="0" borderId="36" xfId="0" applyFont="1" applyBorder="1" applyAlignment="1">
      <alignment horizontal="center" vertical="center" textRotation="90" wrapText="1"/>
    </xf>
    <xf numFmtId="0" fontId="2" fillId="0" borderId="89" xfId="0" applyFont="1" applyBorder="1" applyAlignment="1">
      <alignment horizontal="center" vertical="center" textRotation="90" wrapText="1"/>
    </xf>
    <xf numFmtId="49" fontId="15" fillId="8" borderId="0" xfId="1" applyNumberFormat="1" applyFont="1" applyFill="1" applyAlignment="1">
      <alignment horizontal="center"/>
    </xf>
    <xf numFmtId="49" fontId="0" fillId="0" borderId="14" xfId="0" applyNumberFormat="1" applyBorder="1" applyAlignment="1">
      <alignment horizontal="center" vertical="center"/>
    </xf>
    <xf numFmtId="49" fontId="0" fillId="0" borderId="15" xfId="0" applyNumberFormat="1" applyBorder="1" applyAlignment="1">
      <alignment horizontal="center" vertical="center"/>
    </xf>
    <xf numFmtId="49" fontId="0" fillId="0" borderId="14" xfId="0" applyNumberFormat="1" applyBorder="1" applyAlignment="1">
      <alignment horizontal="center" vertical="center" textRotation="90"/>
    </xf>
    <xf numFmtId="49" fontId="0" fillId="0" borderId="15" xfId="0" applyNumberFormat="1" applyBorder="1" applyAlignment="1">
      <alignment horizontal="center" vertical="center" textRotation="90"/>
    </xf>
    <xf numFmtId="0" fontId="0" fillId="0" borderId="14" xfId="0" applyBorder="1" applyAlignment="1">
      <alignment horizontal="center" textRotation="90"/>
    </xf>
    <xf numFmtId="0" fontId="0" fillId="0" borderId="15" xfId="0" applyBorder="1" applyAlignment="1">
      <alignment horizontal="center" textRotation="90"/>
    </xf>
    <xf numFmtId="0" fontId="15" fillId="8" borderId="0" xfId="1" applyFont="1" applyFill="1" applyAlignment="1">
      <alignment horizontal="center"/>
    </xf>
    <xf numFmtId="0" fontId="6" fillId="0" borderId="0" xfId="1" applyAlignment="1">
      <alignment horizontal="center" vertical="top" wrapText="1"/>
    </xf>
    <xf numFmtId="0" fontId="16" fillId="0" borderId="0" xfId="1" applyFont="1" applyAlignment="1">
      <alignment horizontal="center" wrapText="1"/>
    </xf>
    <xf numFmtId="0" fontId="6" fillId="0" borderId="0" xfId="1" applyAlignment="1">
      <alignment horizontal="center" vertical="center" wrapText="1"/>
    </xf>
    <xf numFmtId="0" fontId="0" fillId="0" borderId="23" xfId="2" applyNumberFormat="1" applyFont="1" applyBorder="1" applyAlignment="1">
      <alignment horizontal="center" vertical="center" wrapText="1"/>
    </xf>
    <xf numFmtId="0" fontId="0" fillId="0" borderId="5" xfId="2" applyNumberFormat="1" applyFont="1" applyBorder="1" applyAlignment="1">
      <alignment horizontal="center" vertical="center" wrapText="1"/>
    </xf>
    <xf numFmtId="0" fontId="0" fillId="0" borderId="24" xfId="2" applyNumberFormat="1" applyFont="1" applyBorder="1" applyAlignment="1">
      <alignment horizontal="center" vertical="center" wrapText="1"/>
    </xf>
    <xf numFmtId="43" fontId="2" fillId="0" borderId="23" xfId="2" applyFont="1" applyBorder="1" applyAlignment="1">
      <alignment horizontal="center" vertical="center"/>
    </xf>
    <xf numFmtId="43" fontId="2" fillId="0" borderId="5" xfId="2" applyFont="1" applyBorder="1" applyAlignment="1">
      <alignment horizontal="center" vertical="center"/>
    </xf>
    <xf numFmtId="43" fontId="2" fillId="0" borderId="24" xfId="2" applyFont="1" applyBorder="1" applyAlignment="1">
      <alignment horizontal="center" vertical="center"/>
    </xf>
    <xf numFmtId="49" fontId="0" fillId="0" borderId="24" xfId="0" applyNumberFormat="1" applyBorder="1" applyAlignment="1">
      <alignment horizontal="center" vertical="center" wrapText="1"/>
    </xf>
    <xf numFmtId="43" fontId="2" fillId="0" borderId="19" xfId="2" applyFont="1" applyBorder="1" applyAlignment="1">
      <alignment horizontal="center" vertical="center"/>
    </xf>
    <xf numFmtId="43" fontId="2" fillId="0" borderId="20" xfId="2" applyFont="1" applyBorder="1" applyAlignment="1">
      <alignment horizontal="center" vertical="center"/>
    </xf>
    <xf numFmtId="43" fontId="2" fillId="0" borderId="21" xfId="2" applyFont="1" applyBorder="1" applyAlignment="1">
      <alignment horizontal="center" vertical="center"/>
    </xf>
    <xf numFmtId="0" fontId="0" fillId="0" borderId="21" xfId="0" applyBorder="1" applyAlignment="1">
      <alignment horizontal="center" vertical="center" wrapText="1"/>
    </xf>
    <xf numFmtId="0" fontId="0" fillId="9" borderId="0" xfId="0" applyFill="1" applyAlignment="1">
      <alignment horizontal="center"/>
    </xf>
    <xf numFmtId="0" fontId="15" fillId="8" borderId="0" xfId="1" applyNumberFormat="1" applyFont="1" applyFill="1"/>
    <xf numFmtId="0" fontId="0" fillId="0" borderId="0" xfId="0" applyNumberFormat="1"/>
    <xf numFmtId="0" fontId="0" fillId="0" borderId="0" xfId="0" applyNumberFormat="1" applyBorder="1" applyAlignment="1">
      <alignment horizontal="center" vertical="center"/>
    </xf>
    <xf numFmtId="0" fontId="0" fillId="0" borderId="0" xfId="0" applyNumberFormat="1" applyBorder="1" applyAlignment="1">
      <alignment horizontal="center" textRotation="90"/>
    </xf>
    <xf numFmtId="0" fontId="0" fillId="2" borderId="0" xfId="0" applyNumberFormat="1" applyFill="1" applyBorder="1" applyAlignment="1">
      <alignment horizontal="center"/>
    </xf>
    <xf numFmtId="0" fontId="0" fillId="6" borderId="0" xfId="0" applyNumberFormat="1" applyFill="1" applyAlignment="1">
      <alignment horizontal="center"/>
    </xf>
    <xf numFmtId="0" fontId="0" fillId="6" borderId="0" xfId="0" applyNumberFormat="1" applyFill="1" applyBorder="1" applyAlignment="1">
      <alignment horizontal="center"/>
    </xf>
    <xf numFmtId="0" fontId="6" fillId="0" borderId="0" xfId="1" applyNumberFormat="1"/>
    <xf numFmtId="0" fontId="0" fillId="0" borderId="0" xfId="0" applyNumberFormat="1" applyBorder="1" applyAlignment="1">
      <alignment horizontal="center" textRotation="90" wrapText="1"/>
    </xf>
  </cellXfs>
  <cellStyles count="3">
    <cellStyle name="Comma" xfId="2" builtinId="3"/>
    <cellStyle name="Normal" xfId="0" builtinId="0"/>
    <cellStyle name="Normal 2" xfId="1" xr:uid="{00000000-0005-0000-0000-000002000000}"/>
  </cellStyles>
  <dxfs count="37">
    <dxf>
      <font>
        <color theme="0"/>
      </font>
    </dxf>
    <dxf>
      <font>
        <color theme="0"/>
      </font>
    </dxf>
    <dxf>
      <font>
        <color theme="0"/>
      </font>
    </dxf>
    <dxf>
      <font>
        <color theme="0"/>
      </font>
    </dxf>
    <dxf>
      <font>
        <b/>
        <i val="0"/>
        <color theme="0"/>
      </font>
      <fill>
        <patternFill>
          <bgColor rgb="FFFF0000"/>
        </patternFill>
      </fill>
    </dxf>
    <dxf>
      <font>
        <color theme="0"/>
      </font>
    </dxf>
    <dxf>
      <font>
        <color theme="0"/>
      </font>
    </dxf>
    <dxf>
      <font>
        <color theme="0"/>
      </font>
    </dxf>
    <dxf>
      <font>
        <color theme="0"/>
      </font>
    </dxf>
    <dxf>
      <font>
        <color theme="0"/>
      </font>
      <fill>
        <patternFill>
          <bgColor rgb="FFFF0000"/>
        </patternFill>
      </fill>
    </dxf>
    <dxf>
      <font>
        <b/>
        <i val="0"/>
      </font>
      <fill>
        <patternFill>
          <bgColor rgb="FFFF0000"/>
        </patternFill>
      </fill>
    </dxf>
    <dxf>
      <font>
        <color theme="0"/>
      </font>
    </dxf>
    <dxf>
      <font>
        <color theme="0"/>
      </font>
    </dxf>
    <dxf>
      <font>
        <color theme="0" tint="-0.24994659260841701"/>
      </font>
    </dxf>
    <dxf>
      <font>
        <color theme="0"/>
      </font>
    </dxf>
    <dxf>
      <font>
        <color theme="0"/>
      </font>
    </dxf>
    <dxf>
      <font>
        <color theme="0"/>
      </font>
    </dxf>
    <dxf>
      <font>
        <color theme="0"/>
      </font>
    </dxf>
    <dxf>
      <fill>
        <patternFill>
          <bgColor rgb="FFFF8585"/>
        </patternFill>
      </fill>
    </dxf>
    <dxf>
      <font>
        <color theme="0"/>
      </font>
    </dxf>
    <dxf>
      <font>
        <color theme="0"/>
      </font>
    </dxf>
    <dxf>
      <font>
        <b/>
        <i val="0"/>
        <color auto="1"/>
      </font>
      <fill>
        <patternFill>
          <bgColor rgb="FFFFFF00"/>
        </patternFill>
      </fill>
    </dxf>
    <dxf>
      <font>
        <color theme="0"/>
      </font>
    </dxf>
    <dxf>
      <font>
        <color theme="0"/>
      </font>
      <fill>
        <patternFill>
          <bgColor rgb="FFFF0000"/>
        </patternFill>
      </fill>
    </dxf>
    <dxf>
      <font>
        <color theme="0"/>
      </font>
      <fill>
        <patternFill>
          <bgColor rgb="FFFF0000"/>
        </patternFill>
      </fill>
    </dxf>
    <dxf>
      <fill>
        <patternFill>
          <bgColor rgb="FFFF8585"/>
        </patternFill>
      </fill>
    </dxf>
    <dxf>
      <fill>
        <patternFill>
          <bgColor rgb="FFFF8585"/>
        </patternFill>
      </fill>
    </dxf>
    <dxf>
      <font>
        <b/>
        <i val="0"/>
        <color auto="1"/>
      </font>
      <fill>
        <patternFill>
          <bgColor rgb="FFFFFF00"/>
        </patternFill>
      </fill>
    </dxf>
    <dxf>
      <font>
        <color theme="0"/>
      </font>
    </dxf>
    <dxf>
      <font>
        <color theme="0"/>
      </font>
    </dxf>
    <dxf>
      <font>
        <b/>
        <i val="0"/>
        <color theme="0"/>
      </font>
      <fill>
        <patternFill>
          <bgColor rgb="FFFF0000"/>
        </patternFill>
      </fill>
    </dxf>
    <dxf>
      <font>
        <b/>
        <i val="0"/>
        <color theme="0"/>
      </font>
      <fill>
        <patternFill>
          <bgColor rgb="FFFF0000"/>
        </patternFill>
      </fill>
    </dxf>
    <dxf>
      <font>
        <b/>
        <i val="0"/>
        <color theme="0"/>
      </font>
      <fill>
        <patternFill>
          <bgColor rgb="FFFFABAB"/>
        </patternFill>
      </fill>
    </dxf>
    <dxf>
      <font>
        <b/>
        <i val="0"/>
        <color theme="0"/>
      </font>
      <fill>
        <patternFill>
          <bgColor rgb="FFFFABAB"/>
        </patternFill>
      </fill>
    </dxf>
    <dxf>
      <font>
        <color theme="0"/>
      </font>
    </dxf>
    <dxf>
      <font>
        <b/>
        <i val="0"/>
      </font>
      <fill>
        <patternFill>
          <bgColor rgb="FFFF0000"/>
        </patternFill>
      </fill>
    </dxf>
    <dxf>
      <font>
        <color auto="1"/>
      </font>
      <fill>
        <patternFill>
          <bgColor rgb="FFFFFF00"/>
        </patternFill>
      </fill>
    </dxf>
  </dxfs>
  <tableStyles count="0" defaultTableStyle="TableStyleMedium9" defaultPivotStyle="PivotStyleLight16"/>
  <colors>
    <mruColors>
      <color rgb="FFFF858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Y37"/>
  <sheetViews>
    <sheetView tabSelected="1" zoomScaleNormal="100" workbookViewId="0">
      <pane xSplit="1" ySplit="5" topLeftCell="B6" activePane="bottomRight" state="frozen"/>
      <selection pane="topRight" activeCell="B1" sqref="B1"/>
      <selection pane="bottomLeft" activeCell="A6" sqref="A6"/>
      <selection pane="bottomRight" activeCell="VP4" sqref="VP4:VT4"/>
    </sheetView>
  </sheetViews>
  <sheetFormatPr defaultColWidth="9.109375" defaultRowHeight="12.6" outlineLevelRow="1" outlineLevelCol="1" x14ac:dyDescent="0.25"/>
  <cols>
    <col min="1" max="1" width="24.33203125" style="120" bestFit="1" customWidth="1"/>
    <col min="2" max="2" width="20.6640625" style="26" customWidth="1"/>
    <col min="3" max="4" width="4.44140625" style="26" customWidth="1"/>
    <col min="5" max="5" width="6.6640625" style="26" customWidth="1"/>
    <col min="6" max="6" width="7.88671875" style="26" customWidth="1"/>
    <col min="7" max="7" width="11.44140625" style="26" customWidth="1"/>
    <col min="8" max="8" width="33" style="26" customWidth="1"/>
    <col min="9" max="9" width="19.109375" style="26" customWidth="1"/>
    <col min="10" max="10" width="11.33203125" style="26" customWidth="1"/>
    <col min="11" max="11" width="23.33203125" style="26" customWidth="1"/>
    <col min="12" max="12" width="16.6640625" style="26" customWidth="1"/>
    <col min="13" max="13" width="11.5546875" style="26" customWidth="1"/>
    <col min="14" max="14" width="8.5546875" style="26" customWidth="1"/>
    <col min="15" max="15" width="9" style="26" customWidth="1"/>
    <col min="16" max="16" width="21.109375" style="26" customWidth="1"/>
    <col min="17" max="17" width="11.88671875" style="26" customWidth="1"/>
    <col min="18" max="18" width="10.88671875" style="26" customWidth="1"/>
    <col min="19" max="19" width="13.109375" style="26" customWidth="1"/>
    <col min="20" max="20" width="12" style="26" customWidth="1"/>
    <col min="21" max="22" width="6.5546875" style="26" bestFit="1" customWidth="1"/>
    <col min="23" max="23" width="5" style="26" customWidth="1"/>
    <col min="24" max="25" width="6.33203125" style="26" customWidth="1"/>
    <col min="26" max="26" width="7.88671875" style="26" customWidth="1"/>
    <col min="27" max="27" width="13.5546875" style="26" customWidth="1"/>
    <col min="28" max="28" width="14.109375" style="26" bestFit="1" customWidth="1"/>
    <col min="29" max="29" width="4.88671875" style="26" customWidth="1"/>
    <col min="30" max="30" width="12.44140625" style="26" customWidth="1"/>
    <col min="31" max="31" width="11.5546875" style="26" customWidth="1"/>
    <col min="32" max="32" width="11.44140625" style="26" customWidth="1"/>
    <col min="33" max="33" width="9" style="26" customWidth="1"/>
    <col min="34" max="34" width="9" style="26" bestFit="1" customWidth="1"/>
    <col min="35" max="35" width="6.5546875" style="26" bestFit="1" customWidth="1"/>
    <col min="36" max="37" width="10.33203125" style="26" customWidth="1"/>
    <col min="38" max="38" width="9" style="26" customWidth="1"/>
    <col min="39" max="39" width="12.109375" style="26" customWidth="1"/>
    <col min="40" max="40" width="18.33203125" style="26" bestFit="1" customWidth="1"/>
    <col min="41" max="41" width="18.33203125" style="26" customWidth="1"/>
    <col min="42" max="42" width="13.33203125" style="26" customWidth="1"/>
    <col min="43" max="46" width="10.88671875" style="26" customWidth="1"/>
    <col min="47" max="47" width="10.33203125" style="26" customWidth="1"/>
    <col min="48" max="48" width="3.109375" style="26" customWidth="1"/>
    <col min="49" max="49" width="3.88671875" style="26" customWidth="1"/>
    <col min="50" max="50" width="6.88671875" style="26" customWidth="1"/>
    <col min="51" max="62" width="10.33203125" style="26" customWidth="1"/>
    <col min="63" max="63" width="8" style="26" hidden="1" customWidth="1" outlineLevel="1"/>
    <col min="64" max="64" width="29.33203125" style="26" hidden="1" customWidth="1" outlineLevel="1"/>
    <col min="65" max="65" width="8.88671875" style="26" hidden="1" customWidth="1" outlineLevel="1"/>
    <col min="66" max="66" width="29" style="26" hidden="1" customWidth="1" outlineLevel="1"/>
    <col min="67" max="67" width="7.88671875" style="26" hidden="1" customWidth="1" outlineLevel="1"/>
    <col min="68" max="68" width="20.44140625" style="26" hidden="1" customWidth="1" outlineLevel="1"/>
    <col min="69" max="70" width="3.6640625" style="26" hidden="1" customWidth="1" outlineLevel="1"/>
    <col min="71" max="71" width="9.33203125" style="26" hidden="1" customWidth="1" outlineLevel="1"/>
    <col min="72" max="72" width="11.44140625" style="26" hidden="1" customWidth="1" outlineLevel="1"/>
    <col min="73" max="73" width="3.6640625" style="26" hidden="1" customWidth="1" outlineLevel="1"/>
    <col min="74" max="74" width="7.44140625" style="26" hidden="1" customWidth="1" outlineLevel="1"/>
    <col min="75" max="76" width="12" style="26" hidden="1" customWidth="1" outlineLevel="1"/>
    <col min="77" max="77" width="10.109375" style="26" hidden="1" customWidth="1" outlineLevel="1"/>
    <col min="78" max="78" width="13.44140625" style="26" hidden="1" customWidth="1" outlineLevel="1"/>
    <col min="79" max="79" width="12" style="26" hidden="1" customWidth="1" outlineLevel="1"/>
    <col min="80" max="80" width="5.5546875" style="26" hidden="1" customWidth="1" outlineLevel="1"/>
    <col min="81" max="81" width="6.109375" style="26" hidden="1" customWidth="1" outlineLevel="1"/>
    <col min="82" max="82" width="3.6640625" style="26" hidden="1" customWidth="1" outlineLevel="1"/>
    <col min="83" max="83" width="11.33203125" style="26" hidden="1" customWidth="1" outlineLevel="1"/>
    <col min="84" max="86" width="13.5546875" style="26" hidden="1" customWidth="1" outlineLevel="1"/>
    <col min="87" max="87" width="3.6640625" style="26" hidden="1" customWidth="1" outlineLevel="1"/>
    <col min="88" max="98" width="9.109375" style="26" hidden="1" customWidth="1" outlineLevel="1"/>
    <col min="99" max="99" width="3.6640625" style="26" hidden="1" customWidth="1" outlineLevel="1"/>
    <col min="100" max="108" width="9.109375" style="26" hidden="1" customWidth="1" outlineLevel="1"/>
    <col min="109" max="110" width="3.6640625" style="26" hidden="1" customWidth="1" outlineLevel="1"/>
    <col min="111" max="123" width="3.109375" style="26" hidden="1" customWidth="1" outlineLevel="1"/>
    <col min="124" max="124" width="3.5546875" style="26" hidden="1" customWidth="1" outlineLevel="1"/>
    <col min="125" max="128" width="3.109375" style="26" hidden="1" customWidth="1" outlineLevel="1"/>
    <col min="129" max="129" width="9.109375" style="26" hidden="1" customWidth="1" outlineLevel="1"/>
    <col min="130" max="130" width="5.5546875" style="26" hidden="1" customWidth="1" outlineLevel="1"/>
    <col min="131" max="131" width="6" style="26" hidden="1" customWidth="1" outlineLevel="1"/>
    <col min="132" max="132" width="3.6640625" style="26" hidden="1" customWidth="1" outlineLevel="1"/>
    <col min="133" max="134" width="12" style="26" hidden="1" customWidth="1" outlineLevel="1"/>
    <col min="135" max="135" width="5" style="26" hidden="1" customWidth="1" outlineLevel="1"/>
    <col min="136" max="136" width="9" style="26" hidden="1" customWidth="1" outlineLevel="1"/>
    <col min="137" max="139" width="3.109375" style="26" hidden="1" customWidth="1" outlineLevel="1"/>
    <col min="140" max="140" width="4.33203125" style="26" hidden="1" customWidth="1" outlineLevel="1"/>
    <col min="141" max="142" width="3.109375" style="26" hidden="1" customWidth="1" outlineLevel="1"/>
    <col min="143" max="143" width="5.5546875" style="26" hidden="1" customWidth="1" outlineLevel="1"/>
    <col min="144" max="144" width="5" style="26" hidden="1" customWidth="1" outlineLevel="1"/>
    <col min="145" max="145" width="11.88671875" style="26" hidden="1" customWidth="1" outlineLevel="1"/>
    <col min="146" max="146" width="4" style="26" hidden="1" customWidth="1" outlineLevel="1"/>
    <col min="147" max="147" width="9" style="26" hidden="1" customWidth="1" outlineLevel="1"/>
    <col min="148" max="148" width="5" style="26" hidden="1" customWidth="1" outlineLevel="1"/>
    <col min="149" max="151" width="3.6640625" style="26" hidden="1" customWidth="1" outlineLevel="1"/>
    <col min="152" max="152" width="4.33203125" style="26" hidden="1" customWidth="1" outlineLevel="1"/>
    <col min="153" max="154" width="3.6640625" style="26" hidden="1" customWidth="1" outlineLevel="1"/>
    <col min="155" max="156" width="3.5546875" style="26" hidden="1" customWidth="1" outlineLevel="1"/>
    <col min="157" max="157" width="3.6640625" style="26" hidden="1" customWidth="1" outlineLevel="1"/>
    <col min="158" max="158" width="4.33203125" style="26" hidden="1" customWidth="1" outlineLevel="1"/>
    <col min="159" max="159" width="3.6640625" style="26" hidden="1" customWidth="1" outlineLevel="1"/>
    <col min="160" max="160" width="4.33203125" style="26" hidden="1" customWidth="1" outlineLevel="1"/>
    <col min="161" max="162" width="3.6640625" style="26" hidden="1" customWidth="1" outlineLevel="1"/>
    <col min="163" max="163" width="8.5546875" style="26" hidden="1" customWidth="1" outlineLevel="1"/>
    <col min="164" max="165" width="6.21875" style="26" hidden="1" customWidth="1" outlineLevel="1"/>
    <col min="166" max="167" width="3.6640625" style="26" hidden="1" customWidth="1" outlineLevel="1"/>
    <col min="168" max="168" width="4.6640625" style="26" hidden="1" customWidth="1" outlineLevel="1"/>
    <col min="169" max="172" width="3.6640625" style="26" hidden="1" customWidth="1" outlineLevel="1"/>
    <col min="173" max="173" width="4.6640625" style="26" hidden="1" customWidth="1" outlineLevel="1"/>
    <col min="174" max="181" width="3.6640625" style="26" hidden="1" customWidth="1" outlineLevel="1"/>
    <col min="182" max="183" width="10.109375" style="26" hidden="1" customWidth="1" outlineLevel="1"/>
    <col min="184" max="184" width="4.6640625" style="26" hidden="1" customWidth="1" outlineLevel="1"/>
    <col min="185" max="185" width="11.33203125" style="26" hidden="1" customWidth="1" outlineLevel="1"/>
    <col min="186" max="186" width="4.6640625" style="26" hidden="1" customWidth="1" outlineLevel="1"/>
    <col min="187" max="187" width="9" style="26" hidden="1" customWidth="1" outlineLevel="1"/>
    <col min="188" max="189" width="4.6640625" style="26" hidden="1" customWidth="1" outlineLevel="1"/>
    <col min="190" max="190" width="19.88671875" style="26" hidden="1" customWidth="1" outlineLevel="1"/>
    <col min="191" max="192" width="4.6640625" style="26" hidden="1" customWidth="1" outlineLevel="1"/>
    <col min="193" max="193" width="14.88671875" style="26" hidden="1" customWidth="1" outlineLevel="1"/>
    <col min="194" max="197" width="12" style="26" hidden="1" customWidth="1" outlineLevel="1"/>
    <col min="198" max="199" width="5" style="26" hidden="1" customWidth="1" outlineLevel="1"/>
    <col min="200" max="201" width="3.109375" style="26" hidden="1" customWidth="1" outlineLevel="1"/>
    <col min="202" max="202" width="5" style="26" hidden="1" customWidth="1" outlineLevel="1"/>
    <col min="203" max="207" width="3.109375" style="26" hidden="1" customWidth="1" outlineLevel="1"/>
    <col min="208" max="208" width="38.6640625" style="26" hidden="1" customWidth="1" outlineLevel="1"/>
    <col min="209" max="210" width="3.109375" style="26" hidden="1" customWidth="1" outlineLevel="1"/>
    <col min="211" max="211" width="18.5546875" style="26" hidden="1" customWidth="1" outlineLevel="1"/>
    <col min="212" max="212" width="3.109375" style="26" hidden="1" customWidth="1" outlineLevel="1"/>
    <col min="213" max="213" width="14.88671875" style="26" hidden="1" customWidth="1" outlineLevel="1"/>
    <col min="214" max="214" width="21" style="26" customWidth="1" collapsed="1"/>
    <col min="215" max="219" width="14.88671875" style="26" hidden="1" customWidth="1" outlineLevel="1"/>
    <col min="220" max="220" width="15" style="26" hidden="1" customWidth="1" outlineLevel="1"/>
    <col min="221" max="221" width="17" style="26" hidden="1" customWidth="1" outlineLevel="1"/>
    <col min="222" max="223" width="14.88671875" style="26" hidden="1" customWidth="1" outlineLevel="1"/>
    <col min="224" max="224" width="22.109375" style="26" hidden="1" customWidth="1" outlineLevel="1"/>
    <col min="225" max="225" width="10.33203125" style="26" hidden="1" customWidth="1" outlineLevel="1"/>
    <col min="226" max="226" width="15" style="26" hidden="1" customWidth="1" outlineLevel="1"/>
    <col min="227" max="227" width="19.6640625" style="26" hidden="1" customWidth="1" outlineLevel="1"/>
    <col min="228" max="228" width="22" style="26" hidden="1" customWidth="1" outlineLevel="1"/>
    <col min="229" max="229" width="15.6640625" style="26" hidden="1" customWidth="1" outlineLevel="1"/>
    <col min="230" max="230" width="11.33203125" style="26" hidden="1" customWidth="1" outlineLevel="1"/>
    <col min="231" max="232" width="25.88671875" style="26" hidden="1" customWidth="1" outlineLevel="1"/>
    <col min="233" max="233" width="25" style="26" hidden="1" customWidth="1" outlineLevel="1"/>
    <col min="234" max="235" width="25.88671875" style="26" hidden="1" customWidth="1" outlineLevel="1"/>
    <col min="236" max="236" width="9.88671875" style="26" hidden="1" customWidth="1" outlineLevel="1"/>
    <col min="237" max="237" width="3.6640625" style="26" hidden="1" customWidth="1" outlineLevel="1"/>
    <col min="238" max="238" width="17.33203125" style="26" hidden="1" customWidth="1" outlineLevel="1"/>
    <col min="239" max="240" width="12" style="26" hidden="1" customWidth="1" outlineLevel="1"/>
    <col min="241" max="241" width="3.6640625" style="26" hidden="1" customWidth="1" outlineLevel="1"/>
    <col min="242" max="242" width="12" style="26" hidden="1" customWidth="1" outlineLevel="1"/>
    <col min="243" max="243" width="14.88671875" style="26" hidden="1" customWidth="1" outlineLevel="1"/>
    <col min="244" max="244" width="9.33203125" style="26" hidden="1" customWidth="1" outlineLevel="1"/>
    <col min="245" max="245" width="10.109375" style="26" hidden="1" customWidth="1" outlineLevel="1"/>
    <col min="246" max="251" width="3.5546875" style="26" hidden="1" customWidth="1" outlineLevel="1"/>
    <col min="252" max="252" width="4.33203125" style="26" hidden="1" customWidth="1" outlineLevel="1"/>
    <col min="253" max="255" width="3.6640625" style="26" hidden="1" customWidth="1" outlineLevel="1"/>
    <col min="256" max="256" width="4.33203125" style="26" hidden="1" customWidth="1" outlineLevel="1"/>
    <col min="257" max="258" width="3.5546875" style="26" hidden="1" customWidth="1" outlineLevel="1"/>
    <col min="259" max="259" width="9.5546875" style="26" hidden="1" customWidth="1" outlineLevel="1"/>
    <col min="260" max="261" width="4.33203125" style="26" hidden="1" customWidth="1" outlineLevel="1"/>
    <col min="262" max="262" width="3.5546875" style="26" hidden="1" customWidth="1" outlineLevel="1"/>
    <col min="263" max="263" width="3.33203125" style="26" hidden="1" customWidth="1" outlineLevel="1"/>
    <col min="264" max="274" width="12" style="26" hidden="1" customWidth="1" outlineLevel="1"/>
    <col min="275" max="275" width="13.5546875" style="26" hidden="1" customWidth="1" outlineLevel="1"/>
    <col min="276" max="278" width="5" style="26" hidden="1" customWidth="1" outlineLevel="1"/>
    <col min="279" max="281" width="3.5546875" style="26" hidden="1" customWidth="1" outlineLevel="1"/>
    <col min="282" max="282" width="3.6640625" style="26" hidden="1" customWidth="1" outlineLevel="1"/>
    <col min="283" max="291" width="4.33203125" style="26" hidden="1" customWidth="1" outlineLevel="1"/>
    <col min="292" max="292" width="6.109375" style="26" hidden="1" customWidth="1" outlineLevel="1"/>
    <col min="293" max="296" width="3.6640625" style="26" hidden="1" customWidth="1" outlineLevel="1"/>
    <col min="297" max="297" width="3.109375" style="26" hidden="1" customWidth="1" outlineLevel="1"/>
    <col min="298" max="300" width="3.6640625" style="26" hidden="1" customWidth="1" outlineLevel="1"/>
    <col min="301" max="301" width="11" style="26" hidden="1" customWidth="1" outlineLevel="1"/>
    <col min="302" max="302" width="9.44140625" style="26" hidden="1" customWidth="1" outlineLevel="1"/>
    <col min="303" max="303" width="11" style="26" hidden="1" customWidth="1" outlineLevel="1"/>
    <col min="304" max="304" width="9.44140625" style="26" hidden="1" customWidth="1" outlineLevel="1"/>
    <col min="305" max="313" width="3.6640625" style="26" hidden="1" customWidth="1" outlineLevel="1"/>
    <col min="314" max="314" width="10.88671875" style="26" hidden="1" customWidth="1" outlineLevel="1"/>
    <col min="315" max="319" width="9.109375" style="26" hidden="1" customWidth="1" outlineLevel="1"/>
    <col min="320" max="326" width="3.6640625" style="26" hidden="1" customWidth="1" outlineLevel="1"/>
    <col min="327" max="327" width="3.109375" style="26" hidden="1" customWidth="1" outlineLevel="1"/>
    <col min="328" max="328" width="3.6640625" style="26" hidden="1" customWidth="1" outlineLevel="1"/>
    <col min="329" max="329" width="3.109375" style="26" hidden="1" customWidth="1" outlineLevel="1"/>
    <col min="330" max="331" width="3.6640625" style="26" hidden="1" customWidth="1" outlineLevel="1"/>
    <col min="332" max="333" width="3.109375" style="26" hidden="1" customWidth="1" outlineLevel="1"/>
    <col min="334" max="337" width="9.109375" style="26" hidden="1" customWidth="1" outlineLevel="1"/>
    <col min="338" max="339" width="4.33203125" style="26" hidden="1" customWidth="1" outlineLevel="1"/>
    <col min="340" max="347" width="3.6640625" style="26" hidden="1" customWidth="1" outlineLevel="1"/>
    <col min="348" max="348" width="6.6640625" style="26" hidden="1" customWidth="1" outlineLevel="1"/>
    <col min="349" max="350" width="10.5546875" style="26" hidden="1" customWidth="1" outlineLevel="1"/>
    <col min="351" max="361" width="3.6640625" style="26" hidden="1" customWidth="1" outlineLevel="1"/>
    <col min="362" max="363" width="10.5546875" style="26" hidden="1" customWidth="1" outlineLevel="1"/>
    <col min="364" max="365" width="3.6640625" style="26" hidden="1" customWidth="1" outlineLevel="1"/>
    <col min="366" max="367" width="10.5546875" style="26" hidden="1" customWidth="1" outlineLevel="1"/>
    <col min="368" max="368" width="3.6640625" style="26" hidden="1" customWidth="1" outlineLevel="1"/>
    <col min="369" max="369" width="6.109375" style="26" hidden="1" customWidth="1" outlineLevel="1"/>
    <col min="370" max="370" width="12.33203125" style="26" hidden="1" customWidth="1" outlineLevel="1"/>
    <col min="371" max="371" width="9.5546875" style="26" hidden="1" customWidth="1" outlineLevel="1"/>
    <col min="372" max="373" width="5.44140625" style="26" hidden="1" customWidth="1" outlineLevel="1"/>
    <col min="374" max="374" width="5.88671875" style="26" hidden="1" customWidth="1" outlineLevel="1"/>
    <col min="375" max="375" width="7.88671875" style="26" hidden="1" customWidth="1" outlineLevel="1"/>
    <col min="376" max="377" width="3.109375" style="26" hidden="1" customWidth="1" outlineLevel="1"/>
    <col min="378" max="378" width="3.33203125" style="26" hidden="1" customWidth="1" outlineLevel="1"/>
    <col min="379" max="384" width="3.109375" style="26" hidden="1" customWidth="1" outlineLevel="1"/>
    <col min="385" max="385" width="6.5546875" style="26" hidden="1" customWidth="1" outlineLevel="1"/>
    <col min="386" max="386" width="3.109375" style="26" hidden="1" customWidth="1" outlineLevel="1"/>
    <col min="387" max="387" width="4.88671875" style="26" hidden="1" customWidth="1" outlineLevel="1"/>
    <col min="388" max="388" width="6.88671875" style="26" hidden="1" customWidth="1" outlineLevel="1"/>
    <col min="389" max="389" width="4.88671875" style="26" hidden="1" customWidth="1" outlineLevel="1"/>
    <col min="390" max="392" width="5.44140625" style="26" hidden="1" customWidth="1" outlineLevel="1"/>
    <col min="393" max="393" width="6.88671875" style="26" hidden="1" customWidth="1" outlineLevel="1"/>
    <col min="394" max="394" width="3.33203125" style="26" hidden="1" customWidth="1" outlineLevel="1"/>
    <col min="395" max="400" width="3.109375" style="26" hidden="1" customWidth="1" outlineLevel="1"/>
    <col min="401" max="403" width="5.88671875" style="26" hidden="1" customWidth="1" outlineLevel="1"/>
    <col min="404" max="404" width="6.5546875" style="26" hidden="1" customWidth="1" outlineLevel="1"/>
    <col min="405" max="406" width="5.5546875" style="26" hidden="1" customWidth="1" outlineLevel="1"/>
    <col min="407" max="407" width="3.5546875" style="26" hidden="1" customWidth="1" outlineLevel="1"/>
    <col min="408" max="410" width="5.5546875" style="26" hidden="1" customWidth="1" outlineLevel="1"/>
    <col min="411" max="411" width="12.44140625" style="26" hidden="1" customWidth="1" outlineLevel="1"/>
    <col min="412" max="412" width="7.109375" style="26" hidden="1" customWidth="1" outlineLevel="1"/>
    <col min="413" max="413" width="12.44140625" style="26" hidden="1" customWidth="1" outlineLevel="1"/>
    <col min="414" max="414" width="7.88671875" style="26" hidden="1" customWidth="1" outlineLevel="1"/>
    <col min="415" max="418" width="15" style="26" hidden="1" customWidth="1" outlineLevel="1"/>
    <col min="419" max="419" width="14.109375" style="26" hidden="1" customWidth="1" outlineLevel="1"/>
    <col min="420" max="421" width="9" style="26" hidden="1" customWidth="1" outlineLevel="1"/>
    <col min="422" max="422" width="11.88671875" style="26" hidden="1" customWidth="1" outlineLevel="1"/>
    <col min="423" max="424" width="4.88671875" style="26" hidden="1" customWidth="1" outlineLevel="1"/>
    <col min="425" max="425" width="5.88671875" style="26" hidden="1" customWidth="1" outlineLevel="1"/>
    <col min="426" max="426" width="4.33203125" style="26" hidden="1" customWidth="1" outlineLevel="1"/>
    <col min="427" max="432" width="15.109375" style="26" hidden="1" customWidth="1" outlineLevel="1"/>
    <col min="433" max="433" width="9.33203125" style="26" hidden="1" customWidth="1" outlineLevel="1"/>
    <col min="434" max="434" width="9" style="26" hidden="1" customWidth="1" outlineLevel="1"/>
    <col min="435" max="435" width="6.5546875" style="26" hidden="1" customWidth="1" outlineLevel="1"/>
    <col min="436" max="436" width="8.44140625" style="26" hidden="1" customWidth="1" outlineLevel="1"/>
    <col min="437" max="444" width="3.6640625" style="26" hidden="1" customWidth="1" outlineLevel="1"/>
    <col min="445" max="445" width="6.5546875" style="26" hidden="1" customWidth="1" outlineLevel="1"/>
    <col min="446" max="446" width="3.6640625" style="26" hidden="1" customWidth="1" outlineLevel="1"/>
    <col min="447" max="447" width="6.5546875" style="26" hidden="1" customWidth="1" outlineLevel="1"/>
    <col min="448" max="448" width="5.88671875" style="26" hidden="1" customWidth="1" outlineLevel="1"/>
    <col min="449" max="449" width="7" style="26" hidden="1" customWidth="1" outlineLevel="1"/>
    <col min="450" max="450" width="10.33203125" style="26" hidden="1" customWidth="1" outlineLevel="1"/>
    <col min="451" max="451" width="4.6640625" style="26" hidden="1" customWidth="1" outlineLevel="1"/>
    <col min="452" max="452" width="6" style="26" hidden="1" customWidth="1" outlineLevel="1"/>
    <col min="453" max="453" width="3.109375" style="26" hidden="1" customWidth="1" outlineLevel="1"/>
    <col min="454" max="454" width="5" style="26" hidden="1" customWidth="1" outlineLevel="1"/>
    <col min="455" max="455" width="4" style="26" hidden="1" customWidth="1" outlineLevel="1"/>
    <col min="456" max="456" width="6" style="26" hidden="1" customWidth="1" outlineLevel="1"/>
    <col min="457" max="457" width="3.6640625" style="26" hidden="1" customWidth="1" outlineLevel="1"/>
    <col min="458" max="458" width="12.109375" style="26" hidden="1" customWidth="1" outlineLevel="1"/>
    <col min="459" max="459" width="4" style="26" hidden="1" customWidth="1" outlineLevel="1"/>
    <col min="460" max="461" width="3.5546875" style="26" hidden="1" customWidth="1" outlineLevel="1"/>
    <col min="462" max="462" width="14.88671875" style="26" hidden="1" customWidth="1" outlineLevel="1"/>
    <col min="463" max="463" width="3.5546875" style="26" hidden="1" customWidth="1" outlineLevel="1"/>
    <col min="464" max="465" width="3.6640625" style="26" hidden="1" customWidth="1" outlineLevel="1"/>
    <col min="466" max="466" width="3.5546875" style="26" hidden="1" customWidth="1" outlineLevel="1"/>
    <col min="467" max="467" width="3.6640625" style="26" hidden="1" customWidth="1" outlineLevel="1"/>
    <col min="468" max="468" width="6.5546875" style="26" hidden="1" customWidth="1" outlineLevel="1"/>
    <col min="469" max="470" width="3.109375" style="26" hidden="1" customWidth="1" outlineLevel="1"/>
    <col min="471" max="474" width="5" style="26" hidden="1" customWidth="1" outlineLevel="1"/>
    <col min="475" max="475" width="4" style="26" hidden="1" customWidth="1" outlineLevel="1"/>
    <col min="476" max="476" width="6" style="26" hidden="1" customWidth="1" outlineLevel="1"/>
    <col min="477" max="477" width="12.109375" style="26" hidden="1" customWidth="1" outlineLevel="1"/>
    <col min="478" max="479" width="4.33203125" style="26" hidden="1" customWidth="1" outlineLevel="1"/>
    <col min="480" max="480" width="3.6640625" style="26" hidden="1" customWidth="1" outlineLevel="1"/>
    <col min="481" max="482" width="4.33203125" style="26" hidden="1" customWidth="1" outlineLevel="1"/>
    <col min="483" max="485" width="5.33203125" style="26" hidden="1" customWidth="1" outlineLevel="1"/>
    <col min="486" max="486" width="3.109375" style="26" hidden="1" customWidth="1" outlineLevel="1"/>
    <col min="487" max="488" width="3.6640625" style="26" hidden="1" customWidth="1" outlineLevel="1"/>
    <col min="489" max="489" width="9.44140625" style="26" hidden="1" customWidth="1" outlineLevel="1"/>
    <col min="490" max="490" width="3.109375" style="26" hidden="1" customWidth="1" outlineLevel="1"/>
    <col min="491" max="493" width="3.6640625" style="26" hidden="1" customWidth="1" outlineLevel="1"/>
    <col min="494" max="496" width="3.109375" style="26" hidden="1" customWidth="1" outlineLevel="1"/>
    <col min="497" max="499" width="5" style="26" hidden="1" customWidth="1" outlineLevel="1"/>
    <col min="500" max="500" width="6" style="26" hidden="1" customWidth="1" outlineLevel="1"/>
    <col min="501" max="501" width="5" style="26" hidden="1" customWidth="1" outlineLevel="1"/>
    <col min="502" max="503" width="14.88671875" style="26" hidden="1" customWidth="1" outlineLevel="1"/>
    <col min="504" max="505" width="4.33203125" style="26" hidden="1" customWidth="1" outlineLevel="1"/>
    <col min="506" max="506" width="3.6640625" style="26" hidden="1" customWidth="1" outlineLevel="1"/>
    <col min="507" max="508" width="4.33203125" style="26" hidden="1" customWidth="1" outlineLevel="1"/>
    <col min="509" max="510" width="5.33203125" style="26" hidden="1" customWidth="1" outlineLevel="1"/>
    <col min="511" max="511" width="5.109375" style="26" hidden="1" customWidth="1" outlineLevel="1"/>
    <col min="512" max="512" width="4.33203125" style="26" hidden="1" customWidth="1" outlineLevel="1"/>
    <col min="513" max="514" width="5.44140625" style="26" hidden="1" customWidth="1" outlineLevel="1"/>
    <col min="515" max="515" width="7.44140625" style="26" hidden="1" customWidth="1" outlineLevel="1"/>
    <col min="516" max="516" width="6.6640625" style="26" hidden="1" customWidth="1" outlineLevel="1"/>
    <col min="517" max="519" width="3.6640625" style="26" hidden="1" customWidth="1" outlineLevel="1"/>
    <col min="520" max="520" width="9.44140625" style="26" hidden="1" customWidth="1" outlineLevel="1"/>
    <col min="521" max="525" width="3.6640625" style="26" hidden="1" customWidth="1" outlineLevel="1"/>
    <col min="526" max="526" width="14.88671875" style="26" hidden="1" customWidth="1" outlineLevel="1"/>
    <col min="527" max="528" width="12" style="26" hidden="1" customWidth="1" outlineLevel="1"/>
    <col min="529" max="535" width="9.109375" style="26" hidden="1" customWidth="1" outlineLevel="1"/>
    <col min="536" max="538" width="3.6640625" style="26" hidden="1" customWidth="1" outlineLevel="1"/>
    <col min="539" max="539" width="9.44140625" style="26" hidden="1" customWidth="1" outlineLevel="1"/>
    <col min="540" max="545" width="9.109375" style="26" hidden="1" customWidth="1" outlineLevel="1"/>
    <col min="546" max="549" width="3.109375" style="26" hidden="1" customWidth="1" outlineLevel="1"/>
    <col min="550" max="561" width="9.109375" style="26" hidden="1" customWidth="1" outlineLevel="1"/>
    <col min="562" max="563" width="12.109375" style="26" hidden="1" customWidth="1" outlineLevel="1"/>
    <col min="564" max="564" width="4.33203125" style="26" hidden="1" customWidth="1" outlineLevel="1"/>
    <col min="565" max="566" width="9.109375" style="26" hidden="1" customWidth="1" outlineLevel="1"/>
    <col min="567" max="572" width="14.88671875" style="26" hidden="1" customWidth="1" outlineLevel="1"/>
    <col min="573" max="575" width="13.6640625" style="26" hidden="1" customWidth="1" outlineLevel="1"/>
    <col min="576" max="576" width="14.88671875" style="26" hidden="1" customWidth="1" outlineLevel="1"/>
    <col min="577" max="578" width="13.6640625" style="26" hidden="1" customWidth="1" outlineLevel="1"/>
    <col min="579" max="579" width="16.33203125" style="26" hidden="1" customWidth="1" outlineLevel="1"/>
    <col min="580" max="580" width="13.6640625" style="26" hidden="1" customWidth="1" outlineLevel="1"/>
    <col min="581" max="582" width="9.109375" style="26" hidden="1" customWidth="1" outlineLevel="1"/>
    <col min="583" max="584" width="11.88671875" style="26" hidden="1" customWidth="1" outlineLevel="1"/>
    <col min="585" max="585" width="10.6640625" style="26" hidden="1" customWidth="1" outlineLevel="1"/>
    <col min="586" max="586" width="40.88671875" style="26" hidden="1" customWidth="1" outlineLevel="1"/>
    <col min="587" max="587" width="9.109375" style="26" hidden="1" customWidth="1" outlineLevel="1"/>
    <col min="588" max="592" width="9.109375" style="412" hidden="1" customWidth="1" outlineLevel="1"/>
    <col min="593" max="593" width="19.33203125" style="26" bestFit="1" customWidth="1" collapsed="1"/>
    <col min="594" max="595" width="9.109375" style="26"/>
    <col min="596" max="596" width="11.88671875" style="26" customWidth="1"/>
    <col min="597" max="16384" width="9.109375" style="26"/>
  </cols>
  <sheetData>
    <row r="1" spans="1:597" s="108" customFormat="1" ht="14.4" x14ac:dyDescent="0.3">
      <c r="A1" s="382" t="s">
        <v>1224</v>
      </c>
      <c r="B1" s="382"/>
      <c r="H1" s="315" t="str">
        <f>IF(AND(Side_Frame_Size="BC - Broke Channel",C6&gt;=30,DZ6&lt;0.375),"SF thk to be 3/8'' for &gt;=30' Tubes","")</f>
        <v/>
      </c>
      <c r="R1" s="389" t="str">
        <f>IF(AND(ROUND(SF_Width,4)/12&gt;=10,BTS_Con_Type="Weld On",BTS_Type&lt;&gt;"None",ProductLine="AXC",OR(BTS_Type="Angle",BTS_Type="Channel")),    "SF over 10' shall be bolt on for MFG and",    "")</f>
        <v/>
      </c>
      <c r="S1" s="389"/>
      <c r="T1" s="389"/>
      <c r="U1" s="327"/>
      <c r="V1" s="327"/>
      <c r="DZ1" s="314" t="str">
        <f>H1</f>
        <v/>
      </c>
      <c r="VP1" s="405"/>
      <c r="VQ1" s="405"/>
      <c r="VR1" s="405"/>
      <c r="VS1" s="405"/>
      <c r="VT1" s="405"/>
    </row>
    <row r="2" spans="1:597" customFormat="1" ht="19.5" customHeight="1" thickBot="1" x14ac:dyDescent="0.4">
      <c r="A2" s="296" t="str">
        <f>UPPER(RIGHT($I$5,LEN($I$5)-FIND("@",$I$5,1)))</f>
        <v>000000_S03-SFR</v>
      </c>
      <c r="B2" s="30"/>
      <c r="C2" t="str">
        <f>IF(ISNUMBER(LEFT($A$2,1)+0), "", LEFT($A$2,MIN(FIND({0,1,2,3,4,5,6,7,8,9},A2&amp;"0123456789"))-1))</f>
        <v/>
      </c>
      <c r="D2" s="62">
        <f>MID($A$2,FIND("_",$A$2,1)+2,2)+0</f>
        <v>3</v>
      </c>
      <c r="E2" s="31" t="s">
        <v>52</v>
      </c>
      <c r="F2" s="33"/>
      <c r="G2" s="32"/>
      <c r="H2" s="315" t="s">
        <v>1223</v>
      </c>
      <c r="I2" s="32"/>
      <c r="J2" s="32"/>
      <c r="K2" s="32"/>
      <c r="L2" s="32"/>
      <c r="M2" s="32"/>
      <c r="N2" s="32"/>
      <c r="O2" s="32"/>
      <c r="P2" s="32"/>
      <c r="Q2" s="32"/>
      <c r="R2" s="356" t="str">
        <f>IF(AND(ROUND(SF_Width,4)&gt;50,BTS_Con_Type="Weld On",BTS_Type&lt;&gt;"None",ProductLine="AXC",OR(BTS_Type="Angle",BTS_Type="Channel")),    "SF over 50'' shall be bolt on for shipping",    IF(AND(SF_Width&lt;=50,BTS_Con_Type="Bolt On",BTS_Type&lt;&gt;"None",ProductLine="AXC",OR(BTS_Type="Angle",BTS_Type="Channel")),"SF &lt; = 50'' can be Weld On",""))</f>
        <v/>
      </c>
      <c r="S2" s="356"/>
      <c r="T2" s="356"/>
      <c r="U2" s="166"/>
      <c r="V2" s="166"/>
      <c r="W2" s="32"/>
      <c r="X2" s="31"/>
      <c r="Y2" s="31"/>
      <c r="Z2" s="31"/>
      <c r="AA2" s="31"/>
      <c r="AB2" s="31"/>
      <c r="AC2" s="31"/>
      <c r="AD2" s="31"/>
      <c r="AE2" s="31"/>
      <c r="AF2" s="32"/>
      <c r="AG2" s="32"/>
      <c r="AH2" s="32"/>
      <c r="AI2" s="32"/>
      <c r="AJ2" s="32"/>
      <c r="AK2" s="32"/>
      <c r="AL2" s="32"/>
      <c r="AM2" s="32"/>
      <c r="AN2" s="32"/>
      <c r="AO2" s="32"/>
      <c r="AP2" s="32"/>
      <c r="AQ2" s="32"/>
      <c r="AR2" s="32"/>
      <c r="AS2" s="32"/>
      <c r="AT2" s="32"/>
      <c r="AU2" s="32"/>
      <c r="AV2" s="32"/>
      <c r="AW2" s="32"/>
      <c r="AX2" s="32"/>
      <c r="AY2" s="32"/>
      <c r="AZ2" s="32"/>
      <c r="BA2" s="32"/>
      <c r="BB2" s="32"/>
      <c r="BC2" s="32"/>
      <c r="BD2" s="32"/>
      <c r="BE2" s="32"/>
      <c r="BF2" s="32"/>
      <c r="BG2" s="32"/>
      <c r="BH2" s="32"/>
      <c r="BI2" s="32"/>
      <c r="BJ2" s="32"/>
      <c r="BK2" s="29"/>
      <c r="BL2" s="32">
        <f>ROUND(BK6,4)</f>
        <v>2</v>
      </c>
      <c r="BM2" s="32"/>
      <c r="BN2" s="32" t="s">
        <v>594</v>
      </c>
      <c r="BO2" s="32"/>
      <c r="BP2" s="32"/>
      <c r="BQ2" s="32"/>
      <c r="BR2" s="32"/>
      <c r="BS2" s="32"/>
      <c r="BT2" s="32"/>
      <c r="BU2" s="32"/>
      <c r="BV2" s="32"/>
      <c r="BW2" s="32"/>
      <c r="BX2" s="32"/>
      <c r="BY2" s="32"/>
      <c r="BZ2" s="32"/>
      <c r="CA2" s="32"/>
      <c r="CB2" s="32"/>
      <c r="CC2" s="32"/>
      <c r="CD2" s="32"/>
      <c r="CE2" s="34"/>
      <c r="CF2" s="34"/>
      <c r="CG2" s="34"/>
      <c r="CH2" s="34"/>
      <c r="CI2" s="29"/>
      <c r="CJ2" s="32"/>
      <c r="CK2" s="32"/>
      <c r="CL2" s="32"/>
      <c r="CM2" s="32"/>
      <c r="CN2" s="32"/>
      <c r="CO2" s="32"/>
      <c r="CP2" s="32"/>
      <c r="CQ2" s="32"/>
      <c r="CR2" s="32"/>
      <c r="CS2" s="32"/>
      <c r="CT2" s="32"/>
      <c r="CU2" s="29"/>
      <c r="CV2" s="32"/>
      <c r="CW2" s="32"/>
      <c r="CX2" s="32"/>
      <c r="CY2" s="32"/>
      <c r="CZ2" s="32"/>
      <c r="DA2" s="32"/>
      <c r="DB2" s="32"/>
      <c r="DC2" s="32"/>
      <c r="DD2" s="32"/>
      <c r="DE2" s="29"/>
      <c r="DF2" s="32"/>
      <c r="DG2" s="32"/>
      <c r="DH2" s="32"/>
      <c r="DI2" s="32"/>
      <c r="DJ2" s="32"/>
      <c r="DK2" s="32"/>
      <c r="DL2" s="32"/>
      <c r="DM2" s="32"/>
      <c r="DN2" s="32"/>
      <c r="DO2" s="32"/>
      <c r="DP2" s="32"/>
      <c r="DQ2" s="32"/>
      <c r="DR2" s="32"/>
      <c r="DS2" s="32"/>
      <c r="DT2" s="32"/>
      <c r="DU2" s="32"/>
      <c r="DV2" s="32"/>
      <c r="DW2" s="32"/>
      <c r="DX2" s="32"/>
      <c r="DY2" s="32"/>
      <c r="DZ2" s="32"/>
      <c r="EA2" s="32"/>
      <c r="EB2" s="32"/>
      <c r="EC2" s="32"/>
      <c r="ED2" s="32"/>
      <c r="EE2" s="32"/>
      <c r="EF2" s="32"/>
      <c r="EG2" s="34" t="s">
        <v>1307</v>
      </c>
      <c r="EH2" s="34"/>
      <c r="EI2" s="34"/>
      <c r="EJ2" s="34"/>
      <c r="EK2" s="32"/>
      <c r="EL2" s="32"/>
      <c r="EM2" s="34"/>
      <c r="EN2" s="34"/>
      <c r="ES2" s="34"/>
      <c r="ET2" s="34"/>
      <c r="EU2" s="34"/>
      <c r="EV2" s="34"/>
      <c r="EW2" s="34"/>
      <c r="EX2" s="34" t="s">
        <v>1307</v>
      </c>
      <c r="EY2" s="34" t="s">
        <v>1307</v>
      </c>
      <c r="EZ2" s="34" t="s">
        <v>1307</v>
      </c>
      <c r="FA2" s="34"/>
      <c r="FB2" s="34"/>
      <c r="FC2" s="34"/>
      <c r="FD2" s="34"/>
      <c r="FE2" s="34"/>
      <c r="FF2" s="32"/>
      <c r="FG2" s="37"/>
      <c r="FH2" s="34"/>
      <c r="FI2" s="34"/>
      <c r="FJ2" s="34"/>
      <c r="FK2" s="34"/>
      <c r="FL2" s="34"/>
      <c r="FQ2" s="34"/>
      <c r="FR2" s="34"/>
      <c r="FS2" s="34"/>
      <c r="FT2" s="34"/>
      <c r="FU2" s="34"/>
      <c r="FV2" s="34"/>
      <c r="FW2" s="34"/>
      <c r="FX2" s="34"/>
      <c r="FZ2" s="29"/>
      <c r="GA2" s="32"/>
      <c r="GB2" s="32"/>
      <c r="GC2" s="32"/>
      <c r="GD2" s="32"/>
      <c r="GE2" s="32"/>
      <c r="GF2" s="32"/>
      <c r="GG2" s="34"/>
      <c r="GH2" s="32"/>
      <c r="GI2" s="34"/>
      <c r="GJ2" s="34"/>
      <c r="GK2" s="34"/>
      <c r="GL2" s="34"/>
      <c r="GM2" s="34"/>
      <c r="GN2" s="34"/>
      <c r="GO2" s="34"/>
      <c r="GP2" s="29"/>
      <c r="GQ2" s="32"/>
      <c r="GR2" s="32"/>
      <c r="GS2" s="32"/>
      <c r="GT2" s="32"/>
      <c r="GU2" s="32"/>
      <c r="GV2" s="32"/>
      <c r="GW2" s="32"/>
      <c r="GX2" s="34"/>
      <c r="GY2" s="34"/>
      <c r="GZ2" s="34"/>
      <c r="HA2" s="34"/>
      <c r="HB2" s="34"/>
      <c r="HC2" s="37"/>
      <c r="HD2" s="34"/>
      <c r="HE2" s="34"/>
      <c r="HF2" s="32"/>
      <c r="HG2" s="34"/>
      <c r="HH2" s="34"/>
      <c r="HI2" s="34"/>
      <c r="HJ2" s="37"/>
      <c r="HK2" s="34"/>
      <c r="HL2" s="34"/>
      <c r="HM2" s="34"/>
      <c r="HN2" s="34"/>
      <c r="HO2" s="34"/>
      <c r="HP2" s="34"/>
      <c r="HQ2" s="34"/>
      <c r="HR2" s="34"/>
      <c r="HS2" s="34"/>
      <c r="HT2" s="34"/>
      <c r="HU2" s="34"/>
      <c r="HV2" s="34"/>
      <c r="HW2" s="35" t="s">
        <v>531</v>
      </c>
      <c r="HX2" s="36" t="s">
        <v>524</v>
      </c>
      <c r="HY2" s="36" t="s">
        <v>523</v>
      </c>
      <c r="HZ2" s="359" t="s">
        <v>525</v>
      </c>
      <c r="IA2" s="360"/>
      <c r="IB2" s="34"/>
      <c r="IC2" s="34"/>
      <c r="ID2" s="34"/>
      <c r="IE2" s="34"/>
      <c r="IF2" s="34"/>
      <c r="IG2" s="34"/>
      <c r="IH2" s="34"/>
      <c r="II2" s="34"/>
      <c r="IJ2" s="34"/>
      <c r="IK2" s="34"/>
      <c r="IL2" s="34"/>
      <c r="IM2" s="34"/>
      <c r="IN2" s="34"/>
      <c r="IO2" s="34"/>
      <c r="IP2" s="34"/>
      <c r="IQ2" s="34"/>
      <c r="IR2" s="34"/>
      <c r="IS2" s="34"/>
      <c r="IT2" s="34"/>
      <c r="IU2" s="34"/>
      <c r="IV2" s="34"/>
      <c r="IW2" s="34"/>
      <c r="IX2" s="34"/>
      <c r="IY2" s="32"/>
      <c r="IZ2" s="32"/>
      <c r="JA2" s="34"/>
      <c r="JB2" s="34"/>
      <c r="JC2" s="34"/>
      <c r="JD2" s="37"/>
      <c r="JE2" s="34"/>
      <c r="JF2" s="34"/>
      <c r="JG2" s="34"/>
      <c r="JH2" s="34"/>
      <c r="JI2" s="34"/>
      <c r="JJ2" s="34"/>
      <c r="JK2" s="34"/>
      <c r="JL2" s="34"/>
      <c r="JM2" s="34"/>
      <c r="JN2" s="34"/>
      <c r="JO2" s="37"/>
      <c r="JP2" s="34"/>
      <c r="JQ2" s="34"/>
      <c r="JR2" s="34"/>
      <c r="JS2" s="34"/>
      <c r="JT2" s="34"/>
      <c r="JU2" s="34"/>
      <c r="JV2" s="32"/>
      <c r="JW2" s="32"/>
      <c r="JX2" s="32"/>
      <c r="JY2" s="32"/>
      <c r="JZ2" s="32"/>
      <c r="KA2" s="32"/>
      <c r="KB2" s="32"/>
      <c r="KC2" s="32"/>
      <c r="KD2" s="32"/>
      <c r="KE2" s="32"/>
      <c r="KF2" s="32"/>
      <c r="KG2" s="32"/>
      <c r="KH2" s="32"/>
      <c r="KI2" s="32"/>
      <c r="KJ2" s="32"/>
      <c r="KK2" s="32"/>
      <c r="KL2" s="32"/>
      <c r="KM2" s="32"/>
      <c r="KN2" s="32"/>
      <c r="KO2" s="32"/>
      <c r="KP2" s="32"/>
      <c r="KQ2" s="32"/>
      <c r="KR2" s="32"/>
      <c r="KS2" s="34"/>
      <c r="KT2" s="29"/>
      <c r="KU2" s="32"/>
      <c r="KV2" s="34"/>
      <c r="KW2" s="34"/>
      <c r="KX2" s="34"/>
      <c r="KY2" s="34"/>
      <c r="KZ2" s="34"/>
      <c r="LA2" s="34"/>
      <c r="LB2" s="32"/>
      <c r="LC2" s="34"/>
      <c r="LD2" s="32"/>
      <c r="LE2" s="32"/>
      <c r="LF2" s="32"/>
      <c r="LG2" s="32"/>
      <c r="LH2" s="37"/>
      <c r="LI2" s="34"/>
      <c r="LJ2" s="34"/>
      <c r="LK2" s="34"/>
      <c r="LL2" s="34"/>
      <c r="LM2" s="34"/>
      <c r="LN2" s="34"/>
      <c r="LO2" s="34"/>
      <c r="LP2" s="34"/>
      <c r="LQ2" s="34"/>
      <c r="LR2" s="34"/>
      <c r="LS2" s="34"/>
      <c r="LT2" s="34"/>
      <c r="LU2" s="34"/>
      <c r="LV2" s="32"/>
      <c r="LW2" s="32"/>
      <c r="LX2" s="32"/>
      <c r="LY2" s="32"/>
      <c r="LZ2" s="32"/>
      <c r="MA2" s="32"/>
      <c r="MB2" s="32"/>
      <c r="MC2" s="32"/>
      <c r="MD2" s="32"/>
      <c r="ME2" s="32"/>
      <c r="MF2" s="32"/>
      <c r="MG2" s="32"/>
      <c r="MH2" s="32"/>
      <c r="MI2" s="32"/>
      <c r="MJ2" s="32"/>
      <c r="MK2" s="159"/>
      <c r="ML2" s="32"/>
      <c r="MM2" s="32"/>
      <c r="MN2" s="32"/>
      <c r="MO2" s="32"/>
      <c r="MP2" s="32"/>
      <c r="MQ2" s="32"/>
      <c r="MR2" s="32"/>
      <c r="MS2" s="32"/>
      <c r="MT2" s="32"/>
      <c r="MU2" s="32"/>
      <c r="MV2" s="32"/>
      <c r="MW2" s="32"/>
      <c r="MX2" s="32"/>
      <c r="MY2" s="32"/>
      <c r="MZ2" s="32"/>
      <c r="NA2" s="37"/>
      <c r="NB2" s="34"/>
      <c r="NC2" s="34"/>
      <c r="ND2" s="32"/>
      <c r="NE2" s="34"/>
      <c r="NF2" s="32"/>
      <c r="NG2" s="34"/>
      <c r="NH2" s="34"/>
      <c r="NI2" s="34"/>
      <c r="NJ2" s="34"/>
      <c r="NK2" s="34"/>
      <c r="NL2" s="34"/>
      <c r="NM2" s="32"/>
      <c r="NN2" s="32"/>
      <c r="NO2" s="32"/>
      <c r="NP2" s="32"/>
      <c r="NQ2" s="32"/>
      <c r="NR2" s="32"/>
      <c r="NS2" s="32"/>
      <c r="NT2" s="32"/>
      <c r="NU2" s="159"/>
      <c r="NV2" s="32"/>
      <c r="NW2" s="32"/>
      <c r="NX2" s="32"/>
      <c r="NY2" s="32"/>
      <c r="NZ2" s="32"/>
      <c r="OA2" s="32"/>
      <c r="OB2" s="32"/>
      <c r="OC2" s="32"/>
      <c r="OD2" s="32"/>
      <c r="OE2" s="32"/>
      <c r="OF2" s="32"/>
      <c r="OG2" s="32"/>
      <c r="OH2" s="32"/>
      <c r="OI2" s="32"/>
      <c r="OJ2" s="32"/>
      <c r="OK2" s="37"/>
      <c r="OL2" s="34"/>
      <c r="OM2" s="32"/>
      <c r="ON2" s="159"/>
      <c r="OO2" s="32"/>
      <c r="OP2" s="32"/>
      <c r="OQ2" s="32"/>
      <c r="OR2" s="32"/>
      <c r="OS2" s="32"/>
      <c r="OT2" s="32"/>
      <c r="OU2" s="32"/>
      <c r="OV2" s="32"/>
      <c r="OW2" s="32"/>
      <c r="OX2" s="32"/>
      <c r="OY2" s="32"/>
      <c r="OZ2" s="32"/>
      <c r="PA2" s="32"/>
      <c r="PB2" s="32"/>
      <c r="PC2" s="32"/>
      <c r="PD2" s="32"/>
      <c r="PE2" s="32"/>
      <c r="PF2" s="32"/>
      <c r="PG2" s="32"/>
      <c r="PH2" s="32"/>
      <c r="PI2" s="32"/>
      <c r="PJ2" s="32"/>
      <c r="PK2" s="32"/>
      <c r="PL2" s="32"/>
      <c r="PM2" s="32"/>
      <c r="PN2" s="32"/>
      <c r="PO2" s="32"/>
      <c r="PP2" s="32"/>
      <c r="PQ2" s="32"/>
      <c r="PR2" s="32"/>
      <c r="PS2" s="32"/>
      <c r="PT2" s="32"/>
      <c r="PU2" s="32"/>
      <c r="PV2" s="32"/>
      <c r="PW2" s="32"/>
      <c r="PX2" s="32"/>
      <c r="PY2" s="32"/>
      <c r="PZ2" s="32"/>
      <c r="QA2" s="32"/>
      <c r="QB2" s="32"/>
      <c r="QC2" s="32"/>
      <c r="QD2" s="32"/>
      <c r="QE2" s="32"/>
      <c r="QF2" s="32"/>
      <c r="QG2" s="32"/>
      <c r="QH2" s="32"/>
      <c r="QI2" s="32"/>
      <c r="QJ2" s="32"/>
      <c r="QK2" s="32"/>
      <c r="QL2" s="32"/>
      <c r="QM2" s="32"/>
      <c r="QN2" s="32"/>
      <c r="QO2" s="32"/>
      <c r="QP2" s="32"/>
      <c r="QQ2" s="34"/>
      <c r="QR2" s="34"/>
      <c r="QS2" s="34"/>
      <c r="QT2" s="34"/>
      <c r="QU2" s="34"/>
      <c r="QV2" s="34"/>
      <c r="QW2" s="34"/>
      <c r="QX2" s="34"/>
      <c r="QY2" s="34"/>
      <c r="QZ2" s="34"/>
      <c r="RA2" s="32"/>
      <c r="RB2" s="32"/>
      <c r="RC2" s="32"/>
      <c r="RD2" s="32"/>
      <c r="RE2" s="34"/>
      <c r="RF2" s="32"/>
      <c r="RG2" s="32"/>
      <c r="RH2" s="32"/>
      <c r="RI2" s="32"/>
      <c r="RJ2" s="32"/>
      <c r="RK2" s="32"/>
      <c r="RL2" s="32"/>
      <c r="RM2" s="32"/>
      <c r="RN2" s="32"/>
      <c r="RO2" s="32"/>
      <c r="RP2" s="32"/>
      <c r="RQ2" s="32"/>
      <c r="RR2" s="37"/>
      <c r="RS2" s="34"/>
      <c r="RT2" s="34"/>
      <c r="RU2" s="34"/>
      <c r="RV2" s="32"/>
      <c r="RW2" s="32"/>
      <c r="RX2" s="32"/>
      <c r="RY2" s="32"/>
      <c r="RZ2" s="32"/>
      <c r="SA2" s="34"/>
      <c r="SB2" s="34"/>
      <c r="SC2" s="32"/>
      <c r="SD2" s="32"/>
      <c r="SE2" s="32"/>
      <c r="SF2" s="32"/>
      <c r="SG2" s="32"/>
      <c r="SH2" s="29"/>
      <c r="SI2" s="32"/>
      <c r="SJ2" s="32"/>
      <c r="SK2" s="32"/>
      <c r="SL2" s="32"/>
      <c r="SM2" s="32"/>
      <c r="SN2" s="32"/>
      <c r="SO2" s="32"/>
      <c r="SP2" s="32"/>
      <c r="SQ2" s="32"/>
      <c r="SR2" s="32"/>
      <c r="SS2" s="32"/>
      <c r="ST2" s="32"/>
      <c r="SU2" s="32"/>
      <c r="SV2" s="32"/>
      <c r="SW2" s="32"/>
      <c r="SX2" s="32"/>
      <c r="SY2" s="32"/>
      <c r="SZ2" s="32"/>
      <c r="TA2" s="32"/>
      <c r="TB2" s="32"/>
      <c r="TC2" s="32"/>
      <c r="TD2" s="32"/>
      <c r="TE2" s="32"/>
      <c r="TF2" s="32"/>
      <c r="TG2" s="32"/>
      <c r="TH2" s="32"/>
      <c r="TI2" s="29"/>
      <c r="TJ2" s="29"/>
      <c r="TS2" s="32"/>
      <c r="VM2" s="32"/>
      <c r="VN2" s="32"/>
      <c r="VP2" s="406"/>
      <c r="VQ2" s="406"/>
      <c r="VR2" s="406"/>
      <c r="VS2" s="406"/>
      <c r="VT2" s="406"/>
    </row>
    <row r="3" spans="1:597" customFormat="1" ht="43.5" customHeight="1" thickBot="1" x14ac:dyDescent="0.35">
      <c r="A3" s="383"/>
      <c r="B3" s="385" t="s">
        <v>588</v>
      </c>
      <c r="C3" s="375" t="s">
        <v>532</v>
      </c>
      <c r="D3" s="376"/>
      <c r="E3" s="377"/>
      <c r="F3" s="375" t="s">
        <v>533</v>
      </c>
      <c r="G3" s="376"/>
      <c r="H3" s="376"/>
      <c r="I3" s="376"/>
      <c r="J3" s="377"/>
      <c r="K3" s="387" t="s">
        <v>249</v>
      </c>
      <c r="L3" s="372" t="s">
        <v>469</v>
      </c>
      <c r="M3" s="373"/>
      <c r="N3" s="373"/>
      <c r="O3" s="373"/>
      <c r="P3" s="373"/>
      <c r="Q3" s="373"/>
      <c r="R3" s="373"/>
      <c r="S3" s="373"/>
      <c r="T3" s="374"/>
      <c r="U3" s="380" t="s">
        <v>1308</v>
      </c>
      <c r="V3" s="378" t="s">
        <v>1291</v>
      </c>
      <c r="W3" s="400" t="s">
        <v>20</v>
      </c>
      <c r="X3" s="401"/>
      <c r="Y3" s="401"/>
      <c r="Z3" s="402"/>
      <c r="AA3" s="369" t="s">
        <v>1298</v>
      </c>
      <c r="AB3" s="370"/>
      <c r="AC3" s="371" t="s">
        <v>1070</v>
      </c>
      <c r="AD3" s="369"/>
      <c r="AE3" s="370"/>
      <c r="AF3" s="368" t="s">
        <v>1072</v>
      </c>
      <c r="AG3" s="369"/>
      <c r="AH3" s="369"/>
      <c r="AI3" s="370"/>
      <c r="AJ3" s="369" t="s">
        <v>1071</v>
      </c>
      <c r="AK3" s="403"/>
      <c r="AL3" s="347" t="s">
        <v>236</v>
      </c>
      <c r="AM3" s="355"/>
      <c r="AN3" s="355"/>
      <c r="AO3" s="348"/>
      <c r="AP3" s="347" t="s">
        <v>741</v>
      </c>
      <c r="AQ3" s="355"/>
      <c r="AR3" s="348"/>
      <c r="AS3" s="347" t="s">
        <v>1000</v>
      </c>
      <c r="AT3" s="348"/>
      <c r="AU3" s="163"/>
      <c r="AV3" s="163"/>
      <c r="AW3" s="163"/>
      <c r="AX3" s="163"/>
      <c r="AY3" s="349" t="s">
        <v>672</v>
      </c>
      <c r="AZ3" s="350"/>
      <c r="BA3" s="350"/>
      <c r="BB3" s="350"/>
      <c r="BC3" s="350"/>
      <c r="BD3" s="351"/>
      <c r="BE3" s="352" t="s">
        <v>713</v>
      </c>
      <c r="BF3" s="353"/>
      <c r="BG3" s="353"/>
      <c r="BH3" s="353"/>
      <c r="BI3" s="353"/>
      <c r="BJ3" s="354"/>
      <c r="BK3" s="335" t="s">
        <v>394</v>
      </c>
      <c r="BL3" s="336"/>
      <c r="BM3" s="336"/>
      <c r="BN3" s="336"/>
      <c r="BO3" s="336"/>
      <c r="BP3" s="336"/>
      <c r="BQ3" s="336"/>
      <c r="BR3" s="336"/>
      <c r="BS3" s="336"/>
      <c r="BT3" s="336"/>
      <c r="BU3" s="336"/>
      <c r="BV3" s="336"/>
      <c r="BW3" s="336"/>
      <c r="BX3" s="336"/>
      <c r="BY3" s="336"/>
      <c r="BZ3" s="336"/>
      <c r="CA3" s="336"/>
      <c r="CB3" s="336"/>
      <c r="CC3" s="336"/>
      <c r="CD3" s="336"/>
      <c r="CE3" s="336"/>
      <c r="CF3" s="336"/>
      <c r="CG3" s="336"/>
      <c r="CH3" s="337"/>
      <c r="CI3" s="335" t="s">
        <v>353</v>
      </c>
      <c r="CJ3" s="336"/>
      <c r="CK3" s="336"/>
      <c r="CL3" s="336"/>
      <c r="CM3" s="336"/>
      <c r="CN3" s="336"/>
      <c r="CO3" s="336"/>
      <c r="CP3" s="336"/>
      <c r="CQ3" s="336"/>
      <c r="CR3" s="336"/>
      <c r="CS3" s="336"/>
      <c r="CT3" s="337"/>
      <c r="CU3" s="335" t="s">
        <v>354</v>
      </c>
      <c r="CV3" s="336"/>
      <c r="CW3" s="336"/>
      <c r="CX3" s="336"/>
      <c r="CY3" s="336"/>
      <c r="CZ3" s="336"/>
      <c r="DA3" s="336"/>
      <c r="DB3" s="336"/>
      <c r="DC3" s="336"/>
      <c r="DD3" s="337"/>
      <c r="DE3" s="332" t="s">
        <v>355</v>
      </c>
      <c r="DF3" s="333"/>
      <c r="DG3" s="333"/>
      <c r="DH3" s="333"/>
      <c r="DI3" s="333"/>
      <c r="DJ3" s="333"/>
      <c r="DK3" s="333"/>
      <c r="DL3" s="333"/>
      <c r="DM3" s="333"/>
      <c r="DN3" s="333"/>
      <c r="DO3" s="333"/>
      <c r="DP3" s="333"/>
      <c r="DQ3" s="333"/>
      <c r="DR3" s="333"/>
      <c r="DS3" s="333"/>
      <c r="DT3" s="333"/>
      <c r="DU3" s="333"/>
      <c r="DV3" s="333"/>
      <c r="DW3" s="333"/>
      <c r="DX3" s="333"/>
      <c r="DY3" s="333"/>
      <c r="DZ3" s="333"/>
      <c r="EA3" s="333"/>
      <c r="EB3" s="333"/>
      <c r="EC3" s="333"/>
      <c r="ED3" s="334"/>
      <c r="EE3" s="363" t="s">
        <v>651</v>
      </c>
      <c r="EF3" s="361" t="s">
        <v>602</v>
      </c>
      <c r="EG3" s="338" t="s">
        <v>470</v>
      </c>
      <c r="EH3" s="339"/>
      <c r="EI3" s="339"/>
      <c r="EJ3" s="339"/>
      <c r="EK3" s="339"/>
      <c r="EL3" s="339"/>
      <c r="EM3" s="339"/>
      <c r="EN3" s="339"/>
      <c r="EO3" s="339"/>
      <c r="EP3" s="339"/>
      <c r="EQ3" s="339"/>
      <c r="ER3" s="339"/>
      <c r="ES3" s="339"/>
      <c r="ET3" s="339"/>
      <c r="EU3" s="339"/>
      <c r="EV3" s="339"/>
      <c r="EW3" s="339"/>
      <c r="EX3" s="339"/>
      <c r="EY3" s="339"/>
      <c r="EZ3" s="339"/>
      <c r="FA3" s="339"/>
      <c r="FB3" s="339"/>
      <c r="FC3" s="339"/>
      <c r="FD3" s="339"/>
      <c r="FE3" s="339"/>
      <c r="FF3" s="340"/>
      <c r="FG3" s="14"/>
      <c r="FH3" s="14"/>
      <c r="FI3" s="14"/>
      <c r="FJ3" s="14"/>
      <c r="FK3" s="14"/>
      <c r="FL3" s="300"/>
      <c r="FM3" s="14"/>
      <c r="FN3" s="14" t="s">
        <v>1249</v>
      </c>
      <c r="FO3" s="14" t="s">
        <v>1249</v>
      </c>
      <c r="FP3" s="14" t="s">
        <v>1249</v>
      </c>
      <c r="FQ3" s="301"/>
      <c r="FR3" s="14"/>
      <c r="FS3" s="14"/>
      <c r="FT3" s="14"/>
      <c r="FU3" s="14"/>
      <c r="FV3" s="14"/>
      <c r="FW3" s="14"/>
      <c r="FX3" s="14" t="s">
        <v>1249</v>
      </c>
      <c r="FY3" s="14" t="s">
        <v>1249</v>
      </c>
      <c r="FZ3" s="335" t="s">
        <v>20</v>
      </c>
      <c r="GA3" s="336"/>
      <c r="GB3" s="336"/>
      <c r="GC3" s="336"/>
      <c r="GD3" s="336"/>
      <c r="GE3" s="336"/>
      <c r="GF3" s="336"/>
      <c r="GG3" s="336"/>
      <c r="GH3" s="336"/>
      <c r="GI3" s="336"/>
      <c r="GJ3" s="336"/>
      <c r="GK3" s="336"/>
      <c r="GL3" s="336"/>
      <c r="GM3" s="336"/>
      <c r="GN3" s="336"/>
      <c r="GO3" s="337"/>
      <c r="GP3" s="335" t="s">
        <v>37</v>
      </c>
      <c r="GQ3" s="336"/>
      <c r="GR3" s="336"/>
      <c r="GS3" s="336"/>
      <c r="GT3" s="336"/>
      <c r="GU3" s="336"/>
      <c r="GV3" s="336"/>
      <c r="GW3" s="336"/>
      <c r="GX3" s="336"/>
      <c r="GY3" s="336"/>
      <c r="GZ3" s="336"/>
      <c r="HA3" s="336"/>
      <c r="HB3" s="337"/>
      <c r="HC3" s="338" t="s">
        <v>165</v>
      </c>
      <c r="HD3" s="339"/>
      <c r="HE3" s="339"/>
      <c r="HF3" s="357" t="s">
        <v>1047</v>
      </c>
      <c r="HG3" s="358"/>
      <c r="HH3" s="358"/>
      <c r="HI3" s="358"/>
      <c r="HJ3" s="80" t="s">
        <v>522</v>
      </c>
      <c r="HK3" s="49"/>
      <c r="HL3" s="49"/>
      <c r="HM3" s="49"/>
      <c r="HN3" s="49"/>
      <c r="HO3" s="49"/>
      <c r="HP3" s="49"/>
      <c r="HQ3" s="49"/>
      <c r="HR3" s="49"/>
      <c r="HS3" s="49"/>
      <c r="HT3" s="49"/>
      <c r="HU3" s="49"/>
      <c r="HV3" s="49"/>
      <c r="HW3" s="49"/>
      <c r="HX3" s="49"/>
      <c r="HY3" s="49"/>
      <c r="HZ3" s="49"/>
      <c r="IA3" s="49"/>
      <c r="IB3" s="49"/>
      <c r="IC3" s="49"/>
      <c r="ID3" s="49"/>
      <c r="IE3" s="49"/>
      <c r="IF3" s="49"/>
      <c r="IG3" s="49"/>
      <c r="IH3" s="49"/>
      <c r="II3" s="49"/>
      <c r="IJ3" s="49"/>
      <c r="IK3" s="49"/>
      <c r="IL3" s="396" t="s">
        <v>512</v>
      </c>
      <c r="IM3" s="397"/>
      <c r="IN3" s="397"/>
      <c r="IO3" s="397"/>
      <c r="IP3" s="397"/>
      <c r="IQ3" s="397"/>
      <c r="IR3" s="397"/>
      <c r="IS3" s="397"/>
      <c r="IT3" s="397"/>
      <c r="IU3" s="397"/>
      <c r="IV3" s="397"/>
      <c r="IW3" s="397"/>
      <c r="IX3" s="397"/>
      <c r="IY3" s="397"/>
      <c r="IZ3" s="397"/>
      <c r="JA3" s="398"/>
      <c r="JB3" s="321"/>
      <c r="JC3" s="321"/>
      <c r="JD3" s="393" t="s">
        <v>457</v>
      </c>
      <c r="JE3" s="394"/>
      <c r="JF3" s="394"/>
      <c r="JG3" s="394"/>
      <c r="JH3" s="395"/>
      <c r="JI3" s="393" t="s">
        <v>584</v>
      </c>
      <c r="JJ3" s="394"/>
      <c r="JK3" s="394"/>
      <c r="JL3" s="394"/>
      <c r="JM3" s="394"/>
      <c r="JN3" s="395"/>
      <c r="JO3" s="344" t="s">
        <v>267</v>
      </c>
      <c r="JP3" s="345"/>
      <c r="JQ3" s="345"/>
      <c r="JR3" s="345"/>
      <c r="JS3" s="345"/>
      <c r="JT3" s="345"/>
      <c r="JU3" s="346"/>
      <c r="JV3" s="349" t="s">
        <v>672</v>
      </c>
      <c r="JW3" s="350"/>
      <c r="JX3" s="350"/>
      <c r="JY3" s="350"/>
      <c r="JZ3" s="350"/>
      <c r="KA3" s="350"/>
      <c r="KB3" s="350"/>
      <c r="KC3" s="350"/>
      <c r="KD3" s="350"/>
      <c r="KE3" s="350"/>
      <c r="KF3" s="350"/>
      <c r="KG3" s="350"/>
      <c r="KH3" s="350"/>
      <c r="KI3" s="350"/>
      <c r="KJ3" s="350"/>
      <c r="KK3" s="350"/>
      <c r="KL3" s="350"/>
      <c r="KM3" s="350"/>
      <c r="KN3" s="349" t="s">
        <v>163</v>
      </c>
      <c r="KO3" s="350"/>
      <c r="KP3" s="350"/>
      <c r="KQ3" s="350"/>
      <c r="KR3" s="350"/>
      <c r="KS3" s="350"/>
      <c r="KT3" s="350"/>
      <c r="KU3" s="350"/>
      <c r="KV3" s="350"/>
      <c r="KW3" s="350"/>
      <c r="KX3" s="350"/>
      <c r="KY3" s="350"/>
      <c r="KZ3" s="350"/>
      <c r="LA3" s="350"/>
      <c r="LB3" s="351"/>
      <c r="LC3" s="349" t="s">
        <v>164</v>
      </c>
      <c r="LD3" s="350"/>
      <c r="LE3" s="350"/>
      <c r="LF3" s="350"/>
      <c r="LG3" s="350"/>
      <c r="LH3" s="350"/>
      <c r="LI3" s="350"/>
      <c r="LJ3" s="350"/>
      <c r="LK3" s="350"/>
      <c r="LL3" s="350"/>
      <c r="LM3" s="350"/>
      <c r="LN3" s="350"/>
      <c r="LO3" s="350"/>
      <c r="LP3" s="350"/>
      <c r="LQ3" s="350"/>
      <c r="LR3" s="350"/>
      <c r="LS3" s="350"/>
      <c r="LT3" s="350"/>
      <c r="LU3" s="350"/>
      <c r="LV3" s="350"/>
      <c r="LW3" s="350"/>
      <c r="LX3" s="350"/>
      <c r="LY3" s="351"/>
      <c r="LZ3" s="275" t="s">
        <v>713</v>
      </c>
      <c r="MA3" s="276"/>
      <c r="MB3" s="276"/>
      <c r="MC3" s="276"/>
      <c r="MD3" s="276"/>
      <c r="ME3" s="276"/>
      <c r="MF3" s="276"/>
      <c r="MG3" s="276"/>
      <c r="MH3" s="276"/>
      <c r="MI3" s="276"/>
      <c r="MJ3" s="276"/>
      <c r="MK3" s="276"/>
      <c r="ML3" s="276"/>
      <c r="MM3" s="276"/>
      <c r="MN3" s="276"/>
      <c r="MO3" s="276"/>
      <c r="MP3" s="276"/>
      <c r="MQ3" s="276"/>
      <c r="MR3" s="276"/>
      <c r="MS3" s="276"/>
      <c r="MT3" s="276"/>
      <c r="MU3" s="276"/>
      <c r="MV3" s="276"/>
      <c r="MW3" s="276"/>
      <c r="MX3" s="276"/>
      <c r="MY3" s="276"/>
      <c r="MZ3" s="276"/>
      <c r="NA3" s="276"/>
      <c r="NB3" s="276"/>
      <c r="NC3" s="276"/>
      <c r="ND3" s="276"/>
      <c r="NE3" s="277"/>
      <c r="NF3" s="352" t="s">
        <v>679</v>
      </c>
      <c r="NG3" s="353"/>
      <c r="NH3" s="353"/>
      <c r="NI3" s="353"/>
      <c r="NJ3" s="353"/>
      <c r="NK3" s="353"/>
      <c r="NL3" s="353"/>
      <c r="NM3" s="353"/>
      <c r="NN3" s="353"/>
      <c r="NO3" s="353"/>
      <c r="NP3" s="353"/>
      <c r="NQ3" s="353"/>
      <c r="NR3" s="353"/>
      <c r="NS3" s="353"/>
      <c r="NT3" s="353"/>
      <c r="NU3" s="354"/>
      <c r="NV3" s="352" t="s">
        <v>680</v>
      </c>
      <c r="NW3" s="353"/>
      <c r="NX3" s="353"/>
      <c r="NY3" s="353"/>
      <c r="NZ3" s="353"/>
      <c r="OA3" s="353"/>
      <c r="OB3" s="353"/>
      <c r="OC3" s="353"/>
      <c r="OD3" s="353"/>
      <c r="OE3" s="353"/>
      <c r="OF3" s="353"/>
      <c r="OG3" s="353"/>
      <c r="OH3" s="353"/>
      <c r="OI3" s="353"/>
      <c r="OJ3" s="353"/>
      <c r="OK3" s="353"/>
      <c r="OL3" s="353"/>
      <c r="OM3" s="353"/>
      <c r="ON3" s="354"/>
      <c r="OO3" s="349" t="s">
        <v>905</v>
      </c>
      <c r="OP3" s="350"/>
      <c r="OQ3" s="350"/>
      <c r="OR3" s="350"/>
      <c r="OS3" s="350"/>
      <c r="OT3" s="350"/>
      <c r="OU3" s="350"/>
      <c r="OV3" s="350"/>
      <c r="OW3" s="350"/>
      <c r="OX3" s="351"/>
      <c r="OY3" s="349" t="s">
        <v>904</v>
      </c>
      <c r="OZ3" s="350"/>
      <c r="PA3" s="350"/>
      <c r="PB3" s="351"/>
      <c r="PC3" s="365" t="s">
        <v>756</v>
      </c>
      <c r="PD3" s="366"/>
      <c r="PE3" s="366"/>
      <c r="PF3" s="366"/>
      <c r="PG3" s="366"/>
      <c r="PH3" s="366"/>
      <c r="PI3" s="366"/>
      <c r="PJ3" s="366"/>
      <c r="PK3" s="366"/>
      <c r="PL3" s="366"/>
      <c r="PM3" s="366"/>
      <c r="PN3" s="366"/>
      <c r="PO3" s="366"/>
      <c r="PP3" s="366"/>
      <c r="PQ3" s="366"/>
      <c r="PR3" s="366"/>
      <c r="PS3" s="366"/>
      <c r="PT3" s="367"/>
      <c r="PU3" s="338" t="s">
        <v>678</v>
      </c>
      <c r="PV3" s="339"/>
      <c r="PW3" s="339"/>
      <c r="PX3" s="339"/>
      <c r="PY3" s="339"/>
      <c r="PZ3" s="339"/>
      <c r="QA3" s="339"/>
      <c r="QB3" s="339"/>
      <c r="QC3" s="339"/>
      <c r="QD3" s="339"/>
      <c r="QE3" s="339"/>
      <c r="QF3" s="339"/>
      <c r="QG3" s="339"/>
      <c r="QH3" s="339"/>
      <c r="QI3" s="339"/>
      <c r="QJ3" s="339"/>
      <c r="QK3" s="339"/>
      <c r="QL3" s="339"/>
      <c r="QM3" s="339"/>
      <c r="QN3" s="339"/>
      <c r="QO3" s="339"/>
      <c r="QP3" s="339"/>
      <c r="QQ3" s="339"/>
      <c r="QR3" s="339"/>
      <c r="QS3" s="339"/>
      <c r="QT3" s="178"/>
      <c r="QU3" s="336" t="s">
        <v>227</v>
      </c>
      <c r="QV3" s="336"/>
      <c r="QW3" s="336"/>
      <c r="QX3" s="336"/>
      <c r="QY3" s="336"/>
      <c r="QZ3" s="336"/>
      <c r="RA3" s="336"/>
      <c r="RB3" s="336"/>
      <c r="RC3" s="336"/>
      <c r="RD3" s="336"/>
      <c r="RE3" s="336"/>
      <c r="RF3" s="336"/>
      <c r="RG3" s="336"/>
      <c r="RH3" s="336"/>
      <c r="RI3" s="337"/>
      <c r="RJ3" s="341" t="s">
        <v>1192</v>
      </c>
      <c r="RK3" s="342"/>
      <c r="RL3" s="342"/>
      <c r="RM3" s="342"/>
      <c r="RN3" s="342"/>
      <c r="RO3" s="342"/>
      <c r="RP3" s="342"/>
      <c r="RQ3" s="342"/>
      <c r="RR3" s="335" t="s">
        <v>228</v>
      </c>
      <c r="RS3" s="336"/>
      <c r="RT3" s="336"/>
      <c r="RU3" s="336"/>
      <c r="RV3" s="336"/>
      <c r="RW3" s="336"/>
      <c r="RX3" s="336"/>
      <c r="RY3" s="336"/>
      <c r="RZ3" s="336"/>
      <c r="SA3" s="336"/>
      <c r="SB3" s="336"/>
      <c r="SC3" s="336"/>
      <c r="SD3" s="336"/>
      <c r="SE3" s="336"/>
      <c r="SF3" s="336"/>
      <c r="SG3" s="336"/>
      <c r="SH3" s="336"/>
      <c r="SI3" s="337"/>
      <c r="SJ3" s="341" t="s">
        <v>932</v>
      </c>
      <c r="SK3" s="342"/>
      <c r="SL3" s="342"/>
      <c r="SM3" s="342"/>
      <c r="SN3" s="342"/>
      <c r="SO3" s="342"/>
      <c r="SP3" s="342"/>
      <c r="SQ3" s="343"/>
      <c r="SR3" s="297"/>
      <c r="SS3" s="297"/>
      <c r="ST3" s="297"/>
      <c r="SU3" s="297"/>
      <c r="SV3" s="297"/>
      <c r="SW3" s="335" t="s">
        <v>229</v>
      </c>
      <c r="SX3" s="336"/>
      <c r="SY3" s="336"/>
      <c r="SZ3" s="336"/>
      <c r="TA3" s="336"/>
      <c r="TB3" s="336"/>
      <c r="TC3" s="336"/>
      <c r="TD3" s="336"/>
      <c r="TE3" s="336"/>
      <c r="TF3" s="336"/>
      <c r="TG3" s="336"/>
      <c r="TH3" s="336"/>
      <c r="TI3" s="336"/>
      <c r="TJ3" s="336"/>
      <c r="TK3" s="336"/>
      <c r="TL3" s="336"/>
      <c r="TM3" s="336"/>
      <c r="TN3" s="336"/>
      <c r="TO3" s="337"/>
      <c r="TP3" s="335" t="s">
        <v>235</v>
      </c>
      <c r="TQ3" s="336"/>
      <c r="TR3" s="336"/>
      <c r="TS3" s="336"/>
      <c r="TT3" s="336"/>
      <c r="TU3" s="336"/>
      <c r="TV3" s="336"/>
      <c r="TW3" s="336"/>
      <c r="TX3" s="336"/>
      <c r="TY3" s="336"/>
      <c r="TZ3" s="336"/>
      <c r="UA3" s="336"/>
      <c r="UB3" s="336"/>
      <c r="UC3" s="336"/>
      <c r="UD3" s="336"/>
      <c r="UE3" s="337"/>
      <c r="UF3" s="13"/>
      <c r="UG3" s="13"/>
      <c r="UH3" s="13"/>
      <c r="UI3" s="13"/>
      <c r="UJ3" s="14" t="s">
        <v>1238</v>
      </c>
      <c r="UK3" s="338" t="s">
        <v>740</v>
      </c>
      <c r="UL3" s="339"/>
      <c r="UM3" s="339"/>
      <c r="UN3" s="339"/>
      <c r="UO3" s="339"/>
      <c r="UP3" s="339"/>
      <c r="UQ3" s="339"/>
      <c r="UR3" s="339"/>
      <c r="US3" s="339"/>
      <c r="UT3" s="340"/>
      <c r="UU3" s="328"/>
      <c r="UV3" s="344" t="s">
        <v>1085</v>
      </c>
      <c r="UW3" s="345"/>
      <c r="UX3" s="345"/>
      <c r="UY3" s="345"/>
      <c r="UZ3" s="345"/>
      <c r="VA3" s="338" t="s">
        <v>948</v>
      </c>
      <c r="VB3" s="339"/>
      <c r="VC3" s="339"/>
      <c r="VD3" s="339"/>
      <c r="VE3" s="339"/>
      <c r="VF3" s="339"/>
      <c r="VG3" s="339"/>
      <c r="VH3" s="340"/>
      <c r="VI3" s="335" t="s">
        <v>572</v>
      </c>
      <c r="VJ3" s="336"/>
      <c r="VK3" s="336"/>
      <c r="VL3" s="336"/>
      <c r="VM3" s="336"/>
      <c r="VN3" s="336"/>
      <c r="VO3" s="337"/>
      <c r="VP3" s="407"/>
      <c r="VQ3" s="407"/>
      <c r="VR3" s="407"/>
      <c r="VS3" s="407"/>
      <c r="VT3" s="407"/>
      <c r="VX3" s="326"/>
    </row>
    <row r="4" spans="1:597" customFormat="1" ht="129.6" customHeight="1" x14ac:dyDescent="0.3">
      <c r="A4" s="384"/>
      <c r="B4" s="386"/>
      <c r="C4" s="57" t="s">
        <v>499</v>
      </c>
      <c r="D4" s="58" t="s">
        <v>498</v>
      </c>
      <c r="E4" s="59" t="s">
        <v>49</v>
      </c>
      <c r="F4" s="57" t="s">
        <v>50</v>
      </c>
      <c r="G4" s="58" t="s">
        <v>44</v>
      </c>
      <c r="H4" s="16" t="s">
        <v>933</v>
      </c>
      <c r="I4" s="63" t="s">
        <v>350</v>
      </c>
      <c r="J4" s="60" t="s">
        <v>1216</v>
      </c>
      <c r="K4" s="388"/>
      <c r="L4" s="57" t="s">
        <v>1138</v>
      </c>
      <c r="M4" s="58" t="s">
        <v>2</v>
      </c>
      <c r="N4" s="58" t="s">
        <v>1</v>
      </c>
      <c r="O4" s="61" t="s">
        <v>237</v>
      </c>
      <c r="P4" s="61" t="s">
        <v>468</v>
      </c>
      <c r="Q4" s="61" t="s">
        <v>482</v>
      </c>
      <c r="R4" s="58" t="s">
        <v>412</v>
      </c>
      <c r="S4" s="58" t="s">
        <v>413</v>
      </c>
      <c r="T4" s="59" t="s">
        <v>608</v>
      </c>
      <c r="U4" s="381"/>
      <c r="V4" s="379"/>
      <c r="W4" s="317" t="s">
        <v>404</v>
      </c>
      <c r="X4" s="61" t="s">
        <v>1254</v>
      </c>
      <c r="Y4" s="316" t="s">
        <v>1255</v>
      </c>
      <c r="Z4" s="107" t="s">
        <v>1253</v>
      </c>
      <c r="AA4" s="61" t="s">
        <v>1283</v>
      </c>
      <c r="AB4" s="61" t="s">
        <v>1087</v>
      </c>
      <c r="AC4" s="57" t="s">
        <v>1163</v>
      </c>
      <c r="AD4" s="58" t="s">
        <v>1073</v>
      </c>
      <c r="AE4" s="61" t="s">
        <v>1176</v>
      </c>
      <c r="AF4" s="171" t="s">
        <v>1074</v>
      </c>
      <c r="AG4" s="58" t="s">
        <v>1075</v>
      </c>
      <c r="AH4" s="61" t="s">
        <v>1077</v>
      </c>
      <c r="AI4" s="210" t="s">
        <v>1078</v>
      </c>
      <c r="AJ4" s="58" t="s">
        <v>1076</v>
      </c>
      <c r="AK4" s="106" t="s">
        <v>833</v>
      </c>
      <c r="AL4" s="98" t="s">
        <v>742</v>
      </c>
      <c r="AM4" s="61" t="s">
        <v>743</v>
      </c>
      <c r="AN4" s="61" t="s">
        <v>1011</v>
      </c>
      <c r="AO4" s="61" t="s">
        <v>1012</v>
      </c>
      <c r="AP4" s="98" t="s">
        <v>725</v>
      </c>
      <c r="AQ4" s="61" t="s">
        <v>727</v>
      </c>
      <c r="AR4" s="107" t="s">
        <v>726</v>
      </c>
      <c r="AS4" s="98" t="s">
        <v>878</v>
      </c>
      <c r="AT4" s="107" t="s">
        <v>999</v>
      </c>
      <c r="AU4" s="16" t="s">
        <v>415</v>
      </c>
      <c r="AV4" s="16" t="s">
        <v>608</v>
      </c>
      <c r="AW4" s="15" t="s">
        <v>970</v>
      </c>
      <c r="AX4" s="162" t="s">
        <v>977</v>
      </c>
      <c r="AY4" s="69" t="s">
        <v>800</v>
      </c>
      <c r="AZ4" s="22" t="s">
        <v>801</v>
      </c>
      <c r="BA4" s="22" t="s">
        <v>908</v>
      </c>
      <c r="BB4" s="15" t="s">
        <v>802</v>
      </c>
      <c r="BC4" s="22" t="s">
        <v>803</v>
      </c>
      <c r="BD4" s="115" t="s">
        <v>909</v>
      </c>
      <c r="BE4" s="69" t="s">
        <v>866</v>
      </c>
      <c r="BF4" s="22" t="s">
        <v>711</v>
      </c>
      <c r="BG4" s="22" t="s">
        <v>912</v>
      </c>
      <c r="BH4" s="15" t="s">
        <v>842</v>
      </c>
      <c r="BI4" s="22" t="s">
        <v>712</v>
      </c>
      <c r="BJ4" s="115" t="s">
        <v>913</v>
      </c>
      <c r="BK4" s="16" t="s">
        <v>416</v>
      </c>
      <c r="BL4" s="16" t="s">
        <v>417</v>
      </c>
      <c r="BM4" s="16" t="s">
        <v>418</v>
      </c>
      <c r="BN4" s="16" t="s">
        <v>419</v>
      </c>
      <c r="BO4" s="16" t="s">
        <v>268</v>
      </c>
      <c r="BP4" s="16" t="s">
        <v>254</v>
      </c>
      <c r="BQ4" s="16" t="s">
        <v>656</v>
      </c>
      <c r="BR4" s="16" t="s">
        <v>655</v>
      </c>
      <c r="BS4" s="16" t="s">
        <v>629</v>
      </c>
      <c r="BT4" s="16" t="s">
        <v>599</v>
      </c>
      <c r="BU4" s="16" t="s">
        <v>351</v>
      </c>
      <c r="BV4" s="16" t="s">
        <v>600</v>
      </c>
      <c r="BW4" s="16" t="s">
        <v>601</v>
      </c>
      <c r="BX4" s="162" t="s">
        <v>1292</v>
      </c>
      <c r="BY4" s="16" t="s">
        <v>250</v>
      </c>
      <c r="BZ4" s="16" t="s">
        <v>238</v>
      </c>
      <c r="CA4" s="16" t="s">
        <v>411</v>
      </c>
      <c r="CB4" s="16" t="s">
        <v>48</v>
      </c>
      <c r="CC4" s="16" t="s">
        <v>857</v>
      </c>
      <c r="CD4" s="16" t="s">
        <v>41</v>
      </c>
      <c r="CE4" s="16" t="s">
        <v>38</v>
      </c>
      <c r="CF4" s="16" t="s">
        <v>5</v>
      </c>
      <c r="CG4" s="16" t="s">
        <v>1295</v>
      </c>
      <c r="CH4" s="16" t="s">
        <v>1296</v>
      </c>
      <c r="CI4" s="69" t="s">
        <v>356</v>
      </c>
      <c r="CJ4" s="18" t="s">
        <v>55</v>
      </c>
      <c r="CK4" s="18" t="s">
        <v>357</v>
      </c>
      <c r="CL4" s="18" t="s">
        <v>358</v>
      </c>
      <c r="CM4" s="18" t="s">
        <v>359</v>
      </c>
      <c r="CN4" s="18" t="s">
        <v>360</v>
      </c>
      <c r="CO4" s="18" t="s">
        <v>361</v>
      </c>
      <c r="CP4" s="18" t="s">
        <v>362</v>
      </c>
      <c r="CQ4" s="18" t="s">
        <v>363</v>
      </c>
      <c r="CR4" s="18" t="s">
        <v>339</v>
      </c>
      <c r="CS4" s="18" t="s">
        <v>364</v>
      </c>
      <c r="CT4" s="83" t="s">
        <v>365</v>
      </c>
      <c r="CU4" s="69" t="s">
        <v>366</v>
      </c>
      <c r="CV4" s="16" t="s">
        <v>357</v>
      </c>
      <c r="CW4" s="16" t="s">
        <v>358</v>
      </c>
      <c r="CX4" s="16" t="s">
        <v>359</v>
      </c>
      <c r="CY4" s="16" t="s">
        <v>360</v>
      </c>
      <c r="CZ4" s="16" t="s">
        <v>361</v>
      </c>
      <c r="DA4" s="16" t="s">
        <v>362</v>
      </c>
      <c r="DB4" s="16" t="s">
        <v>363</v>
      </c>
      <c r="DC4" s="16" t="s">
        <v>367</v>
      </c>
      <c r="DD4" s="82" t="s">
        <v>55</v>
      </c>
      <c r="DE4" s="69" t="s">
        <v>368</v>
      </c>
      <c r="DF4" s="15" t="s">
        <v>591</v>
      </c>
      <c r="DG4" s="15" t="s">
        <v>787</v>
      </c>
      <c r="DH4" s="15" t="s">
        <v>786</v>
      </c>
      <c r="DI4" s="103" t="s">
        <v>766</v>
      </c>
      <c r="DJ4" s="103" t="s">
        <v>766</v>
      </c>
      <c r="DK4" s="103" t="s">
        <v>767</v>
      </c>
      <c r="DL4" s="103" t="s">
        <v>767</v>
      </c>
      <c r="DM4" s="103" t="s">
        <v>768</v>
      </c>
      <c r="DN4" s="103" t="s">
        <v>768</v>
      </c>
      <c r="DO4" s="103" t="s">
        <v>769</v>
      </c>
      <c r="DP4" s="103" t="s">
        <v>769</v>
      </c>
      <c r="DQ4" s="103" t="s">
        <v>783</v>
      </c>
      <c r="DR4" s="103" t="s">
        <v>783</v>
      </c>
      <c r="DS4" s="103" t="s">
        <v>783</v>
      </c>
      <c r="DT4" s="103" t="s">
        <v>791</v>
      </c>
      <c r="DU4" s="103" t="s">
        <v>783</v>
      </c>
      <c r="DV4" s="103" t="s">
        <v>791</v>
      </c>
      <c r="DW4" s="103" t="s">
        <v>783</v>
      </c>
      <c r="DX4" s="103" t="s">
        <v>783</v>
      </c>
      <c r="DY4" s="16" t="s">
        <v>357</v>
      </c>
      <c r="DZ4" s="16" t="s">
        <v>358</v>
      </c>
      <c r="EA4" s="16" t="s">
        <v>361</v>
      </c>
      <c r="EB4" s="16" t="s">
        <v>359</v>
      </c>
      <c r="EC4" s="16" t="s">
        <v>603</v>
      </c>
      <c r="ED4" s="82" t="s">
        <v>603</v>
      </c>
      <c r="EE4" s="364"/>
      <c r="EF4" s="362"/>
      <c r="EG4" s="69" t="s">
        <v>472</v>
      </c>
      <c r="EH4" s="15" t="s">
        <v>1251</v>
      </c>
      <c r="EI4" s="15" t="s">
        <v>1256</v>
      </c>
      <c r="EJ4" s="15" t="s">
        <v>965</v>
      </c>
      <c r="EK4" s="15" t="s">
        <v>471</v>
      </c>
      <c r="EL4" s="15" t="s">
        <v>561</v>
      </c>
      <c r="EM4" s="15" t="s">
        <v>274</v>
      </c>
      <c r="EN4" s="15" t="s">
        <v>586</v>
      </c>
      <c r="EO4" s="15" t="s">
        <v>580</v>
      </c>
      <c r="EP4" s="15" t="s">
        <v>581</v>
      </c>
      <c r="EQ4" s="15" t="s">
        <v>582</v>
      </c>
      <c r="ER4" s="15" t="s">
        <v>584</v>
      </c>
      <c r="ES4" s="358" t="s">
        <v>458</v>
      </c>
      <c r="ET4" s="358"/>
      <c r="EU4" s="358"/>
      <c r="EV4" s="358"/>
      <c r="EW4" s="358"/>
      <c r="EX4" s="358"/>
      <c r="EY4" s="358"/>
      <c r="EZ4" s="358"/>
      <c r="FA4" s="358"/>
      <c r="FB4" s="358"/>
      <c r="FC4" s="358"/>
      <c r="FD4" s="358"/>
      <c r="FE4" s="358"/>
      <c r="FF4" s="399"/>
      <c r="FG4" s="22" t="s">
        <v>409</v>
      </c>
      <c r="FH4" s="22" t="s">
        <v>1303</v>
      </c>
      <c r="FI4" s="22" t="s">
        <v>1301</v>
      </c>
      <c r="FJ4" s="103" t="s">
        <v>534</v>
      </c>
      <c r="FK4" s="15" t="s">
        <v>534</v>
      </c>
      <c r="FL4" s="302" t="s">
        <v>535</v>
      </c>
      <c r="FM4" s="63" t="s">
        <v>607</v>
      </c>
      <c r="FN4" s="63" t="s">
        <v>1240</v>
      </c>
      <c r="FO4" s="63" t="s">
        <v>1242</v>
      </c>
      <c r="FP4" s="63" t="s">
        <v>1247</v>
      </c>
      <c r="FQ4" s="313" t="s">
        <v>1219</v>
      </c>
      <c r="FR4" s="103" t="s">
        <v>1221</v>
      </c>
      <c r="FS4" s="103" t="s">
        <v>1218</v>
      </c>
      <c r="FT4" s="103" t="s">
        <v>1234</v>
      </c>
      <c r="FU4" s="103" t="s">
        <v>1227</v>
      </c>
      <c r="FV4" s="103" t="s">
        <v>1231</v>
      </c>
      <c r="FW4" s="103" t="s">
        <v>1232</v>
      </c>
      <c r="FX4" s="63" t="s">
        <v>1245</v>
      </c>
      <c r="FY4" s="63" t="s">
        <v>1246</v>
      </c>
      <c r="FZ4" s="76" t="s">
        <v>7</v>
      </c>
      <c r="GA4" s="16" t="s">
        <v>19</v>
      </c>
      <c r="GB4" s="16" t="s">
        <v>12</v>
      </c>
      <c r="GC4" s="16" t="s">
        <v>13</v>
      </c>
      <c r="GD4" s="16" t="s">
        <v>14</v>
      </c>
      <c r="GE4" s="16" t="s">
        <v>15</v>
      </c>
      <c r="GF4" s="16" t="s">
        <v>34</v>
      </c>
      <c r="GG4" s="16" t="s">
        <v>16</v>
      </c>
      <c r="GH4" s="16" t="s">
        <v>17</v>
      </c>
      <c r="GI4" s="15" t="s">
        <v>18</v>
      </c>
      <c r="GJ4" s="15" t="s">
        <v>547</v>
      </c>
      <c r="GK4" s="15" t="s">
        <v>397</v>
      </c>
      <c r="GL4" s="15" t="s">
        <v>464</v>
      </c>
      <c r="GM4" s="15" t="s">
        <v>465</v>
      </c>
      <c r="GN4" s="15" t="s">
        <v>467</v>
      </c>
      <c r="GO4" s="74" t="s">
        <v>466</v>
      </c>
      <c r="GP4" s="76" t="s">
        <v>473</v>
      </c>
      <c r="GQ4" s="16" t="s">
        <v>475</v>
      </c>
      <c r="GR4" s="16" t="s">
        <v>23</v>
      </c>
      <c r="GS4" s="16" t="s">
        <v>24</v>
      </c>
      <c r="GT4" s="16" t="s">
        <v>25</v>
      </c>
      <c r="GU4" s="16" t="s">
        <v>22</v>
      </c>
      <c r="GV4" s="16" t="s">
        <v>26</v>
      </c>
      <c r="GW4" s="16" t="s">
        <v>33</v>
      </c>
      <c r="GX4" s="16" t="s">
        <v>27</v>
      </c>
      <c r="GY4" s="15" t="s">
        <v>459</v>
      </c>
      <c r="GZ4" s="16" t="s">
        <v>29</v>
      </c>
      <c r="HA4" s="15" t="s">
        <v>32</v>
      </c>
      <c r="HB4" s="74" t="s">
        <v>549</v>
      </c>
      <c r="HC4" s="69" t="s">
        <v>43</v>
      </c>
      <c r="HD4" s="15" t="s">
        <v>545</v>
      </c>
      <c r="HE4" s="15" t="s">
        <v>425</v>
      </c>
      <c r="HF4" s="171" t="s">
        <v>1044</v>
      </c>
      <c r="HG4" s="15"/>
      <c r="HH4" s="15"/>
      <c r="HI4" s="15"/>
      <c r="HJ4" s="15" t="s">
        <v>506</v>
      </c>
      <c r="HK4" s="15" t="s">
        <v>507</v>
      </c>
      <c r="HL4" s="15" t="s">
        <v>503</v>
      </c>
      <c r="HM4" s="15" t="s">
        <v>504</v>
      </c>
      <c r="HN4" s="15" t="s">
        <v>478</v>
      </c>
      <c r="HO4" s="15" t="s">
        <v>479</v>
      </c>
      <c r="HP4" s="22" t="s">
        <v>528</v>
      </c>
      <c r="HQ4" s="15" t="s">
        <v>485</v>
      </c>
      <c r="HR4" s="15" t="s">
        <v>490</v>
      </c>
      <c r="HS4" s="22" t="s">
        <v>526</v>
      </c>
      <c r="HT4" s="22" t="s">
        <v>527</v>
      </c>
      <c r="HU4" s="15" t="s">
        <v>529</v>
      </c>
      <c r="HV4" s="27" t="s">
        <v>530</v>
      </c>
      <c r="HW4" s="17" t="s">
        <v>518</v>
      </c>
      <c r="HX4" s="15" t="s">
        <v>517</v>
      </c>
      <c r="HY4" s="15" t="s">
        <v>519</v>
      </c>
      <c r="HZ4" s="19" t="s">
        <v>521</v>
      </c>
      <c r="IA4" s="15" t="s">
        <v>520</v>
      </c>
      <c r="IB4" s="15" t="s">
        <v>495</v>
      </c>
      <c r="IC4" s="15" t="s">
        <v>995</v>
      </c>
      <c r="ID4" s="15" t="s">
        <v>495</v>
      </c>
      <c r="IE4" s="15" t="s">
        <v>509</v>
      </c>
      <c r="IF4" s="15" t="s">
        <v>516</v>
      </c>
      <c r="IG4" s="15" t="s">
        <v>502</v>
      </c>
      <c r="IH4" s="15" t="s">
        <v>426</v>
      </c>
      <c r="II4" s="15" t="s">
        <v>493</v>
      </c>
      <c r="IJ4" s="15" t="s">
        <v>492</v>
      </c>
      <c r="IK4" s="15" t="s">
        <v>491</v>
      </c>
      <c r="IL4" s="69" t="s">
        <v>512</v>
      </c>
      <c r="IM4" s="15" t="s">
        <v>555</v>
      </c>
      <c r="IN4" s="15" t="s">
        <v>556</v>
      </c>
      <c r="IO4" s="15" t="s">
        <v>557</v>
      </c>
      <c r="IP4" s="15" t="s">
        <v>558</v>
      </c>
      <c r="IQ4" s="15" t="s">
        <v>559</v>
      </c>
      <c r="IR4" s="15" t="s">
        <v>746</v>
      </c>
      <c r="IS4" s="15" t="s">
        <v>744</v>
      </c>
      <c r="IT4" s="15" t="s">
        <v>745</v>
      </c>
      <c r="IU4" s="15" t="s">
        <v>920</v>
      </c>
      <c r="IV4" s="15" t="s">
        <v>921</v>
      </c>
      <c r="IW4" s="15" t="s">
        <v>513</v>
      </c>
      <c r="IX4" s="15" t="s">
        <v>514</v>
      </c>
      <c r="IY4" s="22" t="s">
        <v>876</v>
      </c>
      <c r="IZ4" s="22" t="s">
        <v>877</v>
      </c>
      <c r="JA4" s="74" t="s">
        <v>923</v>
      </c>
      <c r="JB4" s="22" t="s">
        <v>1271</v>
      </c>
      <c r="JC4" s="22" t="s">
        <v>1272</v>
      </c>
      <c r="JD4" s="69" t="s">
        <v>452</v>
      </c>
      <c r="JE4" s="15" t="s">
        <v>453</v>
      </c>
      <c r="JF4" s="15" t="s">
        <v>454</v>
      </c>
      <c r="JG4" s="15" t="s">
        <v>455</v>
      </c>
      <c r="JH4" s="74" t="s">
        <v>456</v>
      </c>
      <c r="JI4" s="17" t="s">
        <v>1036</v>
      </c>
      <c r="JJ4" s="200" t="s">
        <v>1037</v>
      </c>
      <c r="JK4" s="22" t="s">
        <v>1040</v>
      </c>
      <c r="JL4" s="22" t="s">
        <v>1041</v>
      </c>
      <c r="JM4" s="22" t="s">
        <v>1042</v>
      </c>
      <c r="JN4" s="204" t="s">
        <v>1043</v>
      </c>
      <c r="JO4" s="69" t="s">
        <v>269</v>
      </c>
      <c r="JP4" s="15" t="s">
        <v>1092</v>
      </c>
      <c r="JQ4" s="15" t="s">
        <v>1288</v>
      </c>
      <c r="JR4" s="15" t="s">
        <v>1290</v>
      </c>
      <c r="JS4" s="15" t="s">
        <v>1091</v>
      </c>
      <c r="JT4" s="15" t="s">
        <v>1289</v>
      </c>
      <c r="JU4" s="15" t="s">
        <v>1290</v>
      </c>
      <c r="JV4" s="69" t="s">
        <v>795</v>
      </c>
      <c r="JW4" s="15"/>
      <c r="JX4" s="15"/>
      <c r="JY4" s="15"/>
      <c r="JZ4" s="15"/>
      <c r="KA4" s="15"/>
      <c r="KB4" s="15"/>
      <c r="KC4" s="15"/>
      <c r="KD4" s="15"/>
      <c r="KE4" s="15"/>
      <c r="KF4" s="15" t="s">
        <v>796</v>
      </c>
      <c r="KG4" s="15" t="s">
        <v>791</v>
      </c>
      <c r="KH4" s="15" t="s">
        <v>797</v>
      </c>
      <c r="KI4" s="15" t="s">
        <v>791</v>
      </c>
      <c r="KJ4" s="15" t="s">
        <v>798</v>
      </c>
      <c r="KK4" s="15" t="s">
        <v>791</v>
      </c>
      <c r="KL4" s="15" t="s">
        <v>799</v>
      </c>
      <c r="KM4" s="15" t="s">
        <v>791</v>
      </c>
      <c r="KN4" s="76" t="s">
        <v>240</v>
      </c>
      <c r="KO4" s="25" t="s">
        <v>130</v>
      </c>
      <c r="KP4" s="15" t="s">
        <v>671</v>
      </c>
      <c r="KQ4" s="15" t="s">
        <v>639</v>
      </c>
      <c r="KR4" s="15" t="s">
        <v>646</v>
      </c>
      <c r="KS4" s="15" t="s">
        <v>647</v>
      </c>
      <c r="KT4" s="15" t="s">
        <v>648</v>
      </c>
      <c r="KU4" s="15" t="s">
        <v>649</v>
      </c>
      <c r="KV4" s="15" t="s">
        <v>650</v>
      </c>
      <c r="KW4" s="15" t="s">
        <v>138</v>
      </c>
      <c r="KX4" s="15" t="s">
        <v>139</v>
      </c>
      <c r="KY4" s="15" t="s">
        <v>140</v>
      </c>
      <c r="KZ4" s="15" t="s">
        <v>142</v>
      </c>
      <c r="LA4" s="15" t="s">
        <v>141</v>
      </c>
      <c r="LB4" s="74" t="s">
        <v>143</v>
      </c>
      <c r="LC4" s="69" t="s">
        <v>131</v>
      </c>
      <c r="LD4" s="15" t="s">
        <v>663</v>
      </c>
      <c r="LE4" s="15" t="s">
        <v>664</v>
      </c>
      <c r="LF4" s="15" t="s">
        <v>791</v>
      </c>
      <c r="LG4" s="15" t="s">
        <v>665</v>
      </c>
      <c r="LH4" s="15" t="s">
        <v>791</v>
      </c>
      <c r="LI4" s="15" t="s">
        <v>666</v>
      </c>
      <c r="LJ4" s="15" t="s">
        <v>818</v>
      </c>
      <c r="LK4" s="15" t="s">
        <v>667</v>
      </c>
      <c r="LL4" s="15" t="s">
        <v>791</v>
      </c>
      <c r="LM4" s="15" t="s">
        <v>668</v>
      </c>
      <c r="LN4" s="15" t="s">
        <v>669</v>
      </c>
      <c r="LO4" s="15" t="s">
        <v>818</v>
      </c>
      <c r="LP4" s="15" t="s">
        <v>818</v>
      </c>
      <c r="LQ4" s="15" t="s">
        <v>154</v>
      </c>
      <c r="LR4" s="15" t="s">
        <v>155</v>
      </c>
      <c r="LS4" s="15" t="s">
        <v>156</v>
      </c>
      <c r="LT4" s="15" t="s">
        <v>157</v>
      </c>
      <c r="LU4" s="15" t="s">
        <v>158</v>
      </c>
      <c r="LV4" s="15" t="s">
        <v>159</v>
      </c>
      <c r="LW4" s="15" t="s">
        <v>160</v>
      </c>
      <c r="LX4" s="15" t="s">
        <v>161</v>
      </c>
      <c r="LY4" s="74" t="s">
        <v>162</v>
      </c>
      <c r="LZ4" s="69" t="s">
        <v>706</v>
      </c>
      <c r="MA4" s="15"/>
      <c r="MB4" s="15"/>
      <c r="MC4" s="15"/>
      <c r="MD4" s="15"/>
      <c r="ME4" s="15"/>
      <c r="MF4" s="15"/>
      <c r="MG4" s="15"/>
      <c r="MH4" s="15"/>
      <c r="MI4" s="15"/>
      <c r="MJ4" s="22" t="s">
        <v>1027</v>
      </c>
      <c r="MK4" s="15" t="s">
        <v>973</v>
      </c>
      <c r="ML4" s="15" t="s">
        <v>974</v>
      </c>
      <c r="MM4" s="15" t="s">
        <v>761</v>
      </c>
      <c r="MN4" s="15" t="s">
        <v>791</v>
      </c>
      <c r="MO4" s="15" t="s">
        <v>761</v>
      </c>
      <c r="MP4" s="15" t="s">
        <v>761</v>
      </c>
      <c r="MQ4" s="15" t="s">
        <v>791</v>
      </c>
      <c r="MR4" s="15" t="s">
        <v>673</v>
      </c>
      <c r="MS4" s="15" t="s">
        <v>791</v>
      </c>
      <c r="MT4" s="15" t="s">
        <v>674</v>
      </c>
      <c r="MU4" s="15" t="s">
        <v>791</v>
      </c>
      <c r="MV4" s="15" t="s">
        <v>675</v>
      </c>
      <c r="MW4" s="15" t="s">
        <v>791</v>
      </c>
      <c r="MX4" s="267" t="s">
        <v>869</v>
      </c>
      <c r="MY4" s="267" t="s">
        <v>791</v>
      </c>
      <c r="MZ4" s="15" t="s">
        <v>676</v>
      </c>
      <c r="NA4" s="15" t="s">
        <v>791</v>
      </c>
      <c r="NB4" s="267" t="s">
        <v>873</v>
      </c>
      <c r="NC4" s="267" t="s">
        <v>791</v>
      </c>
      <c r="ND4" s="22" t="s">
        <v>716</v>
      </c>
      <c r="NE4" s="22" t="s">
        <v>867</v>
      </c>
      <c r="NF4" s="76" t="s">
        <v>240</v>
      </c>
      <c r="NG4" s="25" t="s">
        <v>697</v>
      </c>
      <c r="NH4" s="22" t="s">
        <v>1094</v>
      </c>
      <c r="NI4" s="22" t="s">
        <v>1095</v>
      </c>
      <c r="NJ4" s="15" t="s">
        <v>699</v>
      </c>
      <c r="NK4" s="15" t="s">
        <v>824</v>
      </c>
      <c r="NL4" s="15" t="s">
        <v>791</v>
      </c>
      <c r="NM4" s="15" t="s">
        <v>701</v>
      </c>
      <c r="NN4" s="15" t="s">
        <v>791</v>
      </c>
      <c r="NO4" s="15" t="s">
        <v>138</v>
      </c>
      <c r="NP4" s="15" t="s">
        <v>139</v>
      </c>
      <c r="NQ4" s="15" t="s">
        <v>140</v>
      </c>
      <c r="NR4" s="15" t="s">
        <v>142</v>
      </c>
      <c r="NS4" s="15" t="s">
        <v>141</v>
      </c>
      <c r="NT4" s="15" t="s">
        <v>143</v>
      </c>
      <c r="NU4" s="115" t="s">
        <v>1140</v>
      </c>
      <c r="NV4" s="25" t="s">
        <v>760</v>
      </c>
      <c r="NW4" s="15" t="s">
        <v>714</v>
      </c>
      <c r="NX4" s="15" t="s">
        <v>824</v>
      </c>
      <c r="NY4" s="15" t="s">
        <v>791</v>
      </c>
      <c r="NZ4" s="22" t="s">
        <v>1099</v>
      </c>
      <c r="OA4" s="22" t="s">
        <v>1100</v>
      </c>
      <c r="OB4" s="22" t="s">
        <v>1095</v>
      </c>
      <c r="OC4" s="15" t="s">
        <v>701</v>
      </c>
      <c r="OD4" s="15" t="s">
        <v>791</v>
      </c>
      <c r="OE4" s="15" t="s">
        <v>154</v>
      </c>
      <c r="OF4" s="15" t="s">
        <v>155</v>
      </c>
      <c r="OG4" s="15" t="s">
        <v>156</v>
      </c>
      <c r="OH4" s="15" t="s">
        <v>157</v>
      </c>
      <c r="OI4" s="15" t="s">
        <v>158</v>
      </c>
      <c r="OJ4" s="15" t="s">
        <v>159</v>
      </c>
      <c r="OK4" s="15" t="s">
        <v>160</v>
      </c>
      <c r="OL4" s="15" t="s">
        <v>161</v>
      </c>
      <c r="OM4" s="15" t="s">
        <v>162</v>
      </c>
      <c r="ON4" s="115" t="s">
        <v>1140</v>
      </c>
      <c r="OO4" s="102" t="s">
        <v>888</v>
      </c>
      <c r="OP4" s="22" t="s">
        <v>887</v>
      </c>
      <c r="OQ4" s="22" t="s">
        <v>886</v>
      </c>
      <c r="OR4" s="22" t="s">
        <v>889</v>
      </c>
      <c r="OS4" s="22" t="s">
        <v>890</v>
      </c>
      <c r="OT4" s="22" t="s">
        <v>891</v>
      </c>
      <c r="OU4" s="15" t="s">
        <v>915</v>
      </c>
      <c r="OV4" s="22" t="s">
        <v>916</v>
      </c>
      <c r="OW4" s="22" t="s">
        <v>917</v>
      </c>
      <c r="OX4" s="115" t="s">
        <v>893</v>
      </c>
      <c r="OY4" s="22" t="s">
        <v>900</v>
      </c>
      <c r="OZ4" s="22" t="s">
        <v>901</v>
      </c>
      <c r="PA4" s="22" t="s">
        <v>902</v>
      </c>
      <c r="PB4" s="22" t="s">
        <v>903</v>
      </c>
      <c r="PC4" s="102" t="s">
        <v>1058</v>
      </c>
      <c r="PD4" s="22" t="s">
        <v>1059</v>
      </c>
      <c r="PE4" s="22" t="s">
        <v>1063</v>
      </c>
      <c r="PF4" s="22" t="s">
        <v>1064</v>
      </c>
      <c r="PG4" s="22" t="s">
        <v>747</v>
      </c>
      <c r="PH4" s="22" t="s">
        <v>748</v>
      </c>
      <c r="PI4" s="22" t="s">
        <v>749</v>
      </c>
      <c r="PJ4" s="22" t="s">
        <v>750</v>
      </c>
      <c r="PK4" s="22" t="s">
        <v>751</v>
      </c>
      <c r="PL4" s="22" t="s">
        <v>753</v>
      </c>
      <c r="PM4" s="22" t="s">
        <v>1068</v>
      </c>
      <c r="PN4" s="22" t="s">
        <v>752</v>
      </c>
      <c r="PO4" s="22" t="s">
        <v>754</v>
      </c>
      <c r="PP4" s="22" t="s">
        <v>1069</v>
      </c>
      <c r="PQ4" s="22" t="s">
        <v>755</v>
      </c>
      <c r="PR4" s="22" t="s">
        <v>875</v>
      </c>
      <c r="PS4" s="22" t="s">
        <v>1066</v>
      </c>
      <c r="PT4" s="22" t="s">
        <v>1067</v>
      </c>
      <c r="PU4" s="69" t="s">
        <v>623</v>
      </c>
      <c r="PV4" s="15" t="s">
        <v>1007</v>
      </c>
      <c r="PW4" s="15" t="s">
        <v>956</v>
      </c>
      <c r="PX4" s="15" t="s">
        <v>957</v>
      </c>
      <c r="PY4" s="15" t="s">
        <v>1006</v>
      </c>
      <c r="PZ4" s="15" t="s">
        <v>958</v>
      </c>
      <c r="QA4" s="15" t="s">
        <v>959</v>
      </c>
      <c r="QB4" s="15" t="s">
        <v>960</v>
      </c>
      <c r="QC4" s="22" t="s">
        <v>962</v>
      </c>
      <c r="QD4" s="22" t="s">
        <v>1146</v>
      </c>
      <c r="QE4" s="22" t="s">
        <v>961</v>
      </c>
      <c r="QF4" s="15" t="s">
        <v>636</v>
      </c>
      <c r="QG4" s="15" t="s">
        <v>638</v>
      </c>
      <c r="QH4" s="22" t="s">
        <v>876</v>
      </c>
      <c r="QI4" s="22" t="s">
        <v>877</v>
      </c>
      <c r="QJ4" s="15" t="s">
        <v>537</v>
      </c>
      <c r="QK4" s="17" t="s">
        <v>622</v>
      </c>
      <c r="QL4" s="17" t="s">
        <v>622</v>
      </c>
      <c r="QM4" s="17" t="s">
        <v>622</v>
      </c>
      <c r="QN4" s="17" t="s">
        <v>622</v>
      </c>
      <c r="QO4" s="17" t="s">
        <v>1148</v>
      </c>
      <c r="QP4" s="17" t="s">
        <v>677</v>
      </c>
      <c r="QQ4" s="17" t="s">
        <v>621</v>
      </c>
      <c r="QR4" s="27" t="s">
        <v>1024</v>
      </c>
      <c r="QS4" s="15" t="s">
        <v>1025</v>
      </c>
      <c r="QT4" s="179" t="s">
        <v>1029</v>
      </c>
      <c r="QU4" s="15" t="s">
        <v>984</v>
      </c>
      <c r="QV4" s="15" t="s">
        <v>194</v>
      </c>
      <c r="QW4" s="15" t="s">
        <v>980</v>
      </c>
      <c r="QX4" s="15" t="s">
        <v>624</v>
      </c>
      <c r="QY4" s="15" t="s">
        <v>1152</v>
      </c>
      <c r="QZ4" s="22" t="s">
        <v>1033</v>
      </c>
      <c r="RA4" s="15" t="s">
        <v>612</v>
      </c>
      <c r="RB4" s="15" t="s">
        <v>1007</v>
      </c>
      <c r="RC4" s="15" t="s">
        <v>537</v>
      </c>
      <c r="RD4" s="20" t="s">
        <v>138</v>
      </c>
      <c r="RE4" s="20" t="s">
        <v>139</v>
      </c>
      <c r="RF4" s="20" t="s">
        <v>140</v>
      </c>
      <c r="RG4" s="20" t="s">
        <v>142</v>
      </c>
      <c r="RH4" s="20" t="s">
        <v>141</v>
      </c>
      <c r="RI4" s="84" t="s">
        <v>143</v>
      </c>
      <c r="RJ4" s="20" t="s">
        <v>925</v>
      </c>
      <c r="RK4" s="20" t="s">
        <v>926</v>
      </c>
      <c r="RL4" s="20" t="s">
        <v>1002</v>
      </c>
      <c r="RM4" s="20" t="s">
        <v>927</v>
      </c>
      <c r="RN4" s="20" t="s">
        <v>928</v>
      </c>
      <c r="RO4" s="116" t="s">
        <v>931</v>
      </c>
      <c r="RP4" s="116" t="s">
        <v>930</v>
      </c>
      <c r="RQ4" s="116" t="s">
        <v>1203</v>
      </c>
      <c r="RR4" s="69" t="s">
        <v>985</v>
      </c>
      <c r="RS4" s="15" t="s">
        <v>195</v>
      </c>
      <c r="RT4" s="15" t="s">
        <v>983</v>
      </c>
      <c r="RU4" s="22" t="s">
        <v>1032</v>
      </c>
      <c r="RV4" s="15" t="s">
        <v>391</v>
      </c>
      <c r="RW4" s="15" t="s">
        <v>1144</v>
      </c>
      <c r="RX4" s="15" t="s">
        <v>610</v>
      </c>
      <c r="RY4" s="15" t="s">
        <v>1007</v>
      </c>
      <c r="RZ4" s="15" t="s">
        <v>540</v>
      </c>
      <c r="SA4" s="20" t="s">
        <v>154</v>
      </c>
      <c r="SB4" s="20" t="s">
        <v>155</v>
      </c>
      <c r="SC4" s="20" t="s">
        <v>156</v>
      </c>
      <c r="SD4" s="20" t="s">
        <v>157</v>
      </c>
      <c r="SE4" s="20" t="s">
        <v>158</v>
      </c>
      <c r="SF4" s="20" t="s">
        <v>159</v>
      </c>
      <c r="SG4" s="20" t="s">
        <v>160</v>
      </c>
      <c r="SH4" s="20" t="s">
        <v>161</v>
      </c>
      <c r="SI4" s="84" t="s">
        <v>162</v>
      </c>
      <c r="SJ4" s="20" t="s">
        <v>925</v>
      </c>
      <c r="SK4" s="20" t="s">
        <v>926</v>
      </c>
      <c r="SL4" s="20" t="s">
        <v>1002</v>
      </c>
      <c r="SM4" s="20" t="s">
        <v>927</v>
      </c>
      <c r="SN4" s="20" t="s">
        <v>928</v>
      </c>
      <c r="SO4" s="116" t="s">
        <v>931</v>
      </c>
      <c r="SP4" s="116" t="s">
        <v>930</v>
      </c>
      <c r="SQ4" s="116" t="s">
        <v>1003</v>
      </c>
      <c r="SR4" s="69" t="s">
        <v>929</v>
      </c>
      <c r="SS4" s="22" t="s">
        <v>1211</v>
      </c>
      <c r="ST4" s="22" t="s">
        <v>1212</v>
      </c>
      <c r="SU4" s="22" t="s">
        <v>1214</v>
      </c>
      <c r="SV4" s="22" t="s">
        <v>1213</v>
      </c>
      <c r="SW4" s="69" t="s">
        <v>988</v>
      </c>
      <c r="SX4" s="15" t="s">
        <v>196</v>
      </c>
      <c r="SY4" s="15" t="s">
        <v>989</v>
      </c>
      <c r="SZ4" s="22" t="s">
        <v>1032</v>
      </c>
      <c r="TA4" s="15" t="s">
        <v>392</v>
      </c>
      <c r="TB4" s="15" t="s">
        <v>1149</v>
      </c>
      <c r="TC4" s="15" t="s">
        <v>610</v>
      </c>
      <c r="TD4" s="15" t="s">
        <v>1007</v>
      </c>
      <c r="TE4" s="15" t="s">
        <v>541</v>
      </c>
      <c r="TF4" s="21"/>
      <c r="TG4" s="21"/>
      <c r="TH4" s="21"/>
      <c r="TI4" s="21"/>
      <c r="TJ4" s="21"/>
      <c r="TK4" s="21"/>
      <c r="TL4" s="21"/>
      <c r="TM4" s="21"/>
      <c r="TN4" s="21"/>
      <c r="TO4" s="87"/>
      <c r="TP4" s="69" t="s">
        <v>992</v>
      </c>
      <c r="TQ4" s="15" t="s">
        <v>197</v>
      </c>
      <c r="TR4" s="15" t="s">
        <v>993</v>
      </c>
      <c r="TS4" s="22" t="s">
        <v>1032</v>
      </c>
      <c r="TT4" s="15" t="s">
        <v>393</v>
      </c>
      <c r="TU4" s="15" t="s">
        <v>1150</v>
      </c>
      <c r="TV4" s="15" t="s">
        <v>610</v>
      </c>
      <c r="TW4" s="15" t="s">
        <v>1007</v>
      </c>
      <c r="TX4" s="15" t="s">
        <v>543</v>
      </c>
      <c r="TY4" s="16"/>
      <c r="TZ4" s="16"/>
      <c r="UA4" s="16"/>
      <c r="UB4" s="16"/>
      <c r="UC4" s="16"/>
      <c r="UD4" s="16"/>
      <c r="UE4" s="82"/>
      <c r="UF4" s="16" t="s">
        <v>433</v>
      </c>
      <c r="UG4" s="16" t="s">
        <v>434</v>
      </c>
      <c r="UH4" s="16" t="s">
        <v>435</v>
      </c>
      <c r="UI4" s="16" t="s">
        <v>436</v>
      </c>
      <c r="UJ4" s="298" t="s">
        <v>1208</v>
      </c>
      <c r="UK4" s="102" t="s">
        <v>1166</v>
      </c>
      <c r="UL4" s="22" t="s">
        <v>1166</v>
      </c>
      <c r="UM4" s="61" t="s">
        <v>1164</v>
      </c>
      <c r="UN4" s="61" t="s">
        <v>1165</v>
      </c>
      <c r="UO4" s="61" t="s">
        <v>1174</v>
      </c>
      <c r="UP4" s="61" t="s">
        <v>1174</v>
      </c>
      <c r="UQ4" s="61" t="s">
        <v>1175</v>
      </c>
      <c r="UR4" s="61" t="s">
        <v>1183</v>
      </c>
      <c r="US4" s="63" t="s">
        <v>739</v>
      </c>
      <c r="UT4" s="74" t="s">
        <v>834</v>
      </c>
      <c r="UU4" s="63" t="s">
        <v>1296</v>
      </c>
      <c r="UV4" s="85" t="s">
        <v>1082</v>
      </c>
      <c r="UW4" s="63" t="s">
        <v>1083</v>
      </c>
      <c r="UX4" s="63" t="s">
        <v>1084</v>
      </c>
      <c r="UY4" s="63" t="s">
        <v>1088</v>
      </c>
      <c r="UZ4" s="63" t="s">
        <v>1090</v>
      </c>
      <c r="VA4" s="85" t="s">
        <v>942</v>
      </c>
      <c r="VB4" s="15" t="s">
        <v>943</v>
      </c>
      <c r="VC4" s="63" t="s">
        <v>469</v>
      </c>
      <c r="VD4" s="63"/>
      <c r="VE4" s="63" t="s">
        <v>944</v>
      </c>
      <c r="VF4" s="63" t="s">
        <v>945</v>
      </c>
      <c r="VG4" s="63" t="s">
        <v>946</v>
      </c>
      <c r="VH4" s="15" t="s">
        <v>947</v>
      </c>
      <c r="VI4" s="85" t="s">
        <v>575</v>
      </c>
      <c r="VJ4" s="15" t="s">
        <v>570</v>
      </c>
      <c r="VK4" s="15" t="s">
        <v>1278</v>
      </c>
      <c r="VL4" s="63" t="s">
        <v>1280</v>
      </c>
      <c r="VM4" s="63" t="s">
        <v>54</v>
      </c>
      <c r="VN4" s="63" t="s">
        <v>940</v>
      </c>
      <c r="VO4" s="88" t="s">
        <v>574</v>
      </c>
      <c r="VP4" s="413" t="s">
        <v>1314</v>
      </c>
      <c r="VQ4" s="413" t="s">
        <v>1314</v>
      </c>
      <c r="VR4" s="413" t="s">
        <v>1314</v>
      </c>
      <c r="VS4" s="413" t="s">
        <v>1314</v>
      </c>
      <c r="VT4" s="413" t="s">
        <v>1314</v>
      </c>
      <c r="VU4" s="6"/>
      <c r="VV4" s="6"/>
      <c r="VW4" s="6"/>
      <c r="VX4" s="63" t="s">
        <v>1281</v>
      </c>
      <c r="VY4" s="6"/>
    </row>
    <row r="5" spans="1:597" customFormat="1" ht="81" hidden="1" customHeight="1" outlineLevel="1" x14ac:dyDescent="0.3">
      <c r="A5" s="53"/>
      <c r="B5" s="50" t="s">
        <v>4</v>
      </c>
      <c r="C5" s="50" t="s">
        <v>4</v>
      </c>
      <c r="D5" s="2" t="s">
        <v>395</v>
      </c>
      <c r="E5" s="51" t="s">
        <v>46</v>
      </c>
      <c r="F5" s="52" t="s">
        <v>47</v>
      </c>
      <c r="G5" s="2" t="s">
        <v>4</v>
      </c>
      <c r="H5" s="2" t="s">
        <v>4</v>
      </c>
      <c r="I5" s="2" t="s">
        <v>1225</v>
      </c>
      <c r="J5" s="2" t="s">
        <v>1215</v>
      </c>
      <c r="K5" s="52" t="s">
        <v>4</v>
      </c>
      <c r="L5" s="52" t="s">
        <v>4</v>
      </c>
      <c r="M5" s="112" t="s">
        <v>997</v>
      </c>
      <c r="N5" s="2" t="s">
        <v>998</v>
      </c>
      <c r="O5" s="2" t="s">
        <v>396</v>
      </c>
      <c r="P5" s="2" t="s">
        <v>4</v>
      </c>
      <c r="Q5" s="2" t="s">
        <v>497</v>
      </c>
      <c r="R5" s="2" t="s">
        <v>4</v>
      </c>
      <c r="S5" s="2" t="s">
        <v>4</v>
      </c>
      <c r="T5" s="51" t="s">
        <v>4</v>
      </c>
      <c r="U5" s="2" t="s">
        <v>4</v>
      </c>
      <c r="V5" s="2" t="s">
        <v>4</v>
      </c>
      <c r="W5" s="52" t="s">
        <v>8</v>
      </c>
      <c r="X5" s="2" t="s">
        <v>4</v>
      </c>
      <c r="Y5" s="2" t="s">
        <v>4</v>
      </c>
      <c r="Z5" s="51" t="s">
        <v>4</v>
      </c>
      <c r="AA5" s="2" t="s">
        <v>4</v>
      </c>
      <c r="AB5" s="2" t="s">
        <v>4</v>
      </c>
      <c r="AC5" s="52" t="s">
        <v>4</v>
      </c>
      <c r="AD5" s="112" t="s">
        <v>4</v>
      </c>
      <c r="AE5" s="174" t="s">
        <v>4</v>
      </c>
      <c r="AF5" s="9" t="s">
        <v>1235</v>
      </c>
      <c r="AG5" s="2" t="s">
        <v>4</v>
      </c>
      <c r="AH5" s="2" t="s">
        <v>273</v>
      </c>
      <c r="AI5" s="104" t="s">
        <v>272</v>
      </c>
      <c r="AJ5" s="2" t="s">
        <v>4</v>
      </c>
      <c r="AK5" s="51" t="s">
        <v>4</v>
      </c>
      <c r="AL5" s="52" t="s">
        <v>4</v>
      </c>
      <c r="AM5" s="2" t="s">
        <v>4</v>
      </c>
      <c r="AN5" s="2" t="s">
        <v>4</v>
      </c>
      <c r="AO5" s="2" t="s">
        <v>4</v>
      </c>
      <c r="AP5" s="52" t="s">
        <v>4</v>
      </c>
      <c r="AQ5" s="2" t="s">
        <v>4</v>
      </c>
      <c r="AR5" s="51" t="s">
        <v>4</v>
      </c>
      <c r="AS5" s="52" t="s">
        <v>4</v>
      </c>
      <c r="AT5" s="167" t="s">
        <v>4</v>
      </c>
      <c r="AU5" s="2" t="s">
        <v>414</v>
      </c>
      <c r="AV5" s="2" t="s">
        <v>975</v>
      </c>
      <c r="AW5" s="2" t="s">
        <v>969</v>
      </c>
      <c r="AX5" s="2" t="s">
        <v>976</v>
      </c>
      <c r="AY5" s="70" t="s">
        <v>1110</v>
      </c>
      <c r="AZ5" s="2" t="s">
        <v>811</v>
      </c>
      <c r="BA5" s="2" t="s">
        <v>906</v>
      </c>
      <c r="BB5" s="2" t="s">
        <v>1111</v>
      </c>
      <c r="BC5" s="2" t="s">
        <v>812</v>
      </c>
      <c r="BD5" s="72" t="s">
        <v>907</v>
      </c>
      <c r="BE5" s="70" t="s">
        <v>1112</v>
      </c>
      <c r="BF5" s="2" t="s">
        <v>788</v>
      </c>
      <c r="BG5" s="2" t="s">
        <v>910</v>
      </c>
      <c r="BH5" s="2" t="s">
        <v>1113</v>
      </c>
      <c r="BI5" s="2" t="s">
        <v>789</v>
      </c>
      <c r="BJ5" s="72" t="s">
        <v>911</v>
      </c>
      <c r="BK5" s="2" t="s">
        <v>420</v>
      </c>
      <c r="BL5" s="2" t="s">
        <v>4</v>
      </c>
      <c r="BM5" s="2" t="s">
        <v>421</v>
      </c>
      <c r="BN5" s="2" t="s">
        <v>4</v>
      </c>
      <c r="BO5" s="2" t="s">
        <v>270</v>
      </c>
      <c r="BP5" s="2" t="s">
        <v>4</v>
      </c>
      <c r="BQ5" s="2" t="s">
        <v>654</v>
      </c>
      <c r="BR5" s="2" t="s">
        <v>837</v>
      </c>
      <c r="BS5" s="2" t="s">
        <v>628</v>
      </c>
      <c r="BT5" s="2" t="s">
        <v>596</v>
      </c>
      <c r="BU5" s="2" t="s">
        <v>352</v>
      </c>
      <c r="BV5" s="2" t="s">
        <v>597</v>
      </c>
      <c r="BW5" s="2" t="s">
        <v>598</v>
      </c>
      <c r="BX5" s="2" t="s">
        <v>1293</v>
      </c>
      <c r="BY5" s="2" t="s">
        <v>241</v>
      </c>
      <c r="BZ5" s="2" t="s">
        <v>496</v>
      </c>
      <c r="CA5" s="2" t="s">
        <v>410</v>
      </c>
      <c r="CB5" s="2" t="s">
        <v>45</v>
      </c>
      <c r="CC5" s="2" t="s">
        <v>856</v>
      </c>
      <c r="CD5" s="2" t="s">
        <v>40</v>
      </c>
      <c r="CE5" s="2" t="s">
        <v>3</v>
      </c>
      <c r="CF5" s="2" t="s">
        <v>4</v>
      </c>
      <c r="CG5" s="2" t="s">
        <v>1294</v>
      </c>
      <c r="CH5" s="2" t="s">
        <v>4</v>
      </c>
      <c r="CI5" s="70" t="s">
        <v>369</v>
      </c>
      <c r="CJ5" s="2" t="s">
        <v>370</v>
      </c>
      <c r="CK5" s="2" t="s">
        <v>371</v>
      </c>
      <c r="CL5" s="2" t="s">
        <v>372</v>
      </c>
      <c r="CM5" s="2" t="s">
        <v>373</v>
      </c>
      <c r="CN5" s="2" t="s">
        <v>374</v>
      </c>
      <c r="CO5" s="2" t="s">
        <v>375</v>
      </c>
      <c r="CP5" s="2" t="s">
        <v>376</v>
      </c>
      <c r="CQ5" s="2" t="s">
        <v>377</v>
      </c>
      <c r="CR5" s="2" t="s">
        <v>339</v>
      </c>
      <c r="CS5" s="2" t="s">
        <v>378</v>
      </c>
      <c r="CT5" s="72" t="s">
        <v>379</v>
      </c>
      <c r="CU5" s="70" t="s">
        <v>380</v>
      </c>
      <c r="CV5" s="2" t="s">
        <v>381</v>
      </c>
      <c r="CW5" s="2" t="s">
        <v>382</v>
      </c>
      <c r="CX5" s="2" t="s">
        <v>383</v>
      </c>
      <c r="CY5" s="2" t="s">
        <v>384</v>
      </c>
      <c r="CZ5" s="2" t="s">
        <v>385</v>
      </c>
      <c r="DA5" s="2" t="s">
        <v>386</v>
      </c>
      <c r="DB5" s="2" t="s">
        <v>387</v>
      </c>
      <c r="DC5" s="2" t="s">
        <v>388</v>
      </c>
      <c r="DD5" s="72" t="s">
        <v>389</v>
      </c>
      <c r="DE5" s="70" t="s">
        <v>390</v>
      </c>
      <c r="DF5" s="2" t="s">
        <v>718</v>
      </c>
      <c r="DG5" s="2" t="s">
        <v>784</v>
      </c>
      <c r="DH5" s="2" t="s">
        <v>785</v>
      </c>
      <c r="DI5" s="2" t="s">
        <v>763</v>
      </c>
      <c r="DJ5" s="2" t="s">
        <v>764</v>
      </c>
      <c r="DK5" s="2" t="s">
        <v>770</v>
      </c>
      <c r="DL5" s="2" t="s">
        <v>771</v>
      </c>
      <c r="DM5" s="2" t="s">
        <v>765</v>
      </c>
      <c r="DN5" s="2" t="s">
        <v>772</v>
      </c>
      <c r="DO5" s="2" t="s">
        <v>773</v>
      </c>
      <c r="DP5" s="2" t="s">
        <v>774</v>
      </c>
      <c r="DQ5" s="2" t="s">
        <v>777</v>
      </c>
      <c r="DR5" s="2" t="s">
        <v>778</v>
      </c>
      <c r="DS5" s="2" t="s">
        <v>779</v>
      </c>
      <c r="DT5" s="2" t="s">
        <v>841</v>
      </c>
      <c r="DU5" s="2" t="s">
        <v>780</v>
      </c>
      <c r="DV5" s="2" t="s">
        <v>836</v>
      </c>
      <c r="DW5" s="2" t="s">
        <v>781</v>
      </c>
      <c r="DX5" s="2" t="s">
        <v>782</v>
      </c>
      <c r="DY5" s="2" t="s">
        <v>589</v>
      </c>
      <c r="DZ5" s="2" t="s">
        <v>592</v>
      </c>
      <c r="EA5" s="2" t="s">
        <v>593</v>
      </c>
      <c r="EB5" s="2" t="s">
        <v>590</v>
      </c>
      <c r="EC5" s="2" t="s">
        <v>775</v>
      </c>
      <c r="ED5" s="72" t="s">
        <v>776</v>
      </c>
      <c r="EE5" s="104" t="s">
        <v>653</v>
      </c>
      <c r="EF5" s="9" t="s">
        <v>595</v>
      </c>
      <c r="EG5" s="75" t="s">
        <v>437</v>
      </c>
      <c r="EH5" s="1" t="s">
        <v>1250</v>
      </c>
      <c r="EI5" s="1" t="s">
        <v>1252</v>
      </c>
      <c r="EJ5" s="1" t="s">
        <v>966</v>
      </c>
      <c r="EK5" s="2" t="s">
        <v>446</v>
      </c>
      <c r="EL5" s="2" t="s">
        <v>560</v>
      </c>
      <c r="EM5" s="1" t="s">
        <v>398</v>
      </c>
      <c r="EN5" s="1" t="s">
        <v>585</v>
      </c>
      <c r="EO5" s="1" t="s">
        <v>577</v>
      </c>
      <c r="EP5" s="1" t="s">
        <v>578</v>
      </c>
      <c r="EQ5" s="1" t="s">
        <v>579</v>
      </c>
      <c r="ER5" s="1" t="s">
        <v>583</v>
      </c>
      <c r="ES5" s="1" t="s">
        <v>438</v>
      </c>
      <c r="ET5" s="1" t="s">
        <v>440</v>
      </c>
      <c r="EU5" s="111" t="s">
        <v>1304</v>
      </c>
      <c r="EV5" s="111" t="s">
        <v>860</v>
      </c>
      <c r="EW5" s="112" t="s">
        <v>445</v>
      </c>
      <c r="EX5" s="1" t="s">
        <v>439</v>
      </c>
      <c r="EY5" s="112" t="s">
        <v>1305</v>
      </c>
      <c r="EZ5" s="112" t="s">
        <v>1306</v>
      </c>
      <c r="FA5" s="111" t="s">
        <v>441</v>
      </c>
      <c r="FB5" s="111" t="s">
        <v>858</v>
      </c>
      <c r="FC5" s="111" t="s">
        <v>442</v>
      </c>
      <c r="FD5" s="111" t="s">
        <v>859</v>
      </c>
      <c r="FE5" s="111" t="s">
        <v>443</v>
      </c>
      <c r="FF5" s="113" t="s">
        <v>444</v>
      </c>
      <c r="FG5" s="23" t="str">
        <f ca="1">IF(QTY_of_BTS&lt;=1,"$User_Notes","TTS Spacing@TTS Pattern Sketch")</f>
        <v>TTS Spacing@TTS Pattern Sketch</v>
      </c>
      <c r="FH5" s="1" t="s">
        <v>1300</v>
      </c>
      <c r="FI5" s="1" t="s">
        <v>1302</v>
      </c>
      <c r="FJ5" s="1" t="s">
        <v>242</v>
      </c>
      <c r="FK5" s="1" t="s">
        <v>606</v>
      </c>
      <c r="FL5" s="303" t="s">
        <v>1237</v>
      </c>
      <c r="FM5" s="1" t="s">
        <v>996</v>
      </c>
      <c r="FN5" s="1" t="s">
        <v>1239</v>
      </c>
      <c r="FO5" s="1" t="s">
        <v>1241</v>
      </c>
      <c r="FP5" s="1" t="s">
        <v>1248</v>
      </c>
      <c r="FQ5" s="304" t="s">
        <v>1222</v>
      </c>
      <c r="FR5" s="1" t="s">
        <v>1228</v>
      </c>
      <c r="FS5" s="1" t="s">
        <v>1220</v>
      </c>
      <c r="FT5" s="1" t="s">
        <v>1233</v>
      </c>
      <c r="FU5" s="1" t="s">
        <v>1226</v>
      </c>
      <c r="FV5" s="1" t="s">
        <v>1229</v>
      </c>
      <c r="FW5" s="1" t="s">
        <v>1230</v>
      </c>
      <c r="FX5" s="1" t="s">
        <v>1243</v>
      </c>
      <c r="FY5" s="1" t="s">
        <v>1244</v>
      </c>
      <c r="FZ5" s="70" t="s">
        <v>6</v>
      </c>
      <c r="GA5" s="2" t="str">
        <f>IF(Tube_QTY_in_Row&lt;2,"$User_Notes","# of Tubes in Row@Tube QTY")</f>
        <v># of Tubes in Row@Tube QTY</v>
      </c>
      <c r="GB5" s="2" t="s">
        <v>4</v>
      </c>
      <c r="GC5" s="2" t="s">
        <v>9</v>
      </c>
      <c r="GD5" s="2" t="s">
        <v>4</v>
      </c>
      <c r="GE5" s="2" t="s">
        <v>4</v>
      </c>
      <c r="GF5" s="2" t="s">
        <v>4</v>
      </c>
      <c r="GG5" s="2" t="s">
        <v>10</v>
      </c>
      <c r="GH5" s="2" t="s">
        <v>11</v>
      </c>
      <c r="GI5" s="1" t="s">
        <v>399</v>
      </c>
      <c r="GJ5" s="2" t="s">
        <v>546</v>
      </c>
      <c r="GK5" s="1" t="s">
        <v>427</v>
      </c>
      <c r="GL5" s="1" t="s">
        <v>460</v>
      </c>
      <c r="GM5" s="1" t="s">
        <v>461</v>
      </c>
      <c r="GN5" s="1" t="s">
        <v>462</v>
      </c>
      <c r="GO5" s="77" t="s">
        <v>463</v>
      </c>
      <c r="GP5" s="70" t="s">
        <v>21</v>
      </c>
      <c r="GQ5" s="2" t="s">
        <v>474</v>
      </c>
      <c r="GR5" s="2" t="s">
        <v>4</v>
      </c>
      <c r="GS5" s="2" t="s">
        <v>4</v>
      </c>
      <c r="GT5" s="2" t="s">
        <v>39</v>
      </c>
      <c r="GU5" s="2" t="s">
        <v>4</v>
      </c>
      <c r="GV5" s="2" t="s">
        <v>4</v>
      </c>
      <c r="GW5" s="2" t="s">
        <v>4</v>
      </c>
      <c r="GX5" s="2" t="s">
        <v>28</v>
      </c>
      <c r="GY5" s="1" t="s">
        <v>428</v>
      </c>
      <c r="GZ5" s="2" t="s">
        <v>30</v>
      </c>
      <c r="HA5" s="1" t="s">
        <v>31</v>
      </c>
      <c r="HB5" s="77" t="s">
        <v>548</v>
      </c>
      <c r="HC5" s="75" t="s">
        <v>42</v>
      </c>
      <c r="HD5" s="1" t="s">
        <v>544</v>
      </c>
      <c r="HE5" s="1" t="s">
        <v>424</v>
      </c>
      <c r="HF5" s="9" t="s">
        <v>4</v>
      </c>
      <c r="HG5" s="1" t="s">
        <v>1048</v>
      </c>
      <c r="HH5" s="1" t="s">
        <v>1045</v>
      </c>
      <c r="HI5" s="1" t="s">
        <v>1046</v>
      </c>
      <c r="HJ5" s="1" t="s">
        <v>505</v>
      </c>
      <c r="HK5" s="1" t="s">
        <v>429</v>
      </c>
      <c r="HL5" s="1" t="s">
        <v>480</v>
      </c>
      <c r="HM5" s="1" t="s">
        <v>481</v>
      </c>
      <c r="HN5" s="1" t="s">
        <v>476</v>
      </c>
      <c r="HO5" s="1" t="s">
        <v>477</v>
      </c>
      <c r="HP5" s="1" t="s">
        <v>486</v>
      </c>
      <c r="HQ5" s="1" t="s">
        <v>484</v>
      </c>
      <c r="HR5" s="1" t="s">
        <v>489</v>
      </c>
      <c r="HS5" s="1" t="s">
        <v>4</v>
      </c>
      <c r="HT5" s="1" t="s">
        <v>4</v>
      </c>
      <c r="HU5" s="23" t="str">
        <f ca="1">IF(ISEVEN(QTY_of_BTS),"D2@SSPanel Center",IF(OR(BTS_Location=Tube_Length/2,AND(SF_Length&gt;=96,QTY_of_BTS=1,BTS_Location&gt;Tube_Length/2)),"D2@SSPanel Center",IF(AND(QTY_of_BTS=1,BTS_Location&lt;Tube_Length/2),"D1@SSPanel Center",IF(AND(ISODD(QTY_of_BTS),QTY_of_BTS&gt;1,Offset_BTS?&lt;&gt;"Yes - Front HDR"),"D2@SSPanel Center", "D1@SSPanel Center"))))</f>
        <v>D2@SSPanel Center</v>
      </c>
      <c r="HV5" s="28" t="str">
        <f ca="1">IF(LEFT(HU5,2)="D2","D1@SSPanel Center","D2@SSPanel Center")</f>
        <v>D1@SSPanel Center</v>
      </c>
      <c r="HW5" s="8" t="s">
        <v>4</v>
      </c>
      <c r="HX5" s="1" t="s">
        <v>4</v>
      </c>
      <c r="HY5" s="1" t="s">
        <v>4</v>
      </c>
      <c r="HZ5" s="4" t="s">
        <v>4</v>
      </c>
      <c r="IA5" s="1" t="s">
        <v>4</v>
      </c>
      <c r="IB5" s="1" t="s">
        <v>487</v>
      </c>
      <c r="IC5" s="1" t="s">
        <v>994</v>
      </c>
      <c r="ID5" s="1" t="s">
        <v>488</v>
      </c>
      <c r="IE5" s="2" t="s">
        <v>508</v>
      </c>
      <c r="IF5" s="2" t="s">
        <v>515</v>
      </c>
      <c r="IG5" s="1" t="s">
        <v>501</v>
      </c>
      <c r="IH5" s="1" t="s">
        <v>500</v>
      </c>
      <c r="II5" s="1" t="s">
        <v>483</v>
      </c>
      <c r="IJ5" s="24" t="str">
        <f ca="1">LEFT(HU5,2)&amp;"@SSPanel Remove"</f>
        <v>D2@SSPanel Remove</v>
      </c>
      <c r="IK5" s="24" t="str">
        <f ca="1">LEFT(HV5,2)&amp;"@SSPanel Remove"</f>
        <v>D1@SSPanel Remove</v>
      </c>
      <c r="IL5" s="75" t="s">
        <v>494</v>
      </c>
      <c r="IM5" s="1" t="s">
        <v>550</v>
      </c>
      <c r="IN5" s="1" t="s">
        <v>551</v>
      </c>
      <c r="IO5" s="1" t="s">
        <v>552</v>
      </c>
      <c r="IP5" s="1" t="s">
        <v>553</v>
      </c>
      <c r="IQ5" s="1" t="s">
        <v>554</v>
      </c>
      <c r="IR5" s="1" t="s">
        <v>616</v>
      </c>
      <c r="IS5" s="1" t="s">
        <v>617</v>
      </c>
      <c r="IT5" s="1" t="s">
        <v>618</v>
      </c>
      <c r="IU5" s="1" t="s">
        <v>918</v>
      </c>
      <c r="IV5" s="1" t="s">
        <v>919</v>
      </c>
      <c r="IW5" s="1" t="s">
        <v>510</v>
      </c>
      <c r="IX5" s="1" t="s">
        <v>511</v>
      </c>
      <c r="IY5" s="2" t="s">
        <v>936</v>
      </c>
      <c r="IZ5" s="2" t="s">
        <v>937</v>
      </c>
      <c r="JA5" s="77" t="s">
        <v>922</v>
      </c>
      <c r="JB5" s="1" t="s">
        <v>1274</v>
      </c>
      <c r="JC5" s="1" t="s">
        <v>1273</v>
      </c>
      <c r="JD5" s="75" t="s">
        <v>447</v>
      </c>
      <c r="JE5" s="1" t="s">
        <v>448</v>
      </c>
      <c r="JF5" s="1" t="s">
        <v>449</v>
      </c>
      <c r="JG5" s="1" t="s">
        <v>450</v>
      </c>
      <c r="JH5" s="77" t="s">
        <v>451</v>
      </c>
      <c r="JI5" s="191" t="s">
        <v>4</v>
      </c>
      <c r="JJ5" s="201" t="s">
        <v>4</v>
      </c>
      <c r="JK5" s="63" t="s">
        <v>4</v>
      </c>
      <c r="JL5" s="63" t="s">
        <v>4</v>
      </c>
      <c r="JM5" s="63" t="s">
        <v>4</v>
      </c>
      <c r="JN5" s="63" t="s">
        <v>1038</v>
      </c>
      <c r="JO5" s="75" t="s">
        <v>271</v>
      </c>
      <c r="JP5" s="2" t="s">
        <v>1285</v>
      </c>
      <c r="JQ5" s="2" t="s">
        <v>1284</v>
      </c>
      <c r="JR5" s="2" t="s">
        <v>423</v>
      </c>
      <c r="JS5" s="1" t="s">
        <v>1287</v>
      </c>
      <c r="JT5" s="2" t="s">
        <v>1286</v>
      </c>
      <c r="JU5" s="2" t="s">
        <v>422</v>
      </c>
      <c r="JV5" s="70" t="s">
        <v>737</v>
      </c>
      <c r="JW5" s="2" t="s">
        <v>844</v>
      </c>
      <c r="JX5" s="2" t="s">
        <v>845</v>
      </c>
      <c r="JY5" s="2" t="s">
        <v>846</v>
      </c>
      <c r="JZ5" s="2" t="s">
        <v>847</v>
      </c>
      <c r="KA5" s="2" t="s">
        <v>848</v>
      </c>
      <c r="KB5" s="2" t="s">
        <v>849</v>
      </c>
      <c r="KC5" s="2" t="s">
        <v>1106</v>
      </c>
      <c r="KD5" s="2" t="s">
        <v>1107</v>
      </c>
      <c r="KE5" s="2" t="s">
        <v>850</v>
      </c>
      <c r="KF5" s="2" t="s">
        <v>804</v>
      </c>
      <c r="KG5" s="2" t="s">
        <v>805</v>
      </c>
      <c r="KH5" s="2" t="s">
        <v>806</v>
      </c>
      <c r="KI5" s="2" t="s">
        <v>813</v>
      </c>
      <c r="KJ5" s="2" t="s">
        <v>807</v>
      </c>
      <c r="KK5" s="2" t="s">
        <v>808</v>
      </c>
      <c r="KL5" s="2" t="s">
        <v>809</v>
      </c>
      <c r="KM5" s="2" t="s">
        <v>810</v>
      </c>
      <c r="KN5" s="70" t="s">
        <v>239</v>
      </c>
      <c r="KO5" s="1" t="s">
        <v>128</v>
      </c>
      <c r="KP5" s="1" t="s">
        <v>670</v>
      </c>
      <c r="KQ5" s="1" t="s">
        <v>640</v>
      </c>
      <c r="KR5" s="1" t="s">
        <v>641</v>
      </c>
      <c r="KS5" s="1" t="s">
        <v>642</v>
      </c>
      <c r="KT5" s="1" t="s">
        <v>643</v>
      </c>
      <c r="KU5" s="1" t="s">
        <v>644</v>
      </c>
      <c r="KV5" s="1" t="s">
        <v>645</v>
      </c>
      <c r="KW5" s="2" t="s">
        <v>132</v>
      </c>
      <c r="KX5" s="2" t="s">
        <v>133</v>
      </c>
      <c r="KY5" s="2" t="s">
        <v>134</v>
      </c>
      <c r="KZ5" s="2" t="s">
        <v>135</v>
      </c>
      <c r="LA5" s="2" t="s">
        <v>136</v>
      </c>
      <c r="LB5" s="72" t="s">
        <v>137</v>
      </c>
      <c r="LC5" s="75" t="s">
        <v>129</v>
      </c>
      <c r="LD5" s="1" t="s">
        <v>657</v>
      </c>
      <c r="LE5" s="1" t="s">
        <v>829</v>
      </c>
      <c r="LF5" s="1" t="s">
        <v>830</v>
      </c>
      <c r="LG5" s="1" t="s">
        <v>658</v>
      </c>
      <c r="LH5" s="1" t="s">
        <v>816</v>
      </c>
      <c r="LI5" s="1" t="s">
        <v>659</v>
      </c>
      <c r="LJ5" s="1" t="s">
        <v>817</v>
      </c>
      <c r="LK5" s="1" t="s">
        <v>660</v>
      </c>
      <c r="LL5" s="1" t="s">
        <v>819</v>
      </c>
      <c r="LM5" s="1" t="s">
        <v>661</v>
      </c>
      <c r="LN5" s="1" t="s">
        <v>662</v>
      </c>
      <c r="LO5" s="1" t="s">
        <v>820</v>
      </c>
      <c r="LP5" s="1" t="s">
        <v>821</v>
      </c>
      <c r="LQ5" s="2" t="s">
        <v>145</v>
      </c>
      <c r="LR5" s="2" t="s">
        <v>146</v>
      </c>
      <c r="LS5" s="2" t="s">
        <v>147</v>
      </c>
      <c r="LT5" s="2" t="s">
        <v>148</v>
      </c>
      <c r="LU5" s="2" t="s">
        <v>149</v>
      </c>
      <c r="LV5" s="2" t="s">
        <v>150</v>
      </c>
      <c r="LW5" s="2" t="s">
        <v>151</v>
      </c>
      <c r="LX5" s="2" t="s">
        <v>152</v>
      </c>
      <c r="LY5" s="72" t="s">
        <v>153</v>
      </c>
      <c r="LZ5" s="70" t="s">
        <v>705</v>
      </c>
      <c r="MA5" s="2" t="s">
        <v>851</v>
      </c>
      <c r="MB5" s="2" t="s">
        <v>949</v>
      </c>
      <c r="MC5" s="2" t="s">
        <v>852</v>
      </c>
      <c r="MD5" s="2" t="s">
        <v>950</v>
      </c>
      <c r="ME5" s="2" t="s">
        <v>853</v>
      </c>
      <c r="MF5" s="2" t="s">
        <v>854</v>
      </c>
      <c r="MG5" s="2" t="s">
        <v>1108</v>
      </c>
      <c r="MH5" s="2" t="s">
        <v>1109</v>
      </c>
      <c r="MI5" s="2" t="s">
        <v>855</v>
      </c>
      <c r="MJ5" s="2" t="s">
        <v>1026</v>
      </c>
      <c r="MK5" s="2" t="s">
        <v>971</v>
      </c>
      <c r="ML5" s="2" t="s">
        <v>972</v>
      </c>
      <c r="MM5" s="2" t="s">
        <v>757</v>
      </c>
      <c r="MN5" s="2" t="s">
        <v>827</v>
      </c>
      <c r="MO5" s="2" t="s">
        <v>758</v>
      </c>
      <c r="MP5" s="2" t="s">
        <v>759</v>
      </c>
      <c r="MQ5" s="2" t="s">
        <v>828</v>
      </c>
      <c r="MR5" s="2" t="s">
        <v>707</v>
      </c>
      <c r="MS5" s="2" t="s">
        <v>790</v>
      </c>
      <c r="MT5" s="2" t="s">
        <v>708</v>
      </c>
      <c r="MU5" s="2" t="s">
        <v>792</v>
      </c>
      <c r="MV5" s="2" t="s">
        <v>709</v>
      </c>
      <c r="MW5" s="2" t="s">
        <v>793</v>
      </c>
      <c r="MX5" s="268" t="s">
        <v>868</v>
      </c>
      <c r="MY5" s="268" t="s">
        <v>870</v>
      </c>
      <c r="MZ5" s="2" t="s">
        <v>710</v>
      </c>
      <c r="NA5" s="2" t="s">
        <v>794</v>
      </c>
      <c r="NB5" s="268" t="s">
        <v>871</v>
      </c>
      <c r="NC5" s="268" t="s">
        <v>872</v>
      </c>
      <c r="ND5" s="2" t="s">
        <v>715</v>
      </c>
      <c r="NE5" s="2" t="s">
        <v>865</v>
      </c>
      <c r="NF5" s="70" t="s">
        <v>4</v>
      </c>
      <c r="NG5" s="1" t="s">
        <v>696</v>
      </c>
      <c r="NH5" s="1" t="s">
        <v>1101</v>
      </c>
      <c r="NI5" s="1" t="s">
        <v>1102</v>
      </c>
      <c r="NJ5" s="1" t="s">
        <v>698</v>
      </c>
      <c r="NK5" s="1" t="s">
        <v>825</v>
      </c>
      <c r="NL5" s="1" t="s">
        <v>826</v>
      </c>
      <c r="NM5" s="1" t="s">
        <v>704</v>
      </c>
      <c r="NN5" s="1" t="s">
        <v>815</v>
      </c>
      <c r="NO5" s="2" t="s">
        <v>681</v>
      </c>
      <c r="NP5" s="2" t="s">
        <v>682</v>
      </c>
      <c r="NQ5" s="2" t="s">
        <v>683</v>
      </c>
      <c r="NR5" s="2" t="s">
        <v>684</v>
      </c>
      <c r="NS5" s="2" t="s">
        <v>685</v>
      </c>
      <c r="NT5" s="2" t="s">
        <v>686</v>
      </c>
      <c r="NU5" s="72" t="s">
        <v>1155</v>
      </c>
      <c r="NV5" s="1" t="s">
        <v>702</v>
      </c>
      <c r="NW5" s="1" t="s">
        <v>703</v>
      </c>
      <c r="NX5" s="1" t="s">
        <v>822</v>
      </c>
      <c r="NY5" s="1" t="s">
        <v>823</v>
      </c>
      <c r="NZ5" s="1" t="s">
        <v>1096</v>
      </c>
      <c r="OA5" s="1" t="s">
        <v>1097</v>
      </c>
      <c r="OB5" s="1" t="s">
        <v>1098</v>
      </c>
      <c r="OC5" s="1" t="s">
        <v>700</v>
      </c>
      <c r="OD5" s="1" t="s">
        <v>814</v>
      </c>
      <c r="OE5" s="2" t="s">
        <v>687</v>
      </c>
      <c r="OF5" s="2" t="s">
        <v>688</v>
      </c>
      <c r="OG5" s="2" t="s">
        <v>689</v>
      </c>
      <c r="OH5" s="2" t="s">
        <v>690</v>
      </c>
      <c r="OI5" s="2" t="s">
        <v>691</v>
      </c>
      <c r="OJ5" s="2" t="s">
        <v>692</v>
      </c>
      <c r="OK5" s="2" t="s">
        <v>693</v>
      </c>
      <c r="OL5" s="2" t="s">
        <v>694</v>
      </c>
      <c r="OM5" s="2" t="s">
        <v>695</v>
      </c>
      <c r="ON5" s="72" t="s">
        <v>1156</v>
      </c>
      <c r="OO5" s="70" t="s">
        <v>880</v>
      </c>
      <c r="OP5" s="2" t="s">
        <v>881</v>
      </c>
      <c r="OQ5" s="2" t="s">
        <v>882</v>
      </c>
      <c r="OR5" s="2" t="s">
        <v>884</v>
      </c>
      <c r="OS5" s="112" t="s">
        <v>885</v>
      </c>
      <c r="OT5" s="2" t="s">
        <v>883</v>
      </c>
      <c r="OU5" s="2" t="s">
        <v>894</v>
      </c>
      <c r="OV5" s="2" t="s">
        <v>895</v>
      </c>
      <c r="OW5" s="2" t="s">
        <v>914</v>
      </c>
      <c r="OX5" s="72" t="s">
        <v>892</v>
      </c>
      <c r="OY5" s="2" t="s">
        <v>896</v>
      </c>
      <c r="OZ5" s="2" t="s">
        <v>897</v>
      </c>
      <c r="PA5" s="2" t="s">
        <v>898</v>
      </c>
      <c r="PB5" s="2" t="s">
        <v>899</v>
      </c>
      <c r="PC5" s="70" t="s">
        <v>1057</v>
      </c>
      <c r="PD5" s="2" t="s">
        <v>1060</v>
      </c>
      <c r="PE5" s="2" t="s">
        <v>1061</v>
      </c>
      <c r="PF5" s="2" t="s">
        <v>1062</v>
      </c>
      <c r="PG5" s="2" t="s">
        <v>831</v>
      </c>
      <c r="PH5" s="2" t="s">
        <v>730</v>
      </c>
      <c r="PI5" s="2" t="s">
        <v>731</v>
      </c>
      <c r="PJ5" s="2" t="s">
        <v>732</v>
      </c>
      <c r="PK5" s="2" t="s">
        <v>832</v>
      </c>
      <c r="PL5" s="2" t="s">
        <v>733</v>
      </c>
      <c r="PM5" s="2" t="s">
        <v>4</v>
      </c>
      <c r="PN5" s="2" t="s">
        <v>734</v>
      </c>
      <c r="PO5" s="2" t="s">
        <v>735</v>
      </c>
      <c r="PP5" s="2" t="s">
        <v>4</v>
      </c>
      <c r="PQ5" s="2" t="s">
        <v>736</v>
      </c>
      <c r="PR5" s="2" t="s">
        <v>874</v>
      </c>
      <c r="PS5" s="2" t="s">
        <v>1065</v>
      </c>
      <c r="PT5" s="2" t="s">
        <v>1162</v>
      </c>
      <c r="PU5" s="70" t="s">
        <v>615</v>
      </c>
      <c r="PV5" s="2" t="s">
        <v>1200</v>
      </c>
      <c r="PW5" s="2" t="s">
        <v>4</v>
      </c>
      <c r="PX5" s="2" t="s">
        <v>762</v>
      </c>
      <c r="PY5" s="2" t="s">
        <v>1005</v>
      </c>
      <c r="PZ5" s="2" t="s">
        <v>951</v>
      </c>
      <c r="QA5" s="2" t="s">
        <v>952</v>
      </c>
      <c r="QB5" s="2" t="s">
        <v>953</v>
      </c>
      <c r="QC5" s="272" t="s">
        <v>954</v>
      </c>
      <c r="QD5" s="272" t="s">
        <v>1145</v>
      </c>
      <c r="QE5" s="2" t="s">
        <v>955</v>
      </c>
      <c r="QF5" s="2" t="s">
        <v>635</v>
      </c>
      <c r="QG5" s="2" t="s">
        <v>637</v>
      </c>
      <c r="QH5" s="2" t="s">
        <v>935</v>
      </c>
      <c r="QI5" s="2" t="s">
        <v>934</v>
      </c>
      <c r="QJ5" s="2" t="s">
        <v>625</v>
      </c>
      <c r="QK5" s="9" t="s">
        <v>619</v>
      </c>
      <c r="QL5" s="9" t="s">
        <v>838</v>
      </c>
      <c r="QM5" s="9" t="s">
        <v>839</v>
      </c>
      <c r="QN5" s="273" t="s">
        <v>840</v>
      </c>
      <c r="QO5" s="273" t="s">
        <v>1147</v>
      </c>
      <c r="QP5" s="9" t="s">
        <v>626</v>
      </c>
      <c r="QQ5" s="9" t="s">
        <v>620</v>
      </c>
      <c r="QR5" s="177" t="s">
        <v>627</v>
      </c>
      <c r="QS5" s="2" t="s">
        <v>1023</v>
      </c>
      <c r="QT5" s="180" t="s">
        <v>1028</v>
      </c>
      <c r="QU5" s="1" t="s">
        <v>400</v>
      </c>
      <c r="QV5" s="1" t="s">
        <v>978</v>
      </c>
      <c r="QW5" s="1" t="s">
        <v>979</v>
      </c>
      <c r="QX5" s="274" t="s">
        <v>405</v>
      </c>
      <c r="QY5" s="274" t="s">
        <v>1151</v>
      </c>
      <c r="QZ5" s="1" t="s">
        <v>1030</v>
      </c>
      <c r="RA5" s="2" t="s">
        <v>611</v>
      </c>
      <c r="RB5" s="2" t="s">
        <v>4</v>
      </c>
      <c r="RC5" s="2" t="s">
        <v>536</v>
      </c>
      <c r="RD5" s="2" t="s">
        <v>86</v>
      </c>
      <c r="RE5" s="2" t="s">
        <v>87</v>
      </c>
      <c r="RF5" s="2" t="s">
        <v>88</v>
      </c>
      <c r="RG5" s="2" t="s">
        <v>89</v>
      </c>
      <c r="RH5" s="2" t="s">
        <v>90</v>
      </c>
      <c r="RI5" s="72" t="s">
        <v>91</v>
      </c>
      <c r="RJ5" s="2" t="s">
        <v>1193</v>
      </c>
      <c r="RK5" s="2" t="s">
        <v>1194</v>
      </c>
      <c r="RL5" s="2" t="s">
        <v>1195</v>
      </c>
      <c r="RM5" s="2" t="s">
        <v>1196</v>
      </c>
      <c r="RN5" s="2" t="s">
        <v>1197</v>
      </c>
      <c r="RO5" s="2" t="s">
        <v>1198</v>
      </c>
      <c r="RP5" s="2" t="s">
        <v>1199</v>
      </c>
      <c r="RQ5" s="2" t="s">
        <v>1204</v>
      </c>
      <c r="RR5" s="85" t="s">
        <v>401</v>
      </c>
      <c r="RS5" s="63" t="s">
        <v>981</v>
      </c>
      <c r="RT5" s="63" t="s">
        <v>982</v>
      </c>
      <c r="RU5" s="63" t="s">
        <v>1031</v>
      </c>
      <c r="RV5" s="271" t="s">
        <v>406</v>
      </c>
      <c r="RW5" s="271" t="s">
        <v>1143</v>
      </c>
      <c r="RX5" s="58" t="s">
        <v>609</v>
      </c>
      <c r="RY5" s="2" t="s">
        <v>4</v>
      </c>
      <c r="RZ5" s="58" t="s">
        <v>538</v>
      </c>
      <c r="SA5" s="58" t="s">
        <v>201</v>
      </c>
      <c r="SB5" s="58" t="s">
        <v>202</v>
      </c>
      <c r="SC5" s="58" t="s">
        <v>203</v>
      </c>
      <c r="SD5" s="58" t="s">
        <v>204</v>
      </c>
      <c r="SE5" s="58" t="s">
        <v>205</v>
      </c>
      <c r="SF5" s="58" t="s">
        <v>206</v>
      </c>
      <c r="SG5" s="58" t="s">
        <v>207</v>
      </c>
      <c r="SH5" s="58" t="s">
        <v>208</v>
      </c>
      <c r="SI5" s="86" t="s">
        <v>209</v>
      </c>
      <c r="SJ5" s="2" t="s">
        <v>1186</v>
      </c>
      <c r="SK5" s="2" t="s">
        <v>1187</v>
      </c>
      <c r="SL5" s="2" t="s">
        <v>1001</v>
      </c>
      <c r="SM5" s="2" t="s">
        <v>1188</v>
      </c>
      <c r="SN5" s="2" t="s">
        <v>1189</v>
      </c>
      <c r="SO5" s="2" t="s">
        <v>1190</v>
      </c>
      <c r="SP5" s="2" t="s">
        <v>1191</v>
      </c>
      <c r="SQ5" s="2" t="s">
        <v>1202</v>
      </c>
      <c r="SR5" s="75" t="s">
        <v>924</v>
      </c>
      <c r="SS5" s="1" t="s">
        <v>1206</v>
      </c>
      <c r="ST5" s="1" t="s">
        <v>1209</v>
      </c>
      <c r="SU5" s="111" t="s">
        <v>1207</v>
      </c>
      <c r="SV5" s="113" t="s">
        <v>1210</v>
      </c>
      <c r="SW5" s="75" t="s">
        <v>402</v>
      </c>
      <c r="SX5" s="1" t="s">
        <v>986</v>
      </c>
      <c r="SY5" s="1" t="s">
        <v>987</v>
      </c>
      <c r="SZ5" s="1" t="s">
        <v>1034</v>
      </c>
      <c r="TA5" s="272" t="s">
        <v>407</v>
      </c>
      <c r="TB5" s="272" t="s">
        <v>1153</v>
      </c>
      <c r="TC5" s="2" t="s">
        <v>613</v>
      </c>
      <c r="TD5" s="1" t="s">
        <v>4</v>
      </c>
      <c r="TE5" s="2" t="s">
        <v>539</v>
      </c>
      <c r="TF5" s="2" t="s">
        <v>210</v>
      </c>
      <c r="TG5" s="2" t="s">
        <v>211</v>
      </c>
      <c r="TH5" s="2" t="s">
        <v>212</v>
      </c>
      <c r="TI5" s="2" t="s">
        <v>213</v>
      </c>
      <c r="TJ5" s="2" t="s">
        <v>214</v>
      </c>
      <c r="TK5" s="2" t="s">
        <v>215</v>
      </c>
      <c r="TL5" s="2" t="s">
        <v>216</v>
      </c>
      <c r="TM5" s="2" t="s">
        <v>217</v>
      </c>
      <c r="TN5" s="2" t="s">
        <v>218</v>
      </c>
      <c r="TO5" s="72" t="s">
        <v>219</v>
      </c>
      <c r="TP5" s="75" t="s">
        <v>403</v>
      </c>
      <c r="TQ5" s="1" t="s">
        <v>990</v>
      </c>
      <c r="TR5" s="1" t="s">
        <v>991</v>
      </c>
      <c r="TS5" s="1" t="s">
        <v>1035</v>
      </c>
      <c r="TT5" s="274" t="s">
        <v>408</v>
      </c>
      <c r="TU5" s="274" t="s">
        <v>1154</v>
      </c>
      <c r="TV5" s="2" t="s">
        <v>614</v>
      </c>
      <c r="TW5" s="1" t="s">
        <v>4</v>
      </c>
      <c r="TX5" s="1" t="s">
        <v>542</v>
      </c>
      <c r="TY5" s="2" t="s">
        <v>220</v>
      </c>
      <c r="TZ5" s="2" t="s">
        <v>221</v>
      </c>
      <c r="UA5" s="2" t="s">
        <v>222</v>
      </c>
      <c r="UB5" s="2" t="s">
        <v>223</v>
      </c>
      <c r="UC5" s="2" t="s">
        <v>224</v>
      </c>
      <c r="UD5" s="2" t="s">
        <v>225</v>
      </c>
      <c r="UE5" s="72" t="s">
        <v>226</v>
      </c>
      <c r="UF5" s="2" t="s">
        <v>967</v>
      </c>
      <c r="UG5" s="2" t="s">
        <v>430</v>
      </c>
      <c r="UH5" s="2" t="s">
        <v>431</v>
      </c>
      <c r="UI5" s="2" t="s">
        <v>432</v>
      </c>
      <c r="UJ5" s="2" t="s">
        <v>762</v>
      </c>
      <c r="UK5" s="75" t="s">
        <v>1236</v>
      </c>
      <c r="UL5" s="1" t="s">
        <v>1167</v>
      </c>
      <c r="UM5" s="2" t="s">
        <v>1168</v>
      </c>
      <c r="UN5" s="2" t="s">
        <v>1171</v>
      </c>
      <c r="UO5" s="2" t="s">
        <v>1169</v>
      </c>
      <c r="UP5" s="2" t="s">
        <v>1185</v>
      </c>
      <c r="UQ5" s="2" t="s">
        <v>1173</v>
      </c>
      <c r="UR5" s="2" t="s">
        <v>1177</v>
      </c>
      <c r="US5" s="1" t="s">
        <v>1172</v>
      </c>
      <c r="UT5" s="77" t="s">
        <v>835</v>
      </c>
      <c r="UU5" s="1" t="s">
        <v>1297</v>
      </c>
      <c r="UV5" s="75" t="s">
        <v>1079</v>
      </c>
      <c r="UW5" s="1" t="s">
        <v>1080</v>
      </c>
      <c r="UX5" s="1" t="s">
        <v>1081</v>
      </c>
      <c r="UY5" s="1" t="s">
        <v>1086</v>
      </c>
      <c r="UZ5" s="1" t="s">
        <v>1089</v>
      </c>
      <c r="VA5" s="75" t="s">
        <v>1017</v>
      </c>
      <c r="VB5" s="1" t="s">
        <v>1018</v>
      </c>
      <c r="VC5" s="1" t="s">
        <v>941</v>
      </c>
      <c r="VD5" s="1" t="s">
        <v>1015</v>
      </c>
      <c r="VE5" s="1" t="s">
        <v>1019</v>
      </c>
      <c r="VF5" s="1" t="s">
        <v>1020</v>
      </c>
      <c r="VG5" s="1" t="s">
        <v>1021</v>
      </c>
      <c r="VH5" s="1" t="s">
        <v>1022</v>
      </c>
      <c r="VI5" s="75" t="s">
        <v>576</v>
      </c>
      <c r="VJ5" s="1" t="s">
        <v>571</v>
      </c>
      <c r="VK5" s="1" t="s">
        <v>964</v>
      </c>
      <c r="VL5" s="1" t="s">
        <v>1279</v>
      </c>
      <c r="VM5" s="2" t="s">
        <v>53</v>
      </c>
      <c r="VN5" s="2" t="s">
        <v>939</v>
      </c>
      <c r="VO5" s="72" t="s">
        <v>573</v>
      </c>
      <c r="VP5" s="408" t="s">
        <v>1309</v>
      </c>
      <c r="VQ5" s="408" t="s">
        <v>1310</v>
      </c>
      <c r="VR5" s="408" t="s">
        <v>1311</v>
      </c>
      <c r="VS5" s="408" t="s">
        <v>1312</v>
      </c>
      <c r="VT5" s="408" t="s">
        <v>1313</v>
      </c>
      <c r="VX5" s="1" t="s">
        <v>1282</v>
      </c>
    </row>
    <row r="6" spans="1:597" s="3" customFormat="1" ht="18" collapsed="1" x14ac:dyDescent="0.35">
      <c r="A6" s="54" t="s">
        <v>0</v>
      </c>
      <c r="B6" s="64" t="s">
        <v>1277</v>
      </c>
      <c r="C6" s="55">
        <v>65</v>
      </c>
      <c r="D6" s="40">
        <f>C6*12</f>
        <v>780</v>
      </c>
      <c r="E6" s="56">
        <v>0.125</v>
      </c>
      <c r="F6" s="65">
        <f>IF(ProductLine="AXC",0.0625,0.25)</f>
        <v>6.25E-2</v>
      </c>
      <c r="G6" s="40">
        <f>Tube_Length-(2*Tube_Projection)-(HDR_Plate_Thk+HDR_Plate_Thk_Rear)-(2*HDR_and_SF_Gap)</f>
        <v>777.625</v>
      </c>
      <c r="H6" s="40" t="str">
        <f>Side_Frame_Size&amp;IF(Side_Frame_Size="BC - Broke Channel"," "&amp;DY6&amp;" x "&amp;EB6&amp;" x "&amp;DZ6,"")</f>
        <v>MC12x10.6</v>
      </c>
      <c r="I6" s="39" t="s">
        <v>51</v>
      </c>
      <c r="J6" s="39" t="s">
        <v>1217</v>
      </c>
      <c r="K6" s="65" t="str">
        <f>IF(ProductLine&lt;&gt;"AXC","Bolt on Angle (Hammco)","Bolt on Angle")</f>
        <v>Bolt on Angle</v>
      </c>
      <c r="L6" s="109" t="s">
        <v>1139</v>
      </c>
      <c r="M6" s="114">
        <f ca="1">IF(ProductLine="AXC",   IFERROR(VLOOKUP(Tube_Length, INDIRECT("BTS_Loc\Qty_"&amp;Unit_Type&amp;ROUND(Tube_Dia,4)&amp;"_Table"),19, FALSE),"Type Value"),    IFERROR(VLOOKUP(Tube_Length,BTS_LL_Hammco_Table,3,FALSE),16)    )</f>
        <v>16</v>
      </c>
      <c r="N6" s="40">
        <f ca="1">IF(OR(QTY_of_BTS=1,BTS_Location&gt;Tube_Length/2),4,ABS((Tube_Length-(2*BTS_Location))/(QTY_of_BTS-1)))</f>
        <v>48</v>
      </c>
      <c r="O6" s="114">
        <f ca="1">IF( ProductLine = "AXC",     IFERROR(VLOOKUP(Tube_Length, INDIRECT("BTS_Loc\Qty_"&amp;Unit_Type&amp;ROUND(Tube_Dia,4)&amp;"_Table"),2, FALSE),"Type Val"),    IFERROR(VLOOKUP(Tube_Length,  BTS_LL_Hammco_Table,5,FALSE), 30)   )</f>
        <v>30</v>
      </c>
      <c r="P6" s="39" t="s">
        <v>1008</v>
      </c>
      <c r="Q6" s="39">
        <v>3.9999333887056512</v>
      </c>
      <c r="R6" s="114" t="str">
        <f>IF(ProductLine="Hammco","Channel","Angle")</f>
        <v>Angle</v>
      </c>
      <c r="S6" s="114" t="str">
        <f>IF(BTS_Type="Angle","L2x3x0.1875",IF(BTS_Type="Channel","C3x4.1","Pick from List"))</f>
        <v>L2x3x0.1875</v>
      </c>
      <c r="T6" s="66" t="str">
        <f>IF(SF_Width&lt;=50,"Weld On","Bolt On")</f>
        <v>Weld On</v>
      </c>
      <c r="U6" s="330" t="s">
        <v>879</v>
      </c>
      <c r="V6" s="211" t="str">
        <f>IF(Locking_Tab?="Yes","No","Yes")</f>
        <v>Yes</v>
      </c>
      <c r="W6" s="55">
        <v>15</v>
      </c>
      <c r="X6" s="39">
        <v>0</v>
      </c>
      <c r="Y6" s="39">
        <v>0</v>
      </c>
      <c r="Z6" s="56" t="s">
        <v>1257</v>
      </c>
      <c r="AA6" s="211" t="s">
        <v>1103</v>
      </c>
      <c r="AB6" s="212" t="str">
        <f>IF(Shop_LL?="U",  "ON",  "OFF")</f>
        <v>OFF</v>
      </c>
      <c r="AC6" s="109" t="s">
        <v>879</v>
      </c>
      <c r="AD6" s="114" t="str">
        <f>IF(ProductLine="AXC","AXC Weld On","HAC Bolt On")</f>
        <v>AXC Weld On</v>
      </c>
      <c r="AE6" s="211" t="s">
        <v>1184</v>
      </c>
      <c r="AF6" s="172" t="s">
        <v>968</v>
      </c>
      <c r="AG6" s="39">
        <v>278.125</v>
      </c>
      <c r="AH6" s="40">
        <f>ABS(SF_Length-AG6)/2</f>
        <v>249.75</v>
      </c>
      <c r="AI6" s="173">
        <v>0.5</v>
      </c>
      <c r="AJ6" s="39">
        <v>4</v>
      </c>
      <c r="AK6" s="56">
        <f>IF( ProductLine = "Hammco", IFERROR(VLOOKUP(Tube_Length,  BTS_LL_Hammco_Table,6,FALSE), 500),  500)</f>
        <v>500</v>
      </c>
      <c r="AL6" s="65" t="str">
        <f>IF(ProductLine="AXC","None","Channel")</f>
        <v>None</v>
      </c>
      <c r="AM6" s="114" t="str">
        <f>IF(HDR_Support_Type="Angle","L4x6x0.625",IF(HDR_Support_Type="Channel","C3x4.1","Pick from List"))</f>
        <v>Pick from List</v>
      </c>
      <c r="AN6" s="39" t="s">
        <v>127</v>
      </c>
      <c r="AO6" s="114" t="str">
        <f>Slide_Pad</f>
        <v>None</v>
      </c>
      <c r="AP6" s="55" t="s">
        <v>127</v>
      </c>
      <c r="AQ6" s="39" t="s">
        <v>1141</v>
      </c>
      <c r="AR6" s="56" t="s">
        <v>717</v>
      </c>
      <c r="AS6" s="55" t="s">
        <v>879</v>
      </c>
      <c r="AT6" s="114" t="str">
        <f ca="1">IF(ISEVEN(QTY_of_BTS),"Bolt On","Weld On")</f>
        <v>Bolt On</v>
      </c>
      <c r="AU6" s="40">
        <f ca="1">QTY_of_BTS</f>
        <v>16</v>
      </c>
      <c r="AV6" s="40">
        <f>IF(BTS_Con_Type="Bolt On",1,0)</f>
        <v>0</v>
      </c>
      <c r="AW6" s="40">
        <f>IF(AND(ProductLine="Hammco",HDR_Support_Top_Type&lt;&gt;"None",HDR_Support_Top_Con_Type="Bolt on"),1.5,IF(AND(ProductLine="Hammco",HDR_Support_Top_Type&lt;&gt;"None"),1,0))</f>
        <v>0</v>
      </c>
      <c r="AX6" s="40">
        <f>HDR_and_SF_Gap</f>
        <v>6.25E-2</v>
      </c>
      <c r="AY6" s="165">
        <v>21.915385672961552</v>
      </c>
      <c r="AZ6" s="40">
        <f>IF(MROUND(AY6,0.0625)/4&lt;1.5625,AY6/2,1.5625)</f>
        <v>1.5625</v>
      </c>
      <c r="BA6" s="40">
        <f>IF(AY6/2=AZ6,1,2)</f>
        <v>2</v>
      </c>
      <c r="BB6" s="68">
        <v>21.915385672961648</v>
      </c>
      <c r="BC6" s="40">
        <f>IF(MROUND(BB6,0.0625)/4&lt;1.5625,BB6/2,1.5625)</f>
        <v>1.5625</v>
      </c>
      <c r="BD6" s="73">
        <f>IF(BB6/2=BC6,1,2)</f>
        <v>2</v>
      </c>
      <c r="BE6" s="165">
        <v>0.6250000000043382</v>
      </c>
      <c r="BF6" s="40">
        <f>IF(BE6&lt;=1,BE6*1.75,IF(MROUND(BE6,0.0625)/4&lt;1.5625,BE6/2,1.5625))</f>
        <v>1.0937500000075919</v>
      </c>
      <c r="BG6" s="40">
        <f>IF(BE6/2=BF6,1,2)</f>
        <v>2</v>
      </c>
      <c r="BH6" s="68">
        <v>0.62500000000430156</v>
      </c>
      <c r="BI6" s="40">
        <f>IF(BH6&lt;=1,BH6*1.75,IF(MROUND(BH6,0.0625)/4&lt;1.5625,BH6/2,1.5625))</f>
        <v>1.0937500000075278</v>
      </c>
      <c r="BJ6" s="73">
        <f>IF(BH6/2=BI6,1,2)</f>
        <v>2</v>
      </c>
      <c r="BK6" s="41">
        <v>1.9999999999999956</v>
      </c>
      <c r="BL6" s="40" t="str">
        <f>VLOOKUP(ROUND($BK$6,3),HDR_Support_Type_Table,2,TRUE)</f>
        <v>Weld Bar</v>
      </c>
      <c r="BM6" s="41">
        <v>0.99999999999999589</v>
      </c>
      <c r="BN6" s="40" t="str">
        <f>VLOOKUP(ROUND($BM$6,3),HDR_Support_Type_Table,2,TRUE)</f>
        <v>Float Bar</v>
      </c>
      <c r="BO6" s="41">
        <v>5</v>
      </c>
      <c r="BP6" s="40" t="str">
        <f>VLOOKUP(ROUND(BO6,1),SF_Ref_Table,2,FALSE)</f>
        <v>MC12x10.6</v>
      </c>
      <c r="BQ6" s="40" t="str">
        <f>IF(ProductLine&lt;&gt;"AXC","S","U")</f>
        <v>U</v>
      </c>
      <c r="BR6" s="40" t="str">
        <f>IF(ProductLine&lt;&gt;"AXC","U","S")</f>
        <v>S</v>
      </c>
      <c r="BS6" s="41">
        <v>31.374999284744241</v>
      </c>
      <c r="BT6" s="41">
        <v>29.000000000000004</v>
      </c>
      <c r="BU6" s="41">
        <v>3.9999999999999969</v>
      </c>
      <c r="BV6" s="41">
        <v>0.25000000000000089</v>
      </c>
      <c r="BW6" s="41">
        <v>9.9999999999269527E-6</v>
      </c>
      <c r="BX6" s="40">
        <f>IF(TSS_IN_SF?="Yes", 1, 0.00001)</f>
        <v>1</v>
      </c>
      <c r="BY6" s="40">
        <f>VLOOKUP(TTS_Type,TTS_Table,2,FALSE)</f>
        <v>1</v>
      </c>
      <c r="BZ6" s="42">
        <v>6.2721143170279987</v>
      </c>
      <c r="CA6" s="41">
        <v>360</v>
      </c>
      <c r="CB6" s="41">
        <v>1.0000000000001172</v>
      </c>
      <c r="CC6" s="41">
        <v>0.99999999999983746</v>
      </c>
      <c r="CD6" s="41">
        <v>0</v>
      </c>
      <c r="CE6" s="41">
        <v>1.5000000000000009</v>
      </c>
      <c r="CF6" s="40">
        <f>(Pitch/2)*TAN(RADIANS(60))</f>
        <v>1.2990381056766582</v>
      </c>
      <c r="CG6" s="41">
        <v>9.9999999969219204E-6</v>
      </c>
      <c r="CH6" s="40" t="str">
        <f>IF(ROUND(CG6,4)=1,"Yes", "No")</f>
        <v>No</v>
      </c>
      <c r="CI6" s="71" t="str">
        <f>IF(LEFT(Side_Frame_Size,2)="MC","U","S")</f>
        <v>U</v>
      </c>
      <c r="CJ6" s="40">
        <f>VLOOKUP(IF(LEFT(Side_Frame_Size,2)="MC",Side_Frame_Size,"MC12x10.6"),MC_Channel_Table,2,FALSE)</f>
        <v>10.6</v>
      </c>
      <c r="CK6" s="40">
        <f>VLOOKUP(IF(LEFT(Side_Frame_Size,2)="MC",Side_Frame_Size,"MC12x10.6"),MC_Channel_Table,3,FALSE)</f>
        <v>12.000000000000002</v>
      </c>
      <c r="CL6" s="40">
        <f>VLOOKUP(IF(LEFT(Side_Frame_Size,2)="MC",Side_Frame_Size,"MC12x10.6"),MC_Channel_Table,4,FALSE)</f>
        <v>0.18999999999999997</v>
      </c>
      <c r="CM6" s="40">
        <f>VLOOKUP(IF(LEFT(Side_Frame_Size,2)="MC",Side_Frame_Size,"MC12x10.6"),MC_Channel_Table,5,FALSE)</f>
        <v>1.5000000000000002</v>
      </c>
      <c r="CN6" s="40">
        <f>VLOOKUP(IF(LEFT(Side_Frame_Size,2)="MC",Side_Frame_Size,"MC12x10.6"),MC_Channel_Table,6,FALSE)</f>
        <v>0.30899999999999994</v>
      </c>
      <c r="CO6" s="40">
        <f>VLOOKUP(IF(LEFT(Side_Frame_Size,2)="MC",Side_Frame_Size,"MC12x10.6"),MC_Channel_Table,7,FALSE)</f>
        <v>0.25</v>
      </c>
      <c r="CP6" s="40">
        <f>VLOOKUP(IF(LEFT(Side_Frame_Size,2)="MC",Side_Frame_Size,"MC12x10.6"),MC_Channel_Table,8,FALSE)</f>
        <v>0.13</v>
      </c>
      <c r="CQ6" s="40">
        <f>VLOOKUP(IF(LEFT(Side_Frame_Size,2)="MC",Side_Frame_Size,"MC12x10.6"),MC_Channel_Table,9,FALSE)</f>
        <v>9.4629999999999992</v>
      </c>
      <c r="CR6" s="40">
        <f>VLOOKUP(IF(LEFT(Side_Frame_Size,2)="MC",Side_Frame_Size,"MC12x10.6"),MC_Channel_Table,10,FALSE)</f>
        <v>8.9700168853607709E-2</v>
      </c>
      <c r="CS6" s="40">
        <f>VLOOKUP(IF(LEFT(Side_Frame_Size,2)="MC",Side_Frame_Size,"MC12x10.6"),MC_Channel_Table,11,FALSE)</f>
        <v>10.740092274765473</v>
      </c>
      <c r="CT6" s="73">
        <f>VLOOKUP(IF(LEFT(Side_Frame_Size,2)="MC",Side_Frame_Size,"MC12x10.6"),MC_Channel_Table,12,FALSE)</f>
        <v>0.62995386261726427</v>
      </c>
      <c r="CU6" s="71" t="str">
        <f>IF(LEFT(Side_Frame_Size,1)="C","U","S")</f>
        <v>S</v>
      </c>
      <c r="CV6" s="40">
        <f>VLOOKUP(IF(LEFT(Side_Frame_Size,1)="C",Side_Frame_Size,"C12x20.7"),C_Channel_Table,4,FALSE)</f>
        <v>12.000000000000002</v>
      </c>
      <c r="CW6" s="40">
        <f>VLOOKUP(IF(LEFT(Side_Frame_Size,1)="C",Side_Frame_Size,"C12x20.7"),C_Channel_Table,5,FALSE)</f>
        <v>0.28199999999999997</v>
      </c>
      <c r="CX6" s="40">
        <f>VLOOKUP(IF(LEFT(Side_Frame_Size,1)="C",Side_Frame_Size,"C12x20.7"),C_Channel_Table,6,FALSE)</f>
        <v>2.9419999999999997</v>
      </c>
      <c r="CY6" s="40">
        <f>VLOOKUP(IF(LEFT(Side_Frame_Size,1)="C",Side_Frame_Size,"C12x20.7"),C_Channel_Table,7,FALSE)</f>
        <v>0.501</v>
      </c>
      <c r="CZ6" s="40">
        <f>VLOOKUP(IF(LEFT(Side_Frame_Size,1)="C",Side_Frame_Size,"C12x20.7"),C_Channel_Table,8,FALSE)</f>
        <v>0.37999999999999995</v>
      </c>
      <c r="DA6" s="40">
        <f>VLOOKUP(IF(LEFT(Side_Frame_Size,1)="C",Side_Frame_Size,"C12x20.7"),C_Channel_Table,9,FALSE)</f>
        <v>0.16999999999999998</v>
      </c>
      <c r="DB6" s="40">
        <f>VLOOKUP(IF(LEFT(Side_Frame_Size,1)="C",Side_Frame_Size,"C12x20.7"),C_Channel_Table,10,FALSE)</f>
        <v>9.4629999999999992</v>
      </c>
      <c r="DC6" s="40">
        <f>VLOOKUP(IF(LEFT(Side_Frame_Size,1)="C",Side_Frame_Size,"C12x20.7"),C_Channel_Table,11,FALSE)</f>
        <v>0.13530728481002544</v>
      </c>
      <c r="DD6" s="73">
        <f>VLOOKUP(IF(LEFT(Side_Frame_Size,1)="C",Side_Frame_Size,"C12x20.7"),C_Channel_Table,12,FALSE)</f>
        <v>20.7</v>
      </c>
      <c r="DE6" s="71" t="str">
        <f>IF(LEFT(Side_Frame_Size,2)="BC","U","S")</f>
        <v>S</v>
      </c>
      <c r="DF6" s="40" t="str">
        <f>IF(DE6="S","S",IF(ROUND(SF_Lip,0)=0,"S","U"))</f>
        <v>S</v>
      </c>
      <c r="DG6" s="40" t="str">
        <f>$DF6</f>
        <v>S</v>
      </c>
      <c r="DH6" s="45" t="str">
        <f>$DF6</f>
        <v>S</v>
      </c>
      <c r="DI6" s="40" t="str">
        <f>IF(ProductLine="Hammco","U","S")</f>
        <v>S</v>
      </c>
      <c r="DJ6" s="45" t="str">
        <f>$DI6</f>
        <v>S</v>
      </c>
      <c r="DK6" s="45" t="str">
        <f t="shared" ref="DK6:DL6" si="0">$DI6</f>
        <v>S</v>
      </c>
      <c r="DL6" s="45" t="str">
        <f t="shared" si="0"/>
        <v>S</v>
      </c>
      <c r="DM6" s="40" t="str">
        <f>IF(ProductLine="AXC","U","S")</f>
        <v>U</v>
      </c>
      <c r="DN6" s="45" t="str">
        <f>$DM6</f>
        <v>U</v>
      </c>
      <c r="DO6" s="45" t="str">
        <f>$DM6</f>
        <v>U</v>
      </c>
      <c r="DP6" s="45" t="str">
        <f>$DM6</f>
        <v>U</v>
      </c>
      <c r="DQ6" s="40" t="str">
        <f>IF(AND(ProductLine="Hammco",DG6="U"),"U","S")</f>
        <v>S</v>
      </c>
      <c r="DR6" s="45" t="str">
        <f>$DQ6</f>
        <v>S</v>
      </c>
      <c r="DS6" s="45" t="str">
        <f t="shared" ref="DS6:DX6" si="1">$DQ6</f>
        <v>S</v>
      </c>
      <c r="DT6" s="45" t="str">
        <f t="shared" si="1"/>
        <v>S</v>
      </c>
      <c r="DU6" s="45" t="str">
        <f t="shared" si="1"/>
        <v>S</v>
      </c>
      <c r="DV6" s="45" t="str">
        <f t="shared" si="1"/>
        <v>S</v>
      </c>
      <c r="DW6" s="45" t="str">
        <f t="shared" si="1"/>
        <v>S</v>
      </c>
      <c r="DX6" s="45" t="str">
        <f t="shared" si="1"/>
        <v>S</v>
      </c>
      <c r="DY6" s="40">
        <f>ROUND(SF_Depth,4)</f>
        <v>29</v>
      </c>
      <c r="DZ6" s="40">
        <f>ROUND(SF_Thk,4)</f>
        <v>0.25</v>
      </c>
      <c r="EA6" s="45">
        <f>DZ6</f>
        <v>0.25</v>
      </c>
      <c r="EB6" s="40">
        <f>SF_Toe</f>
        <v>3.9999999999999969</v>
      </c>
      <c r="EC6" s="40">
        <f>IF(ROUND(SF_Lip,4)=0,0.0001,ROUND(SF_Lip,4))</f>
        <v>1E-4</v>
      </c>
      <c r="ED6" s="79">
        <f>EC6</f>
        <v>1E-4</v>
      </c>
      <c r="EE6" s="105">
        <f>ROUND(SF_Lip,4)+SF_Thk</f>
        <v>0.25000000000000089</v>
      </c>
      <c r="EF6" s="43">
        <f>IF(AND(LEFT(Side_Frame_Size,2)="BC",ROUND(SF_Lip,0)&lt;&gt;0),EA6+DZ6,0.0156)</f>
        <v>1.5599999999999999E-2</v>
      </c>
      <c r="EG6" s="71" t="str">
        <f ca="1">IF(OR(QTY_of_BTS=0,ProductLine&lt;&gt;"AXC",AND(TSS_IN_SF?="No",BB_IN_SF?="No")),"S","U")</f>
        <v>U</v>
      </c>
      <c r="EH6" s="40" t="str">
        <f ca="1">IF(AND($Z6&lt;&gt;"STD",TSS_Frame_State="U"),"U","S")</f>
        <v>S</v>
      </c>
      <c r="EI6" s="40" t="str">
        <f ca="1">IF(EH6="S","U","S")</f>
        <v>U</v>
      </c>
      <c r="EJ6" s="38" t="s">
        <v>843</v>
      </c>
      <c r="EK6" s="40" t="str">
        <f ca="1">IF(OR(QTY_of_BTS&lt;=1,ProductLine&lt;&gt;"AXC",TSS_Frame_State="S"),"S","U")</f>
        <v>U</v>
      </c>
      <c r="EL6" s="40" t="str">
        <f ca="1">IF(AND(BTS_Move_State="U",TSS_Frame_State="U"),"U","S")</f>
        <v>S</v>
      </c>
      <c r="EM6" s="40">
        <f>VLOOKUP(Side_Frame_Size,K_Value_Table,2,FALSE)</f>
        <v>0.75</v>
      </c>
      <c r="EN6" s="41">
        <v>0.19000000000423975</v>
      </c>
      <c r="EO6" s="41">
        <v>0.62500000000001221</v>
      </c>
      <c r="EP6" s="41">
        <v>1.5000000000000016</v>
      </c>
      <c r="EQ6" s="41">
        <v>1.437500284744256</v>
      </c>
      <c r="ER6" s="40">
        <f>MROUND(End_Drill - SF_Web_THK - 0.1046 -((Fin_Dia/2)-0.125),0.25)</f>
        <v>0.5</v>
      </c>
      <c r="ES6" s="40" t="str">
        <f>IF(TSS_IN_SF?="Yes","U","S")</f>
        <v>U</v>
      </c>
      <c r="ET6" s="45" t="str">
        <f>ES6</f>
        <v>U</v>
      </c>
      <c r="EU6" s="45" t="str">
        <f>ES6</f>
        <v>U</v>
      </c>
      <c r="EV6" s="45" t="str">
        <f>ES6</f>
        <v>U</v>
      </c>
      <c r="EW6" s="45" t="str">
        <f>ES6</f>
        <v>U</v>
      </c>
      <c r="EX6" s="40" t="str">
        <f ca="1">IF(TSS_Frame_State="S","S", IF(BB_IN_SF?="Yes","U","S"))</f>
        <v>U</v>
      </c>
      <c r="EY6" s="45" t="str">
        <f ca="1">EX6</f>
        <v>U</v>
      </c>
      <c r="EZ6" s="45" t="str">
        <f ca="1">EX6</f>
        <v>U</v>
      </c>
      <c r="FA6" s="40" t="str">
        <f ca="1">IF(ProductLine&lt;&gt;"AXC","S",TSS_Frame_State)</f>
        <v>U</v>
      </c>
      <c r="FB6" s="45" t="str">
        <f ca="1">$FA$6</f>
        <v>U</v>
      </c>
      <c r="FC6" s="45" t="str">
        <f ca="1">$FA$6</f>
        <v>U</v>
      </c>
      <c r="FD6" s="45" t="str">
        <f ca="1">$FA$6</f>
        <v>U</v>
      </c>
      <c r="FE6" s="45" t="str">
        <f ca="1">$FA$6</f>
        <v>U</v>
      </c>
      <c r="FF6" s="79" t="str">
        <f ca="1">$FA$6</f>
        <v>U</v>
      </c>
      <c r="FG6" s="40">
        <f ca="1">IF(ProductLine="Hammco", COS(RADIANS(Tube_Slope_Angle))*BTS_Spacing, BTS_Spacing)</f>
        <v>48</v>
      </c>
      <c r="FH6" s="40" t="str">
        <f>IF(ProductLine&lt;&gt;"Hammco","U","S")</f>
        <v>U</v>
      </c>
      <c r="FI6" s="40" t="str">
        <f>IF(FH6="U","S","U")</f>
        <v>S</v>
      </c>
      <c r="FJ6" s="40" t="str">
        <f ca="1">IF(OR(QTY_of_BTS=0,TTS_Type="Bolt on Angle (Hammco)"),"S",IF(LEFT(TTS_Type,7)="Weld on","S","U"))</f>
        <v>U</v>
      </c>
      <c r="FK6" s="45" t="str">
        <f ca="1">FJ6</f>
        <v>U</v>
      </c>
      <c r="FL6" s="305" t="str">
        <f ca="1">IF(OR(QTY_of_BTS=0,FJ6="S"),"S",IF(OR(QTY_of_BTS&lt;=1,LEFT(TTS_Type,7)="Weld on"),"S","U"))</f>
        <v>U</v>
      </c>
      <c r="FM6" s="40" t="str">
        <f ca="1">IF( OR(QTY_of_BTS=0, ProductLine&lt;&gt;"AXC"),  "S",  "U")</f>
        <v>U</v>
      </c>
      <c r="FN6" s="40" t="str">
        <f ca="1">IF(  OR(FM6="S", QTY_of_BTS&lt;=1),  "S",  "U")</f>
        <v>U</v>
      </c>
      <c r="FO6" s="45">
        <f ca="1">FG6</f>
        <v>48</v>
      </c>
      <c r="FP6" s="40">
        <f ca="1">IF(QTY_of_BTS&lt;=1, 2, QTY_of_BTS)</f>
        <v>16</v>
      </c>
      <c r="FQ6" s="306" t="str">
        <f>IF(LEFT(Side_Frame_Size,2)="MC","U","S")</f>
        <v>U</v>
      </c>
      <c r="FR6" s="45" t="str">
        <f>FQ6</f>
        <v>U</v>
      </c>
      <c r="FS6" s="299" t="str">
        <f>IF(FQ6="U","S","U")</f>
        <v>S</v>
      </c>
      <c r="FT6" s="45" t="str">
        <f>FS6</f>
        <v>S</v>
      </c>
      <c r="FU6" s="299" t="str">
        <f>IF(AND(FQ6="S",FS6="S"),  "S","U")</f>
        <v>U</v>
      </c>
      <c r="FV6" s="45" t="str">
        <f>FU6</f>
        <v>U</v>
      </c>
      <c r="FW6" s="45" t="str">
        <f>FU6</f>
        <v>U</v>
      </c>
      <c r="FX6" s="40" t="str">
        <f>IF( ProductLine&lt;&gt;"AXC",  "S",  "U")</f>
        <v>U</v>
      </c>
      <c r="FY6" s="45" t="str">
        <f>FX6</f>
        <v>U</v>
      </c>
      <c r="FZ6" s="81">
        <v>27</v>
      </c>
      <c r="GA6" s="40">
        <f>INT(Row_Length/ROUND(Pitch,8))+1</f>
        <v>19</v>
      </c>
      <c r="GB6" s="40">
        <f>INT(Max_Spacing/ROUND(Pitch,8))</f>
        <v>10</v>
      </c>
      <c r="GC6" s="40">
        <f>Pitch*GB6</f>
        <v>15.000000000000009</v>
      </c>
      <c r="GD6" s="40">
        <f>IF(TSS_Spacing=0,0,INT(Row_Length / TSS_Spacing))</f>
        <v>1</v>
      </c>
      <c r="GE6" s="40">
        <f>Pitch*(INT(((Tube_QTY_in_Row-(Tube_QTY_between_TSS*(Possible_TSS_QTY-1)))/2) + 0.00001)-1)</f>
        <v>12.000000000000007</v>
      </c>
      <c r="GF6" s="40">
        <f>INT(IF(Possible_TSS_Location &lt; INT((Max_Spacing/2)/Pitch)*Pitch,ABS(Possible_TSS_QTY-1),Possible_TSS_QTY))</f>
        <v>1</v>
      </c>
      <c r="GG6" s="40">
        <f>IF(TSS_QTY&lt;1,2,TSS_QTY)</f>
        <v>1</v>
      </c>
      <c r="GH6" s="40">
        <f>ABS(Pitch*(INT(((Tube_QTY_in_Row-(Tube_QTY_between_TSS*ABS(TSS_QTY-1)))/2)+0.00001)-1+X6))+0.00001</f>
        <v>12.000010000000007</v>
      </c>
      <c r="GI6" s="40" t="str">
        <f ca="1">IF(OR(QTY_of_BTS=0,ProductLine&lt;&gt;"AXC",TSS_IN_SF?="No"),"S",IF(OR(Pitch*(Tube_QTY_in_Row-1)&lt;=Max_Spacing,(AND(TSS_QTY&lt;1,QTY_of_BTS&lt;1))),"S","U"))</f>
        <v>U</v>
      </c>
      <c r="GJ6" s="40" t="str">
        <f ca="1">IF(AND(BTS_Move_State="U",TSS_State="U"),"U","S")</f>
        <v>S</v>
      </c>
      <c r="GK6" s="40" t="str">
        <f ca="1">IF(OR(GI6="S",AND(QTY_of_BTS&lt;=1,GG6&lt;=1)),"S","U")</f>
        <v>U</v>
      </c>
      <c r="GL6" s="45" t="str">
        <f ca="1">$GI$6</f>
        <v>U</v>
      </c>
      <c r="GM6" s="45" t="str">
        <f t="shared" ref="GM6:GO6" ca="1" si="2">$GI$6</f>
        <v>U</v>
      </c>
      <c r="GN6" s="45" t="str">
        <f t="shared" ca="1" si="2"/>
        <v>U</v>
      </c>
      <c r="GO6" s="79" t="str">
        <f t="shared" ca="1" si="2"/>
        <v>U</v>
      </c>
      <c r="GP6" s="81">
        <v>1.0000000005663834E-5</v>
      </c>
      <c r="GQ6" s="41">
        <v>5.9999999999999991</v>
      </c>
      <c r="GR6" s="40">
        <f>INT(Row_Length_SS/ROUND(Pitch,8))+1</f>
        <v>1</v>
      </c>
      <c r="GS6" s="40">
        <f>INT(Max_Spacing/ROUND(Pitch,8))</f>
        <v>10</v>
      </c>
      <c r="GT6" s="40">
        <f>Pitch*Tube_QTY_between_TSS_SS</f>
        <v>15.000000000000009</v>
      </c>
      <c r="GU6" s="40">
        <f>IF(TSS_Spacing_SS=0,0,INT(Row_Length_SS / TSS_Spacing_SS))</f>
        <v>0</v>
      </c>
      <c r="GV6" s="40">
        <f>Pitch*(INT(((Tube_QTY_in_Row_SS-(Tube_QTY_between_TSS_SS*(Possible_TSS_QTY_SS-1)))/2) + 0.00001)-1)</f>
        <v>6.0000000000000036</v>
      </c>
      <c r="GW6" s="40">
        <f>INT(IF(Possible_TSS_Location_SS &lt; INT((Max_Spacing/2)/Pitch)*Pitch,ABS(Possible_TSS_QTY_SS-1),Possible_TSS_QTY_SS))</f>
        <v>1</v>
      </c>
      <c r="GX6" s="40">
        <f>IF(TSS_QTY_SS&lt;1,2,TSS_QTY_SS)</f>
        <v>1</v>
      </c>
      <c r="GY6" s="40" t="str">
        <f ca="1">IF(OR(HA6="S",AND(QTY_of_BTS&lt;=1,GX6&lt;=1)),"S","U")</f>
        <v>S</v>
      </c>
      <c r="GZ6" s="40">
        <f>ABS(Pitch*(INT(((Tube_QTY_in_Row_SS-(Tube_QTY_between_TSS_SS*ABS(TSS_QTY_SS-1)))/2)+0.00001)-1+Y6))+0.00001</f>
        <v>1.500010000000001</v>
      </c>
      <c r="HA6" s="40" t="str">
        <f ca="1">IF(OR(ProductLine&lt;&gt;"AXC",QTY_of_BTS=0),  "S",  IF(OR(Pitch*(Tube_QTY_in_Row_SS-1)&lt;=Max_Spacing,(AND(TSS_QTY_SS&lt;1,QTY_of_BTS&lt;1))),"S","U"))</f>
        <v>S</v>
      </c>
      <c r="HB6" s="73" t="str">
        <f ca="1">IF(AND(BTS_Move_State="U",HA6="U"),"U","S")</f>
        <v>S</v>
      </c>
      <c r="HC6" s="71" t="str">
        <f ca="1">IF(OR(ProductLine&lt;&gt;"AXC",SS_1=0,QTY_of_BTS=0),"S","U")</f>
        <v>S</v>
      </c>
      <c r="HD6" s="40" t="str">
        <f ca="1">IF(AND(BTS_Move_State="U",SSS?="U"),"U","S")</f>
        <v>S</v>
      </c>
      <c r="HE6" s="40" t="str">
        <f ca="1">IF(OR(QTY_of_BTS&lt;=1,SSS?="S"),"S","U")</f>
        <v>S</v>
      </c>
      <c r="HF6" s="207" t="s">
        <v>1049</v>
      </c>
      <c r="HG6" s="40" t="str">
        <f>IF(OR(SSS_Length_Match?="No",SSS_Length_Match?="Yes - Left Side"),   "U",   "S")</f>
        <v>S</v>
      </c>
      <c r="HH6" s="40" t="str">
        <f>IF(OR(SSS_Length_Match?="No",SSS_Length_Match?="Yes - Right Side"),   "U",   "S")</f>
        <v>U</v>
      </c>
      <c r="HI6" s="40" t="str">
        <f>IF(SSS_Length_Match?="No",   "S",   "U")</f>
        <v>U</v>
      </c>
      <c r="HJ6" s="40" t="str">
        <f ca="1">IF(SSS?="S","S",IF(AND(QTY_of_BTS&lt;=2,SSPC?="S"),"S","U"))</f>
        <v>S</v>
      </c>
      <c r="HK6" s="40" t="str">
        <f ca="1">IF(SSS?="S","S",IF(QTY_of_BTS&lt;=2,"S","U"))</f>
        <v>S</v>
      </c>
      <c r="HL6" s="40">
        <f ca="1">BTS_Spacing</f>
        <v>48</v>
      </c>
      <c r="HM6" s="40">
        <f>0.000004</f>
        <v>3.9999999999999998E-6</v>
      </c>
      <c r="HN6" s="40" t="str">
        <f ca="1">IF(SSP?="S","S","U")</f>
        <v>S</v>
      </c>
      <c r="HO6" s="40">
        <f ca="1">IF(AND(INT(SSP_Length)&lt;&gt;54,INT(SSP_Inner_Dim)=0),ROUNDUP(Tube_Length/INT(SSP_Length),0)+1,ROUNDUP(Tube_Length/INT(SSP_Length),0)+0)</f>
        <v>18</v>
      </c>
      <c r="HP6" s="40">
        <f ca="1">SSP_Outer_Dim+SSP_Inner_Dim</f>
        <v>48.000003999999997</v>
      </c>
      <c r="HQ6" s="40" t="str">
        <f ca="1">IF(SSPanel_QTY&lt;=1,"S",SSP?)</f>
        <v>S</v>
      </c>
      <c r="HR6" s="46" t="str">
        <f ca="1">SSS?</f>
        <v>S</v>
      </c>
      <c r="HS6" s="47">
        <f ca="1">ABS((Tube_Length/2)-BTS_Location-SSP_Inner_Dim)</f>
        <v>359.99999600000001</v>
      </c>
      <c r="HT6" s="47">
        <f ca="1">SSP_Seam_Dist_fm-(INT(SSP_Seam_Dist_fm/SSP_Length)*SSP_Length)</f>
        <v>23.999968000000024</v>
      </c>
      <c r="HU6" s="40">
        <f ca="1">IF(QTY_of_BTS&lt;=2,SF_Length/2,SSPC_Seam_Dist)</f>
        <v>23.999968000000024</v>
      </c>
      <c r="HV6" s="48">
        <f ca="1">IF(AND(ISEVEN(QTY_of_BTS),QTY_of_BTS&gt;=2, ISEVEN((QTY_of_BTS-1)/2)),         BTS_Spacing/2,               IF(AND(QTY_of_BTS&lt;=1,SF_Length&lt;=96),        SF_Length/2,                 IF(AND(SF_Length&gt;=96,QTY_of_BTS=1),        ABS(Tube_Length/2-BTS_Location)+0.000004,                 IF(AND(BTS_Spacing&lt;=96,SF_Length&gt;96),           ABS(Tube_Length/2-(((QTY_of_BTS-1)/2)*BTS_Spacing)-BTS_Location+IF(Offset_BTS?="No", 0, IF(Offset_BTS?="Yes - Rear HDR",BTS_Offset,-BTS_Offset)))+0.000004,         ABS(SSP_Length-SSPC_Front_Dim)))))</f>
        <v>3.9999373887056513</v>
      </c>
      <c r="HW6" s="43">
        <f ca="1">BTS_Spacing/2</f>
        <v>24</v>
      </c>
      <c r="HX6" s="40">
        <f>SF_Length/2</f>
        <v>388.8125</v>
      </c>
      <c r="HY6" s="40">
        <f ca="1">ABS(Tube_Length/2-BTS_Location)+0.000004</f>
        <v>360.00000399999999</v>
      </c>
      <c r="HZ6" s="44">
        <f ca="1">ABS(Tube_Length/2-(((QTY_of_BTS-1)/2)*BTS_Spacing)-BTS_Location+IF(Offset_BTS?="No",0,IF(Offset_BTS?="Yes - Rear HDR",BTS_Offset,-BTS_Offset)))+0.000004</f>
        <v>3.9999373887056513</v>
      </c>
      <c r="IA6" s="40">
        <f ca="1">ABS(SSP_Length-SSPC_Front_Dim)</f>
        <v>24.000035999999973</v>
      </c>
      <c r="IB6" s="40" t="str">
        <f ca="1">IF(SSS?="S","S",IF(AND(SF_Length&gt;96,QTY_of_BTS&lt;=2),"U","S"))</f>
        <v>S</v>
      </c>
      <c r="IC6" s="45" t="str">
        <f ca="1">SSPC_Opp?</f>
        <v>S</v>
      </c>
      <c r="ID6" s="40">
        <f ca="1">SSPC_Front_Dim+SSPC_Rear_Dim</f>
        <v>27.999905388705674</v>
      </c>
      <c r="IE6" s="40" t="str">
        <f ca="1">IF(SSPC_Opp?="S","S",IF(OR(AND(QTY_of_BTS&lt;=1,BTS_Location&gt;=Tube_Length/2),AND(QTY_of_BTS&gt;=2,BTS_Location&lt;Tube_Length/2)),"S","U"))</f>
        <v>S</v>
      </c>
      <c r="IF6" s="45" t="str">
        <f ca="1">$IE$6</f>
        <v>S</v>
      </c>
      <c r="IG6" s="45" t="str">
        <f ca="1">SSPC_Opp?</f>
        <v>S</v>
      </c>
      <c r="IH6" s="45" t="str">
        <f ca="1">SSS?</f>
        <v>S</v>
      </c>
      <c r="II6" s="40" t="str">
        <f ca="1">IF(SSS?="S","S",IF(AND(SSS?="U",QTY_of_BTS&gt;2),"U","S"))</f>
        <v>S</v>
      </c>
      <c r="IJ6" s="45">
        <f ca="1">SSPC_Front_Dim</f>
        <v>23.999968000000024</v>
      </c>
      <c r="IK6" s="45">
        <f ca="1">SSPC_Rear_Dim</f>
        <v>3.9999373887056513</v>
      </c>
      <c r="IL6" s="71" t="str">
        <f ca="1">IF(AND(LEFT(Offset_BTS?,3)="Yes",ISODD(QTY_of_BTS),QTY_of_BTS&lt;&gt;1),"U","S")</f>
        <v>S</v>
      </c>
      <c r="IM6" s="40" t="str">
        <f ca="1">IF(AND(BTS_Move_State="U",BTS_Angle_State="U"),"U","S")</f>
        <v>S</v>
      </c>
      <c r="IN6" s="40" t="str">
        <f ca="1">IF(AND(BTS_Move_State="U",BTS_CChannel_State="U"),"U","S")</f>
        <v>S</v>
      </c>
      <c r="IO6" s="40" t="str">
        <f ca="1">IF(AND(BTS_Move_State="U",BTS_SSection_State="U"),"U","S")</f>
        <v>S</v>
      </c>
      <c r="IP6" s="40" t="str">
        <f ca="1">IF(AND(BTS_Move_State="U",BTS_WSection_State="U"),"U","S")</f>
        <v>S</v>
      </c>
      <c r="IQ6" s="40" t="str">
        <f ca="1">IF(AND(ProductLine="AXC",BTS_Move_State="U"),"U","S")</f>
        <v>S</v>
      </c>
      <c r="IR6" s="40" t="str">
        <f ca="1">IF(AND(BTS_Move_State="U",BTS_Bolt_on_Plate_State="U"),"U","S")</f>
        <v>S</v>
      </c>
      <c r="IS6" s="40" t="str">
        <f ca="1">IF(AND(BTS_Move_State="U",BTS_Rod_State="U"),"U","S")</f>
        <v>S</v>
      </c>
      <c r="IT6" s="40" t="str">
        <f ca="1">IF(AND(BTS_Move_State="U",TTS_Bracket_State="U"),"U","S")</f>
        <v>S</v>
      </c>
      <c r="IU6" s="40" t="str">
        <f ca="1">IF(AND(BTS_Move_State="U",BTS_Bolt_on_Plate_State="U"),"U","S")</f>
        <v>S</v>
      </c>
      <c r="IV6" s="45" t="str">
        <f ca="1">IU6</f>
        <v>S</v>
      </c>
      <c r="IW6" s="40" t="str">
        <f>IF(Offset_BTS?="Yes - Front HDR","U","S")</f>
        <v>S</v>
      </c>
      <c r="IX6" s="40" t="str">
        <f>IF(IW6="S","U","S")</f>
        <v>U</v>
      </c>
      <c r="IY6" s="45">
        <f ca="1">QH6</f>
        <v>1</v>
      </c>
      <c r="IZ6" s="45">
        <f ca="1">QI6</f>
        <v>3</v>
      </c>
      <c r="JA6" s="73">
        <f ca="1">IF(BTS_Move_State="U",1,0.000001)</f>
        <v>9.9999999999999995E-7</v>
      </c>
      <c r="JB6" s="40">
        <f ca="1">IF(BTS_Move_State="U",VLOOKUP(Offset_BTS?,Offset_Center_BTS_Table,2,FALSE),  0.00001)</f>
        <v>1.0000000000000001E-5</v>
      </c>
      <c r="JC6" s="40">
        <f ca="1">IF(BTS_Move_State="U",BTS_Offset,  0.00001)</f>
        <v>1.0000000000000001E-5</v>
      </c>
      <c r="JD6" s="78" t="str">
        <f ca="1">SSS?</f>
        <v>S</v>
      </c>
      <c r="JE6" s="45" t="str">
        <f ca="1">SSS?</f>
        <v>S</v>
      </c>
      <c r="JF6" s="45" t="str">
        <f ca="1">SSS?</f>
        <v>S</v>
      </c>
      <c r="JG6" s="45" t="str">
        <f ca="1">SSS?</f>
        <v>S</v>
      </c>
      <c r="JH6" s="79" t="str">
        <f ca="1">SSS?</f>
        <v>S</v>
      </c>
      <c r="JI6" s="43">
        <v>0.1046</v>
      </c>
      <c r="JJ6" s="202">
        <f>End_Drill - SF_Web_THK - ((Fin_Dia-0)/2) - Wiggle_Strip_Thk</f>
        <v>0.39290028474001548</v>
      </c>
      <c r="JK6" s="192">
        <f>Gap + 0.125</f>
        <v>0.51790028474001548</v>
      </c>
      <c r="JL6" s="192">
        <f>IF(Gap&lt;=0.25, 0.25,  VLOOKUP(CEILING(Gap,0.125),Flat_Bar_Thk_List,1,TRUE))</f>
        <v>0.5</v>
      </c>
      <c r="JM6" s="192">
        <f>IF(Gap&lt;=0.25, 0.25,  VLOOKUP(FLOOR(Gap,0.125),Flat_Bar_Thk_List,1,TRUE))</f>
        <v>0.375</v>
      </c>
      <c r="JN6" s="198">
        <f>IF(Backer_Bar_Thicker + Wiggle_Strip_Thk &gt; Gap_w_crush,  Backer_Bar_Thinner,  Backer_Bar_Thicker)</f>
        <v>0.375</v>
      </c>
      <c r="JO6" s="71">
        <f>VLOOKUP(BP6,HDR_Support_table,8,FALSE)</f>
        <v>11.25</v>
      </c>
      <c r="JP6" s="40" t="str">
        <f>IF(AND(Shop_LL?="U", Front_Support_Bar_Type&lt;&gt;"None", Rear_Support_Bar_Type&lt;&gt;"None"), "U",  IF( AND(Front_Support_Bar_Type="Float Bar",ProductLine="AXC"),"U","S"))</f>
        <v>S</v>
      </c>
      <c r="JQ6" s="45" t="str">
        <f>JP6</f>
        <v>S</v>
      </c>
      <c r="JR6" s="45" t="str">
        <f>"S"</f>
        <v>S</v>
      </c>
      <c r="JS6" s="40" t="str">
        <f>IF(AND(Shop_LL?="U", Front_Support_Bar_Type&lt;&gt;"None", Rear_Support_Bar_Type&lt;&gt;"None"), "U",  IF(  AND(Rear_Support_Bar_Type="Float Bar",ProductLine="AXC"),"U","S"))</f>
        <v>U</v>
      </c>
      <c r="JT6" s="45" t="str">
        <f>JS6</f>
        <v>U</v>
      </c>
      <c r="JU6" s="79" t="str">
        <f>"S"</f>
        <v>S</v>
      </c>
      <c r="JV6" s="71" t="str">
        <f>IF(ProductLine="AXC","S","U")</f>
        <v>S</v>
      </c>
      <c r="JW6" s="45" t="str">
        <f>$JV6</f>
        <v>S</v>
      </c>
      <c r="JX6" s="45" t="str">
        <f t="shared" ref="JX6:KE6" si="3">$JV6</f>
        <v>S</v>
      </c>
      <c r="JY6" s="45" t="str">
        <f t="shared" si="3"/>
        <v>S</v>
      </c>
      <c r="JZ6" s="45" t="str">
        <f t="shared" si="3"/>
        <v>S</v>
      </c>
      <c r="KA6" s="45" t="str">
        <f t="shared" si="3"/>
        <v>S</v>
      </c>
      <c r="KB6" s="45" t="str">
        <f t="shared" si="3"/>
        <v>S</v>
      </c>
      <c r="KC6" s="45" t="str">
        <f t="shared" si="3"/>
        <v>S</v>
      </c>
      <c r="KD6" s="45" t="str">
        <f t="shared" si="3"/>
        <v>S</v>
      </c>
      <c r="KE6" s="45" t="str">
        <f t="shared" si="3"/>
        <v>S</v>
      </c>
      <c r="KF6" s="40" t="str">
        <f>IF(OR(ProductLine="AXC",HS_Angle_State?="S"),"S","U")</f>
        <v>S</v>
      </c>
      <c r="KG6" s="45" t="str">
        <f>$KF6</f>
        <v>S</v>
      </c>
      <c r="KH6" s="45" t="str">
        <f>$KF6</f>
        <v>S</v>
      </c>
      <c r="KI6" s="45" t="str">
        <f>$KF6</f>
        <v>S</v>
      </c>
      <c r="KJ6" s="40" t="str">
        <f>IF(OR(ProductLine="AXC",HS_Channel_State?="S"),"S","U")</f>
        <v>S</v>
      </c>
      <c r="KK6" s="45" t="str">
        <f>$KJ6</f>
        <v>S</v>
      </c>
      <c r="KL6" s="45" t="str">
        <f>$KJ6</f>
        <v>S</v>
      </c>
      <c r="KM6" s="45" t="str">
        <f>$KJ6</f>
        <v>S</v>
      </c>
      <c r="KN6" s="71">
        <f>IF(HDR_Support_Type="None",0.00001,IF(HDR_Support_Type="Angle",1,2))</f>
        <v>1.0000000000000001E-5</v>
      </c>
      <c r="KO6" s="40" t="str">
        <f>IF(AND(HDR_Support_Type&lt;&gt;"None",HDR_Support_Type="Angle"),"U","S")</f>
        <v>S</v>
      </c>
      <c r="KP6" s="45" t="str">
        <f>$KO6</f>
        <v>S</v>
      </c>
      <c r="KQ6" s="40" t="str">
        <f>IF(OR(KO6="S",ProductLine&lt;&gt;"AXC"),"S","U")</f>
        <v>S</v>
      </c>
      <c r="KR6" s="45" t="str">
        <f>$KQ$6</f>
        <v>S</v>
      </c>
      <c r="KS6" s="45" t="str">
        <f t="shared" ref="KS6:KV6" si="4">$KQ$6</f>
        <v>S</v>
      </c>
      <c r="KT6" s="45" t="str">
        <f t="shared" si="4"/>
        <v>S</v>
      </c>
      <c r="KU6" s="45" t="str">
        <f t="shared" si="4"/>
        <v>S</v>
      </c>
      <c r="KV6" s="45" t="str">
        <f t="shared" si="4"/>
        <v>S</v>
      </c>
      <c r="KW6" s="40">
        <f>VLOOKUP(IF(LEFT(HDR_Support_Size,1)&lt;&gt;"L","L2x3x0.25",HDR_Support_Size),L_Angle_Table,2,FALSE)</f>
        <v>2</v>
      </c>
      <c r="KX6" s="40">
        <f>VLOOKUP(IF(LEFT(HDR_Support_Size,1)&lt;&gt;"L","L2x3x0.25",HDR_Support_Size),L_Angle_Table,3,FALSE)</f>
        <v>3.0000000000000004</v>
      </c>
      <c r="KY6" s="40">
        <f>VLOOKUP(IF(LEFT(HDR_Support_Size,1)&lt;&gt;"L","L2x3x0.25",HDR_Support_Size),L_Angle_Table,4,FALSE)</f>
        <v>0.25</v>
      </c>
      <c r="KZ6" s="40">
        <f>VLOOKUP(IF(LEFT(HDR_Support_Size,1)&lt;&gt;"L","L2x3x0.25",HDR_Support_Size),L_Angle_Table,5,FALSE)</f>
        <v>0.3125</v>
      </c>
      <c r="LA6" s="40">
        <f>VLOOKUP(IF(LEFT(HDR_Support_Size,1)&lt;&gt;"L","L2x3x0.25",HDR_Support_Size),L_Angle_Table,6,FALSE)</f>
        <v>0.25</v>
      </c>
      <c r="LB6" s="73">
        <f>VLOOKUP(IF(LEFT(HDR_Support_Size,1)&lt;&gt;"L","L2x3x0.25",HDR_Support_Size),L_Angle_Table,7,FALSE)</f>
        <v>2.0000000000000001E-4</v>
      </c>
      <c r="LC6" s="71" t="str">
        <f>IF(AND(HDR_Support_Type&lt;&gt;"None",HDR_Support_Type="Channel"),"U","S")</f>
        <v>S</v>
      </c>
      <c r="LD6" s="45" t="str">
        <f>LC6</f>
        <v>S</v>
      </c>
      <c r="LE6" s="40" t="str">
        <f>IF(OR(LC6="S",ProductLine&lt;&gt;"AXC"),"S","U")</f>
        <v>S</v>
      </c>
      <c r="LF6" s="45" t="str">
        <f t="shared" ref="LF6:LP6" si="5">$LE6</f>
        <v>S</v>
      </c>
      <c r="LG6" s="45" t="str">
        <f t="shared" si="5"/>
        <v>S</v>
      </c>
      <c r="LH6" s="45" t="str">
        <f t="shared" si="5"/>
        <v>S</v>
      </c>
      <c r="LI6" s="45" t="str">
        <f t="shared" si="5"/>
        <v>S</v>
      </c>
      <c r="LJ6" s="45" t="str">
        <f t="shared" si="5"/>
        <v>S</v>
      </c>
      <c r="LK6" s="45" t="str">
        <f t="shared" si="5"/>
        <v>S</v>
      </c>
      <c r="LL6" s="45" t="str">
        <f t="shared" si="5"/>
        <v>S</v>
      </c>
      <c r="LM6" s="45" t="str">
        <f t="shared" si="5"/>
        <v>S</v>
      </c>
      <c r="LN6" s="45" t="str">
        <f t="shared" si="5"/>
        <v>S</v>
      </c>
      <c r="LO6" s="45" t="str">
        <f t="shared" si="5"/>
        <v>S</v>
      </c>
      <c r="LP6" s="45" t="str">
        <f t="shared" si="5"/>
        <v>S</v>
      </c>
      <c r="LQ6" s="40">
        <f>VLOOKUP(IF(LEFT(HDR_Support_Size,1)&lt;&gt;"C","C3x4.1",HDR_Support_Size),C_Channel_Table,4,FALSE)</f>
        <v>3.0000000000000004</v>
      </c>
      <c r="LR6" s="40">
        <f>VLOOKUP(IF(LEFT(HDR_Support_Size,1)&lt;&gt;"C","C3x4.1",HDR_Support_Size),C_Channel_Table,5,FALSE)</f>
        <v>0.16999999999999998</v>
      </c>
      <c r="LS6" s="40">
        <f>VLOOKUP(IF(LEFT(HDR_Support_Size,1)&lt;&gt;"C","C3x4.1",HDR_Support_Size),C_Channel_Table,6,FALSE)</f>
        <v>1.41</v>
      </c>
      <c r="LT6" s="40">
        <f>VLOOKUP(IF(LEFT(HDR_Support_Size,1)&lt;&gt;"C","C3x4.1",HDR_Support_Size),C_Channel_Table,7,FALSE)</f>
        <v>0.27300000000000002</v>
      </c>
      <c r="LU6" s="40">
        <f>VLOOKUP(IF(LEFT(HDR_Support_Size,1)&lt;&gt;"C","C3x4.1",HDR_Support_Size),C_Channel_Table,8,FALSE)</f>
        <v>0.27</v>
      </c>
      <c r="LV6" s="40">
        <f>VLOOKUP(IF(LEFT(HDR_Support_Size,1)&lt;&gt;"C","C3x4.1",HDR_Support_Size),C_Channel_Table,9,FALSE)</f>
        <v>0.1</v>
      </c>
      <c r="LW6" s="40">
        <f>VLOOKUP(IF(LEFT(HDR_Support_Size,1)&lt;&gt;"C","C3x4.1",HDR_Support_Size),C_Channel_Table,10,FALSE)</f>
        <v>9.4629999999999992</v>
      </c>
      <c r="LX6" s="40">
        <f>VLOOKUP(IF(LEFT(HDR_Support_Size,1)&lt;&gt;"C","C3x4.1",HDR_Support_Size),C_Channel_Table,11,FALSE)</f>
        <v>8.4947435596928661E-2</v>
      </c>
      <c r="LY6" s="73">
        <f>VLOOKUP(IF(LEFT(HDR_Support_Size,1)&lt;&gt;"C","C3x4.1",HDR_Support_Size),C_Channel_Table,12,FALSE)</f>
        <v>4.0999999999999996</v>
      </c>
      <c r="LZ6" s="71" t="str">
        <f>IF(ProductLine="Hammco","U","S")</f>
        <v>S</v>
      </c>
      <c r="MA6" s="45" t="str">
        <f>$LZ6</f>
        <v>S</v>
      </c>
      <c r="MB6" s="45" t="str">
        <f t="shared" ref="MB6:MD6" si="6">$LZ6</f>
        <v>S</v>
      </c>
      <c r="MC6" s="45" t="str">
        <f t="shared" si="6"/>
        <v>S</v>
      </c>
      <c r="MD6" s="45" t="str">
        <f t="shared" si="6"/>
        <v>S</v>
      </c>
      <c r="ME6" s="45" t="str">
        <f t="shared" ref="ME6:MJ6" si="7">$LZ6</f>
        <v>S</v>
      </c>
      <c r="MF6" s="45" t="str">
        <f t="shared" si="7"/>
        <v>S</v>
      </c>
      <c r="MG6" s="45" t="str">
        <f t="shared" si="7"/>
        <v>S</v>
      </c>
      <c r="MH6" s="45" t="str">
        <f t="shared" si="7"/>
        <v>S</v>
      </c>
      <c r="MI6" s="45" t="str">
        <f t="shared" si="7"/>
        <v>S</v>
      </c>
      <c r="MJ6" s="45" t="str">
        <f t="shared" si="7"/>
        <v>S</v>
      </c>
      <c r="MK6" s="40" t="str">
        <f>"S"</f>
        <v>S</v>
      </c>
      <c r="ML6" s="45" t="str">
        <f>$MK6</f>
        <v>S</v>
      </c>
      <c r="MM6" s="40" t="str">
        <f>IF(AND(NG6="S",NV6="S"),"S","U")</f>
        <v>S</v>
      </c>
      <c r="MN6" s="45" t="str">
        <f>$MM6</f>
        <v>S</v>
      </c>
      <c r="MO6" s="45" t="str">
        <f>$MM6</f>
        <v>S</v>
      </c>
      <c r="MP6" s="45" t="str">
        <f>$MM6</f>
        <v>S</v>
      </c>
      <c r="MQ6" s="45" t="str">
        <f>$MM6</f>
        <v>S</v>
      </c>
      <c r="MR6" s="40" t="str">
        <f>IF(HS_Angle_Top_State?="S","S","U")</f>
        <v>S</v>
      </c>
      <c r="MS6" s="45" t="str">
        <f>$MR6</f>
        <v>S</v>
      </c>
      <c r="MT6" s="45" t="str">
        <f>$MR6</f>
        <v>S</v>
      </c>
      <c r="MU6" s="45" t="str">
        <f>$MR6</f>
        <v>S</v>
      </c>
      <c r="MV6" s="40" t="str">
        <f>IF(HS_Channel_Top_State?="S","S","U")</f>
        <v>S</v>
      </c>
      <c r="MW6" s="45" t="str">
        <f>$MV6</f>
        <v>S</v>
      </c>
      <c r="MX6" s="3" t="str">
        <f t="shared" ref="MX6:MY6" si="8">"S"</f>
        <v>S</v>
      </c>
      <c r="MY6" s="3" t="str">
        <f t="shared" si="8"/>
        <v>S</v>
      </c>
      <c r="MZ6" s="45" t="str">
        <f>$MV6</f>
        <v>S</v>
      </c>
      <c r="NA6" s="45" t="str">
        <f>$MV6</f>
        <v>S</v>
      </c>
      <c r="NB6" s="3" t="str">
        <f t="shared" ref="NB6:NC6" si="9">"S"</f>
        <v>S</v>
      </c>
      <c r="NC6" s="3" t="str">
        <f t="shared" si="9"/>
        <v>S</v>
      </c>
      <c r="ND6" s="40" t="str">
        <f>IF(AND(LZ6&lt;&gt;"S",HDR_Support_Top_Con_Type="Bolt on",HDR_Support_Top_Type&lt;&gt;"None"),"U","S")</f>
        <v>S</v>
      </c>
      <c r="NE6" s="40">
        <f>IF(ND6="U",0.375,0)</f>
        <v>0</v>
      </c>
      <c r="NF6" s="71">
        <f>IF(HDR_Support_Top_Type="None",0.00001,IF(HDR_Support_Top_Type="Angle",1,2))</f>
        <v>1.0000000000000001E-5</v>
      </c>
      <c r="NG6" s="40" t="str">
        <f>IF(AND(ProductLine&lt;&gt;"AXC",HDR_Support_Top_Type&lt;&gt;"None",HDR_Support_Top_Type="Angle"),"U","S")</f>
        <v>S</v>
      </c>
      <c r="NH6" s="45" t="str">
        <f t="shared" ref="NH6:NI6" si="10">$NG6</f>
        <v>S</v>
      </c>
      <c r="NI6" s="45" t="str">
        <f t="shared" si="10"/>
        <v>S</v>
      </c>
      <c r="NJ6" s="45" t="str">
        <f>$NG6</f>
        <v>S</v>
      </c>
      <c r="NK6" s="45" t="str">
        <f t="shared" ref="NK6:NL6" si="11">$NG6</f>
        <v>S</v>
      </c>
      <c r="NL6" s="45" t="str">
        <f t="shared" si="11"/>
        <v>S</v>
      </c>
      <c r="NM6" s="40" t="str">
        <f>IF(AND(NG6="U",HDR_Support_Top_Con_Type="Bolt on"),"U","S")</f>
        <v>S</v>
      </c>
      <c r="NN6" s="45" t="str">
        <f>$NM6</f>
        <v>S</v>
      </c>
      <c r="NO6" s="40">
        <f>VLOOKUP(IF(LEFT(HDR_Support_Top_Size,1)&lt;&gt;"L","L2x3x0.25",HDR_Support_Top_Size),L_Angle_Table,2,FALSE)</f>
        <v>4</v>
      </c>
      <c r="NP6" s="40">
        <f>VLOOKUP(IF(LEFT(HDR_Support_Top_Size,1)&lt;&gt;"L","L2x3x0.25",HDR_Support_Top_Size),L_Angle_Table,3,FALSE)</f>
        <v>6.0000000000000009</v>
      </c>
      <c r="NQ6" s="40">
        <f>VLOOKUP(IF(LEFT(HDR_Support_Top_Size,1)&lt;&gt;"L","L2x3x0.25",HDR_Support_Top_Size),L_Angle_Table,4,FALSE)</f>
        <v>0.625</v>
      </c>
      <c r="NR6" s="40">
        <f>VLOOKUP(IF(LEFT(HDR_Support_Top_Size,1)&lt;&gt;"L","L2x3x0.25",HDR_Support_Top_Size),L_Angle_Table,5,FALSE)</f>
        <v>0.5</v>
      </c>
      <c r="NS6" s="40">
        <f>VLOOKUP(IF(LEFT(HDR_Support_Top_Size,1)&lt;&gt;"L","L2x3x0.25",HDR_Support_Top_Size),L_Angle_Table,6,FALSE)</f>
        <v>0.5</v>
      </c>
      <c r="NT6" s="40">
        <f>VLOOKUP(IF(LEFT(HDR_Support_Top_Size,1)&lt;&gt;"L","L2x3x0.25",HDR_Support_Top_Size),L_Angle_Table,7,FALSE)</f>
        <v>0.12520000000000001</v>
      </c>
      <c r="NU6" s="73" t="str">
        <f>IF(AND(HS_Angle_Top_State?="U",BTS_Con_Type="Weld On"),"U","S")</f>
        <v>S</v>
      </c>
      <c r="NV6" s="40" t="str">
        <f>IF(AND(ProductLine&lt;&gt;"AXC",HDR_Support_Top_Type&lt;&gt;"None",HDR_Support_Top_Type="Channel"),"U","S")</f>
        <v>S</v>
      </c>
      <c r="NW6" s="45" t="str">
        <f>$NV6</f>
        <v>S</v>
      </c>
      <c r="NX6" s="45" t="str">
        <f t="shared" ref="NX6:OB6" si="12">$NV6</f>
        <v>S</v>
      </c>
      <c r="NY6" s="45" t="str">
        <f t="shared" si="12"/>
        <v>S</v>
      </c>
      <c r="NZ6" s="45" t="str">
        <f t="shared" si="12"/>
        <v>S</v>
      </c>
      <c r="OA6" s="45" t="str">
        <f t="shared" si="12"/>
        <v>S</v>
      </c>
      <c r="OB6" s="45" t="str">
        <f t="shared" si="12"/>
        <v>S</v>
      </c>
      <c r="OC6" s="40" t="str">
        <f>IF(AND(NV6="U",HDR_Support_Top_Con_Type="Bolt on"),"U","S")</f>
        <v>S</v>
      </c>
      <c r="OD6" s="45" t="str">
        <f>$OC6</f>
        <v>S</v>
      </c>
      <c r="OE6" s="40">
        <f>VLOOKUP(IF(LEFT(HDR_Support_Top_Size,1)&lt;&gt;"C","C3x4.1",HDR_Support_Top_Size),C_Channel_Table,4,FALSE)</f>
        <v>3.0000000000000004</v>
      </c>
      <c r="OF6" s="40">
        <f>VLOOKUP(IF(LEFT(HDR_Support_Top_Size,1)&lt;&gt;"C","C3x4.1",HDR_Support_Top_Size),C_Channel_Table,5,FALSE)</f>
        <v>0.16999999999999998</v>
      </c>
      <c r="OG6" s="40">
        <f>VLOOKUP(IF(LEFT(HDR_Support_Top_Size,1)&lt;&gt;"C","C3x4.1",HDR_Support_Top_Size),C_Channel_Table,6,FALSE)</f>
        <v>1.41</v>
      </c>
      <c r="OH6" s="40">
        <f>VLOOKUP(IF(LEFT(HDR_Support_Top_Size,1)&lt;&gt;"C","C3x4.1",HDR_Support_Top_Size),C_Channel_Table,7,FALSE)</f>
        <v>0.27300000000000002</v>
      </c>
      <c r="OI6" s="40">
        <f>VLOOKUP(IF(LEFT(HDR_Support_Top_Size,1)&lt;&gt;"C","C3x4.1",HDR_Support_Top_Size),C_Channel_Table,8,FALSE)</f>
        <v>0.27</v>
      </c>
      <c r="OJ6" s="40">
        <f>VLOOKUP(IF(LEFT(HDR_Support_Top_Size,1)&lt;&gt;"C","C3x4.1",HDR_Support_Top_Size),C_Channel_Table,9,FALSE)</f>
        <v>0.1</v>
      </c>
      <c r="OK6" s="40">
        <f>VLOOKUP(IF(LEFT(HDR_Support_Top_Size,1)&lt;&gt;"C","C3x4.1",HDR_Support_Top_Size),C_Channel_Table,10,FALSE)</f>
        <v>9.4629999999999992</v>
      </c>
      <c r="OL6" s="40">
        <f>VLOOKUP(IF(LEFT(HDR_Support_Top_Size,1)&lt;&gt;"C","C3x4.1",HDR_Support_Top_Size),C_Channel_Table,11,FALSE)</f>
        <v>8.4947435596928661E-2</v>
      </c>
      <c r="OM6" s="40">
        <f>VLOOKUP(IF(LEFT(HDR_Support_Top_Size,1)&lt;&gt;"C","C3x4.1",HDR_Support_Top_Size),C_Channel_Table,12,FALSE)</f>
        <v>4.0999999999999996</v>
      </c>
      <c r="ON6" s="73" t="str">
        <f>IF(AND(HS_Channel_Top_State?="U",BTS_Con_Type="Weld On"),"U","S")</f>
        <v>S</v>
      </c>
      <c r="OO6" s="71" t="str">
        <f ca="1">IF(AND(ProductLine="Hammco",Mid_Air_Seal?="Yes",Mid_Air_Seal_Con_Type="Bolt On"),"U","S")</f>
        <v>S</v>
      </c>
      <c r="OP6" s="45" t="str">
        <f ca="1">$OO6</f>
        <v>S</v>
      </c>
      <c r="OQ6" s="45" t="str">
        <f ca="1">$OO6</f>
        <v>S</v>
      </c>
      <c r="OR6" s="45" t="str">
        <f ca="1">$OO6</f>
        <v>S</v>
      </c>
      <c r="OS6" s="45" t="str">
        <f ca="1">$OO6</f>
        <v>S</v>
      </c>
      <c r="OT6" s="40" t="str">
        <f ca="1">IF(AND(Mid_Air_Seal?="Yes",ROUND(SF_Lip,4)&gt;0,OO6="U"),"U","S")</f>
        <v>S</v>
      </c>
      <c r="OU6" s="68">
        <v>22.352885682963269</v>
      </c>
      <c r="OV6" s="40">
        <f>IF(MROUND(OU6,0.0625)/4&lt;1.5625,OU6/2,1.5625)</f>
        <v>1.5625</v>
      </c>
      <c r="OW6" s="40">
        <f>IF(OU6/2=OV6,1,2)</f>
        <v>2</v>
      </c>
      <c r="OX6" s="73">
        <f ca="1">IF(OO6="S",0.00001,1)</f>
        <v>1.0000000000000001E-5</v>
      </c>
      <c r="OY6" s="40" t="str">
        <f ca="1">IF(AND(ProductLine="Hammco",Mid_Air_Seal?="Yes",Mid_Air_Seal_Con_Type="Weld On"),"U","S")</f>
        <v>S</v>
      </c>
      <c r="OZ6" s="45" t="str">
        <f ca="1">$OY6</f>
        <v>S</v>
      </c>
      <c r="PA6" s="45" t="str">
        <f ca="1">$OY6</f>
        <v>S</v>
      </c>
      <c r="PB6" s="73" t="str">
        <f ca="1">IF(AND(Mid_Air_Seal?="Yes",ROUND(SF_Lip,4)&gt;0,OY6="U"),"U","S")</f>
        <v>S</v>
      </c>
      <c r="PC6" s="165">
        <v>1.0000006859324079E-6</v>
      </c>
      <c r="PD6" s="68">
        <v>1.0000000313816476E-6</v>
      </c>
      <c r="PE6" s="68">
        <v>9.9999936016657661E-7</v>
      </c>
      <c r="PF6" s="68">
        <v>9.9999997677932015E-7</v>
      </c>
      <c r="PG6" s="40" t="str">
        <f>IF(OR(ProductLine="AXC",Slide_Pad="None"),"S","U")</f>
        <v>S</v>
      </c>
      <c r="PH6" s="45" t="str">
        <f>$PG6</f>
        <v>S</v>
      </c>
      <c r="PI6" s="40" t="str">
        <f>IF(OR(ProductLine="AXC",Slide_Pad_Rear="None"),"S","U")</f>
        <v>S</v>
      </c>
      <c r="PJ6" s="45" t="str">
        <f>$PI6</f>
        <v>S</v>
      </c>
      <c r="PK6" s="40" t="str">
        <f>IF(OR(ProductLine="AXC",Slide_Pad="None"),"Teflon, 2.5 x 2.5",Slide_Pad)</f>
        <v>Teflon, 2.5 x 2.5</v>
      </c>
      <c r="PL6" s="45" t="str">
        <f>$PK6</f>
        <v>Teflon, 2.5 x 2.5</v>
      </c>
      <c r="PM6" s="45">
        <f>VLOOKUP(Slide_Pad,Slide_Pad_Size_Table,2,FALSE)</f>
        <v>0</v>
      </c>
      <c r="PN6" s="40" t="str">
        <f>IF(OR(ProductLine="AXC",Slide_Pad_Rear="None"),"Teflon, 2.5 x 2.5",Slide_Pad_Rear)</f>
        <v>Teflon, 2.5 x 2.5</v>
      </c>
      <c r="PO6" s="45" t="str">
        <f>$PN6</f>
        <v>Teflon, 2.5 x 2.5</v>
      </c>
      <c r="PP6" s="45">
        <f>VLOOKUP(Slide_Pad_Rear,Slide_Pad_Size_Table,2,FALSE)</f>
        <v>0</v>
      </c>
      <c r="PQ6" s="40">
        <f>IF(ProductLine="AXC",0.125,    IF(ROUND(HDR_Slide_Pad_Thk,4)+SF_Slide_Pad_Thk=0,  0.125,   ROUND(HDR_Slide_Pad_Thk,4)+SF_Slide_Pad_Thk))</f>
        <v>0.125</v>
      </c>
      <c r="PR6" s="40">
        <f>IF(ProductLine="AXC",0.125,    IF(ROUND(HDR_Slide_Pad_Thk_Rear,4)+SF_Slide_Pad_Thk_REAR=0,  0.125,   ROUND(HDR_Slide_Pad_Thk_Rear,4)+SF_Slide_Pad_Thk_REAR))</f>
        <v>0.125</v>
      </c>
      <c r="PS6" s="40">
        <f>IF( ROUND(HDR_Top_Slide_Pad_Thk,4) = 0, 0.125,  ROUND(HDR_Top_Slide_Pad_Thk,4))</f>
        <v>0.125</v>
      </c>
      <c r="PT6" s="40">
        <f>IF( ROUND(HDR_Top_Slide_Pad_Thk_REAR,4) = 0, 0.125,  ROUND(HDR_Top_Slide_Pad_Thk_REAR,4))</f>
        <v>0.125</v>
      </c>
      <c r="PU6" s="71" t="str">
        <f>IF(AND(ProductLine&lt;&gt;"AXC",LEFT(BTS_Con_Type,4)="Bolt"),"U","S")</f>
        <v>S</v>
      </c>
      <c r="PV6" s="45" t="str">
        <f t="shared" ref="PV6:QB6" si="13">BTS_Bolt_on_Plate_State</f>
        <v>S</v>
      </c>
      <c r="PW6" s="45" t="str">
        <f t="shared" si="13"/>
        <v>S</v>
      </c>
      <c r="PX6" s="45" t="str">
        <f t="shared" si="13"/>
        <v>S</v>
      </c>
      <c r="PY6" s="45" t="str">
        <f t="shared" si="13"/>
        <v>S</v>
      </c>
      <c r="PZ6" s="45" t="str">
        <f t="shared" si="13"/>
        <v>S</v>
      </c>
      <c r="QA6" s="45" t="str">
        <f t="shared" si="13"/>
        <v>S</v>
      </c>
      <c r="QB6" s="45" t="str">
        <f t="shared" si="13"/>
        <v>S</v>
      </c>
      <c r="QC6" s="40" t="str">
        <f ca="1">IF(OR(QTY_of_BTS&lt;=1,AND(ProductLine&lt;&gt;"AXC",BTS_Con_Type="Bolt On")),"S",BTS_Bolt_on_Plate_State)</f>
        <v>S</v>
      </c>
      <c r="QD6" s="40" t="str">
        <f>IF(BTS_Con_Type="Bolt On",BTS_Bolt_on_Plate_State, "S")</f>
        <v>S</v>
      </c>
      <c r="QE6" s="40" t="str">
        <f ca="1">IF(QTY_of_BTS&lt;=1,"S",BTS_Bolt_on_Plate_State)</f>
        <v>S</v>
      </c>
      <c r="QF6" s="40">
        <f ca="1">MROUND(VLOOKUP(BTS_Size,INDIRECT(VLOOKUP(BTS_Type,BTS_Table,3,FALSE)),VLOOKUP(BTS_Type,BTS_Table,4,FALSE),FALSE),0.0625)</f>
        <v>3</v>
      </c>
      <c r="QG6" s="40">
        <f ca="1">IF(QF6/3&lt;2.5,QF6/2,2.5)</f>
        <v>1.5</v>
      </c>
      <c r="QH6" s="40">
        <f ca="1">IF(QG6=QF6/2,1,2)</f>
        <v>1</v>
      </c>
      <c r="QI6" s="40">
        <f ca="1">IF(QH6=2,QF6-(2*QG6),3)</f>
        <v>3</v>
      </c>
      <c r="QJ6" s="40" t="str">
        <f ca="1">IF(AND(BTS_Move_State="U",BTS_Bolt_on_Plate_State="U"),"U","S")</f>
        <v>S</v>
      </c>
      <c r="QK6" s="43" t="str">
        <f>IF(ProductLine&lt;&gt;"AXC","U","S")</f>
        <v>S</v>
      </c>
      <c r="QL6" s="110" t="str">
        <f>BTS_Rod_State</f>
        <v>S</v>
      </c>
      <c r="QM6" s="110" t="str">
        <f>BTS_Rod_State</f>
        <v>S</v>
      </c>
      <c r="QN6" s="43" t="str">
        <f ca="1">IF(OR(QTY_of_BTS&lt;=1,AND(ProductLine&lt;&gt;"AXC",BTS_Con_Type="Bolt On")),"S",BTS_Rod_State)</f>
        <v>S</v>
      </c>
      <c r="QO6" s="43" t="str">
        <f>IF(BTS_Con_Type="Bolt On",BTS_Rod_State,"S")</f>
        <v>S</v>
      </c>
      <c r="QP6" s="43" t="str">
        <f ca="1">IF(AND(BTS_Move_State="U",BTS_Rod_State="U"),"U","S")</f>
        <v>S</v>
      </c>
      <c r="QQ6" s="43" t="str">
        <f>IF(TTS_Type="Bolt on Angle (Hammco)","U","S")</f>
        <v>S</v>
      </c>
      <c r="QR6" s="48" t="str">
        <f ca="1">IF(AND(BTS_Move_State="U",TTS_Bracket_State="U"),"U","S")</f>
        <v>S</v>
      </c>
      <c r="QS6" s="40" t="str">
        <f ca="1">IF(QTY_of_BTS&lt;=1,"S",QQ6)</f>
        <v>S</v>
      </c>
      <c r="QT6" s="181" t="str">
        <f ca="1">IF(OR(QTY_of_BTS&lt;=0,ROUND(SF_Lip,4)=0),"S","U")</f>
        <v>S</v>
      </c>
      <c r="QU6" s="40" t="str">
        <f ca="1">IF(QTY_of_BTS=0,"S",IF(AND(BTS_Type&lt;&gt;"None",BTS_Type="Angle"),"U","S"))</f>
        <v>U</v>
      </c>
      <c r="QV6" s="45" t="str">
        <f ca="1">BTS_Angle_State</f>
        <v>U</v>
      </c>
      <c r="QW6" s="45" t="str">
        <f ca="1">BTS_Angle_State</f>
        <v>U</v>
      </c>
      <c r="QX6" s="40" t="str">
        <f ca="1">IF(OR(BTS_Angle_State="S",AND(ProductLine&lt;&gt;"AXC",BTS_Con_Type="Bolt On"),AND(QTY_of_BTS&lt;=1,BTS_Angle_State="U")),"S","U")</f>
        <v>U</v>
      </c>
      <c r="QY6" s="40" t="str">
        <f ca="1">IF(AND(ProductLine="Hammco",BTS_Angle_State="U",BTS_Con_Type="Bolt On"),"U","S")</f>
        <v>S</v>
      </c>
      <c r="QZ6" s="40" t="str">
        <f ca="1">IF(AND(QTY_of_BTS&gt;0, ROUND(SF_Lip,4)&gt;0,BTS_Angle_State="U"),"U","S")</f>
        <v>S</v>
      </c>
      <c r="RA6" s="40" t="str">
        <f ca="1">IF(AND(BTS_Angle_State="U",BTS_Bolt_on_Plate_State="U"),"U","S")</f>
        <v>S</v>
      </c>
      <c r="RB6" s="45" t="str">
        <f ca="1">RA6</f>
        <v>S</v>
      </c>
      <c r="RC6" s="40" t="str">
        <f ca="1">IF(AND(BTS_Move_State="U",BTS_Angle_State="U"),"U","S")</f>
        <v>S</v>
      </c>
      <c r="RD6" s="40">
        <f>VLOOKUP(IF(LEFT(BTS_Size,1)&lt;&gt;"L","L2x3x0.25",BTS_Size),L_Angle_Table,2,FALSE)</f>
        <v>2</v>
      </c>
      <c r="RE6" s="40">
        <f>VLOOKUP(IF(LEFT(BTS_Size,1)&lt;&gt;"L","L2x3x0.25",BTS_Size),L_Angle_Table,3,FALSE)</f>
        <v>3.0000000000000004</v>
      </c>
      <c r="RF6" s="40">
        <f>VLOOKUP(IF(LEFT(BTS_Size,1)&lt;&gt;"L","L2x3x0.25",BTS_Size),L_Angle_Table,4,FALSE)</f>
        <v>0.18750000000000003</v>
      </c>
      <c r="RG6" s="40">
        <f>VLOOKUP(IF(LEFT(BTS_Size,1)&lt;&gt;"L","L2x3x0.25",BTS_Size),L_Angle_Table,5,FALSE)</f>
        <v>0.3125</v>
      </c>
      <c r="RH6" s="40">
        <f>VLOOKUP(IF(LEFT(BTS_Size,1)&lt;&gt;"L","L2x3x0.25",BTS_Size),L_Angle_Table,6,FALSE)</f>
        <v>0.18750000000000003</v>
      </c>
      <c r="RI6" s="73">
        <f>VLOOKUP(IF(LEFT(BTS_Size,1)&lt;&gt;"L","L2x3x0.25",BTS_Size),L_Angle_Table,7,FALSE)</f>
        <v>2.0000000000000001E-4</v>
      </c>
      <c r="RJ6" s="40" t="str">
        <f>IF(AND(ProductLine="AXC",BTS_Type="Angle",BTS_Con_Type="Bolt On"),"U","S")</f>
        <v>S</v>
      </c>
      <c r="RK6" s="45" t="str">
        <f>$RJ$6</f>
        <v>S</v>
      </c>
      <c r="RL6" s="45" t="str">
        <f t="shared" ref="RL6:RO6" si="14">$RJ$6</f>
        <v>S</v>
      </c>
      <c r="RM6" s="45" t="str">
        <f t="shared" si="14"/>
        <v>S</v>
      </c>
      <c r="RN6" s="45" t="str">
        <f t="shared" si="14"/>
        <v>S</v>
      </c>
      <c r="RO6" s="45" t="str">
        <f t="shared" si="14"/>
        <v>S</v>
      </c>
      <c r="RP6" s="40" t="str">
        <f ca="1">IF(OR($RJ$6="S",QTY_of_BTS&lt;2),"S", "U")</f>
        <v>S</v>
      </c>
      <c r="RQ6" s="40" t="str">
        <f ca="1">IF(AND(TSS_Frame_State="U",$RJ$6="U"),"U","S")</f>
        <v>S</v>
      </c>
      <c r="RR6" s="71" t="str">
        <f ca="1">IF(QTY_of_BTS=0,"S",IF(AND(BTS_Type&lt;&gt;"None",BTS_Type="Channel"),"U","S"))</f>
        <v>S</v>
      </c>
      <c r="RS6" s="45" t="str">
        <f ca="1">BTS_CChannel_State</f>
        <v>S</v>
      </c>
      <c r="RT6" s="45" t="str">
        <f ca="1">BTS_CChannel_State</f>
        <v>S</v>
      </c>
      <c r="RU6" s="40" t="str">
        <f ca="1">IF(AND(QTY_of_BTS&gt;0, ROUND(SF_Lip,4)&gt;0,BTS_CChannel_State="U"),"U","S")</f>
        <v>S</v>
      </c>
      <c r="RV6" s="40" t="str">
        <f ca="1">IF(OR(BTS_CChannel_State="S",AND(ProductLine&lt;&gt;"AXC",BTS_Con_Type="Bolt On"),AND(QTY_of_BTS&lt;=1,BTS_CChannel_State="U")),"S","U")</f>
        <v>S</v>
      </c>
      <c r="RW6" s="40" t="str">
        <f ca="1">IF(AND(ProductLine="Hammco",BTS_CChannel_State="U",BTS_Con_Type="Bolt On"),"U","S")</f>
        <v>S</v>
      </c>
      <c r="RX6" s="40" t="str">
        <f ca="1">IF(AND(BTS_CChannel_State="U",BTS_Bolt_on_Plate_State="U"),"U","S")</f>
        <v>S</v>
      </c>
      <c r="RY6" s="45" t="str">
        <f ca="1">BTS_CChannel_State</f>
        <v>S</v>
      </c>
      <c r="RZ6" s="40" t="str">
        <f ca="1">IF(AND(BTS_Move_State="U",BTS_CChannel_State="U"),"U","S")</f>
        <v>S</v>
      </c>
      <c r="SA6" s="40">
        <f>VLOOKUP(IF(LEFT(BTS_Size,1)&lt;&gt;"C","C3x4.1",BTS_Size),C_Channel_Table,4,FALSE)</f>
        <v>3.0000000000000004</v>
      </c>
      <c r="SB6" s="40">
        <f>VLOOKUP(IF(LEFT(BTS_Size,1)&lt;&gt;"C","C3x4.1",BTS_Size),C_Channel_Table,5,FALSE)</f>
        <v>0.16999999999999998</v>
      </c>
      <c r="SC6" s="40">
        <f>VLOOKUP(IF(LEFT(BTS_Size,1)&lt;&gt;"C","C3x4.1",BTS_Size),C_Channel_Table,6,FALSE)</f>
        <v>1.41</v>
      </c>
      <c r="SD6" s="40">
        <f>VLOOKUP(IF(LEFT(BTS_Size,1)&lt;&gt;"C","C3x4.1",BTS_Size),C_Channel_Table,7,FALSE)</f>
        <v>0.27300000000000002</v>
      </c>
      <c r="SE6" s="40">
        <f>VLOOKUP(IF(LEFT(BTS_Size,1)&lt;&gt;"C","C3x4.1",BTS_Size),C_Channel_Table,8,FALSE)</f>
        <v>0.27</v>
      </c>
      <c r="SF6" s="40">
        <f>VLOOKUP(IF(LEFT(BTS_Size,1)&lt;&gt;"C","C3x4.1",BTS_Size),C_Channel_Table,9,FALSE)</f>
        <v>0.1</v>
      </c>
      <c r="SG6" s="40">
        <f>VLOOKUP(IF(LEFT(BTS_Size,1)&lt;&gt;"C","C3x4.1",BTS_Size),C_Channel_Table,10,FALSE)</f>
        <v>9.4629999999999992</v>
      </c>
      <c r="SH6" s="40">
        <f>VLOOKUP(IF(LEFT(BTS_Size,1)&lt;&gt;"C","C3x4.1",BTS_Size),C_Channel_Table,11,FALSE)</f>
        <v>8.4947435596928661E-2</v>
      </c>
      <c r="SI6" s="73">
        <f>VLOOKUP(IF(LEFT(BTS_Size,1)&lt;&gt;"C","C3x4.1",BTS_Size),C_Channel_Table,12,FALSE)</f>
        <v>4.0999999999999996</v>
      </c>
      <c r="SJ6" s="40" t="str">
        <f>IF(AND(ProductLine="AXC",BTS_Type="Channel",BTS_Con_Type="Bolt On"),"U","S")</f>
        <v>S</v>
      </c>
      <c r="SK6" s="45" t="str">
        <f>$SJ$6</f>
        <v>S</v>
      </c>
      <c r="SL6" s="45" t="str">
        <f>$SJ$6</f>
        <v>S</v>
      </c>
      <c r="SM6" s="45" t="str">
        <f t="shared" ref="SM6:SO6" si="15">$SJ$6</f>
        <v>S</v>
      </c>
      <c r="SN6" s="45" t="str">
        <f t="shared" si="15"/>
        <v>S</v>
      </c>
      <c r="SO6" s="45" t="str">
        <f t="shared" si="15"/>
        <v>S</v>
      </c>
      <c r="SP6" s="40" t="str">
        <f ca="1">IF(OR($SJ$6="S",QTY_of_BTS&lt;2),"S", "U")</f>
        <v>S</v>
      </c>
      <c r="SQ6" s="40" t="str">
        <f ca="1">IF(AND(TSS_Frame_State="U",$SJ$6="U"),"U","S")</f>
        <v>S</v>
      </c>
      <c r="SR6" s="71" t="str">
        <f>IF(BTS_Con_Type="Bolt on","U","S")</f>
        <v>S</v>
      </c>
      <c r="SS6" s="40">
        <f>IF(BTS_Type="Angle",VLOOKUP(BTS_Size,L_Angle_Table,3,FALSE)/2, IF(BTS_Type="Channel",VLOOKUP(BTS_Size,C_Channel_Table,4,FALSE)/2, 0.5))</f>
        <v>1.5000000000000002</v>
      </c>
      <c r="ST6" s="45">
        <f>SS6</f>
        <v>1.5000000000000002</v>
      </c>
      <c r="SU6" s="40">
        <f>IF(AND(SF_Coating="Painted",BTS_Type="Angle"), 0.4375,     IF(AND(SF_Coating="Galvanized",BTS_Type="Angle"), 0.5,     IF(AND(SF_Coating="Painted",BTS_Type="Channel"), 0.5625,    IF(AND(SF_Coating="Galvanized",BTS_Type="Channel"), 0.625   ))))</f>
        <v>0.5</v>
      </c>
      <c r="SV6" s="79">
        <f>SU6</f>
        <v>0.5</v>
      </c>
      <c r="SW6" s="71" t="str">
        <f ca="1">IF(QTY_of_BTS=0,"S",IF(AND(BTS_Type&lt;&gt;"None",BTS_Type="S Section"),"U","S"))</f>
        <v>S</v>
      </c>
      <c r="SX6" s="45" t="str">
        <f ca="1">BTS_SSection_State</f>
        <v>S</v>
      </c>
      <c r="SY6" s="45" t="str">
        <f ca="1">BTS_SSection_State</f>
        <v>S</v>
      </c>
      <c r="SZ6" s="40" t="str">
        <f ca="1">IF(AND(QTY_of_BTS&gt;0, ROUND(SF_Lip,4)&gt;0,BTS_SSection_State="U"),"U","S")</f>
        <v>S</v>
      </c>
      <c r="TA6" s="40" t="str">
        <f ca="1">IF(OR(BTS_SSection_State="S",AND(ProductLine&lt;&gt;"AXC",BTS_Con_Type="Bolt On"),AND(QTY_of_BTS&lt;=1,BTS_SSection_State="U")),"S","U")</f>
        <v>S</v>
      </c>
      <c r="TB6" s="40" t="str">
        <f ca="1">IF(AND(ProductLine="Hammco",BTS_SSection_State="U",BTS_Con_Type="Bolt On"),"U","S")</f>
        <v>S</v>
      </c>
      <c r="TC6" s="40" t="str">
        <f ca="1">IF(AND(BTS_SSection_State="U",BTS_Bolt_on_Plate_State="U"),"U","S")</f>
        <v>S</v>
      </c>
      <c r="TD6" s="45" t="str">
        <f ca="1">TC6</f>
        <v>S</v>
      </c>
      <c r="TE6" s="40" t="str">
        <f ca="1">IF(AND(BTS_Move_State="U",BTS_SSection_State="U"),"U","S")</f>
        <v>S</v>
      </c>
      <c r="TF6" s="40">
        <f>VLOOKUP(IF(LEFT(BTS_Size,1)&lt;&gt;"S","S3x5.7",BTS_Size),S_Section_Table,2,FALSE)</f>
        <v>3</v>
      </c>
      <c r="TG6" s="40">
        <f>VLOOKUP(IF(LEFT(BTS_Size,1)&lt;&gt;"S","S3x5.7",BTS_Size),S_Section_Table,3,FALSE)</f>
        <v>5.7</v>
      </c>
      <c r="TH6" s="40">
        <f>VLOOKUP(IF(LEFT(BTS_Size,1)&lt;&gt;"S","S3x5.7",BTS_Size),S_Section_Table,4,FALSE)</f>
        <v>3.0000000000000004</v>
      </c>
      <c r="TI6" s="40">
        <f>VLOOKUP(IF(LEFT(BTS_Size,1)&lt;&gt;"S","S3x5.7",BTS_Size),S_Section_Table,5,FALSE)</f>
        <v>0.16999999999999998</v>
      </c>
      <c r="TJ6" s="40">
        <f>VLOOKUP(IF(LEFT(BTS_Size,1)&lt;&gt;"S","S3x5.7",BTS_Size),S_Section_Table,6,FALSE)</f>
        <v>2.33</v>
      </c>
      <c r="TK6" s="40">
        <f>VLOOKUP(IF(LEFT(BTS_Size,1)&lt;&gt;"S","S3x5.7",BTS_Size),S_Section_Table,7,FALSE)</f>
        <v>0.26</v>
      </c>
      <c r="TL6" s="40">
        <f>VLOOKUP(IF(LEFT(BTS_Size,1)&lt;&gt;"S","S3x5.7",BTS_Size),S_Section_Table,8,FALSE)</f>
        <v>0.27</v>
      </c>
      <c r="TM6" s="40">
        <f>VLOOKUP(IF(LEFT(BTS_Size,1)&lt;&gt;"S","S3x5.7",BTS_Size),S_Section_Table,9,FALSE)</f>
        <v>0.1</v>
      </c>
      <c r="TN6" s="40">
        <f>VLOOKUP(IF(LEFT(BTS_Size,1)&lt;&gt;"S","S3x5.7",BTS_Size),S_Section_Table,10,FALSE)</f>
        <v>9.4630000000000312</v>
      </c>
      <c r="TO6" s="73">
        <f>VLOOKUP(IF(LEFT(BTS_Size,1)&lt;&gt;"S","S3x5.7",BTS_Size),S_Section_Table,11,FALSE)</f>
        <v>1.8425437273624747</v>
      </c>
      <c r="TP6" s="71" t="str">
        <f ca="1">IF(QTY_of_BTS=0,"S",IF(AND(BTS_Type&lt;&gt;"None",BTS_Type="W Section"),"U","S"))</f>
        <v>S</v>
      </c>
      <c r="TQ6" s="45" t="str">
        <f ca="1">BTS_WSection_State</f>
        <v>S</v>
      </c>
      <c r="TR6" s="45" t="str">
        <f ca="1">BTS_WSection_State</f>
        <v>S</v>
      </c>
      <c r="TS6" s="40" t="str">
        <f ca="1">IF(AND(QTY_of_BTS&gt;0, ROUND(SF_Lip,4)&gt;0,BTS_WSection_State="U"),"U","S")</f>
        <v>S</v>
      </c>
      <c r="TT6" s="40" t="str">
        <f ca="1">IF(OR(BTS_WSection_State="S",AND(ProductLine&lt;&gt;"AXC",BTS_Con_Type="Bolt On"),AND(QTY_of_BTS&lt;=1,BTS_WSection_State="U")),"S","U")</f>
        <v>S</v>
      </c>
      <c r="TU6" s="40" t="str">
        <f ca="1">IF(AND(ProductLine="Hammco",BTS_WSection_State="U",BTS_Con_Type="Bolt On"),"U","S")</f>
        <v>S</v>
      </c>
      <c r="TV6" s="40" t="str">
        <f ca="1">IF(AND(BTS_WSection_State="U",BTS_Bolt_on_Plate_State="U"),"U","S")</f>
        <v>S</v>
      </c>
      <c r="TW6" s="45" t="str">
        <f ca="1">TV6</f>
        <v>S</v>
      </c>
      <c r="TX6" s="40" t="str">
        <f ca="1">IF(AND(BTS_Move_State="U",BTS_WSection_State="U"),"U","S")</f>
        <v>S</v>
      </c>
      <c r="TY6" s="40">
        <f>VLOOKUP(IF(LEFT(BTS_Size,1)&lt;&gt;"W","W4x13",BTS_Size),W_Section_Table,2,FALSE)</f>
        <v>4</v>
      </c>
      <c r="TZ6" s="40">
        <f>VLOOKUP(IF(LEFT(BTS_Size,1)&lt;&gt;"W","W4x13",BTS_Size),W_Section_Table,3,FALSE)</f>
        <v>13</v>
      </c>
      <c r="UA6" s="40">
        <f>VLOOKUP(IF(LEFT(BTS_Size,1)&lt;&gt;"W","W4x13",BTS_Size),W_Section_Table,4,FALSE)</f>
        <v>4.16</v>
      </c>
      <c r="UB6" s="40">
        <f>VLOOKUP(IF(LEFT(BTS_Size,1)&lt;&gt;"W","W4x13",BTS_Size),W_Section_Table,5,FALSE)</f>
        <v>0.28000000000000003</v>
      </c>
      <c r="UC6" s="40">
        <f>VLOOKUP(IF(LEFT(BTS_Size,1)&lt;&gt;"W","W4x13",BTS_Size),W_Section_Table,6,FALSE)</f>
        <v>4.0599999999999996</v>
      </c>
      <c r="UD6" s="40">
        <f>VLOOKUP(IF(LEFT(BTS_Size,1)&lt;&gt;"W","W4x13",BTS_Size),W_Section_Table,7,FALSE)</f>
        <v>0.34499999999999992</v>
      </c>
      <c r="UE6" s="73">
        <f>VLOOKUP(IF(LEFT(BTS_Size,1)&lt;&gt;"W","W4x13",BTS_Size),W_Section_Table,8,FALSE)</f>
        <v>0.25</v>
      </c>
      <c r="UF6" s="40" t="str">
        <f ca="1">IF(QTY_of_BTS=0,"S","U")</f>
        <v>U</v>
      </c>
      <c r="UG6" s="45" t="str">
        <f ca="1">$UF$6</f>
        <v>U</v>
      </c>
      <c r="UH6" s="45" t="str">
        <f t="shared" ref="UH6:UI6" ca="1" si="16">$UF$6</f>
        <v>U</v>
      </c>
      <c r="UI6" s="45" t="str">
        <f t="shared" ca="1" si="16"/>
        <v>U</v>
      </c>
      <c r="UJ6" s="45" t="str">
        <f>BTS_Bolt_on_Plate_State</f>
        <v>S</v>
      </c>
      <c r="UK6" s="71" t="str">
        <f>IF(AND(LL_State="Yes",LL_Type="AXC Weld On"),"U","S")</f>
        <v>U</v>
      </c>
      <c r="UL6" s="45" t="str">
        <f>UK6</f>
        <v>U</v>
      </c>
      <c r="UM6" s="40" t="str">
        <f>IF(AND(LL_State="Yes",LL_Type="HAC Bolt On"),"U","S")</f>
        <v>S</v>
      </c>
      <c r="UN6" s="45" t="str">
        <f>UM6</f>
        <v>S</v>
      </c>
      <c r="UO6" s="40" t="str">
        <f>IF(AND(LL_State="Yes",LL_Type="HAC Weld On"),"U","S")</f>
        <v>S</v>
      </c>
      <c r="UP6" s="45" t="str">
        <f>UO6</f>
        <v>S</v>
      </c>
      <c r="UQ6" s="40" t="str">
        <f>IF(AND(UO6="U",LL_Location="Inside"),"U","S")</f>
        <v>S</v>
      </c>
      <c r="UR6" s="40">
        <f>VLOOKUP(LL_Type,LL_Type_Ref_Table,2,FALSE)</f>
        <v>1</v>
      </c>
      <c r="US6" s="40">
        <f>AJ6/2</f>
        <v>2</v>
      </c>
      <c r="UT6" s="73">
        <f>AK6</f>
        <v>500</v>
      </c>
      <c r="UU6" s="40" t="str">
        <f>IF(Locking_Tab?="Yes","U","S")</f>
        <v>S</v>
      </c>
      <c r="UV6" s="71" t="str">
        <f>IF(AND(  ProductLine="AXC",  Side_Frame_Size ="BC - Broke Channel",   Valid_Section_Weight="Yes" ),   "U",   "S")</f>
        <v>S</v>
      </c>
      <c r="UW6" s="45" t="str">
        <f>$UV6</f>
        <v>S</v>
      </c>
      <c r="UX6" s="45" t="str">
        <f t="shared" ref="UX6:UZ6" si="17">$UV6</f>
        <v>S</v>
      </c>
      <c r="UY6" s="45" t="str">
        <f t="shared" si="17"/>
        <v>S</v>
      </c>
      <c r="UZ6" s="45" t="str">
        <f t="shared" si="17"/>
        <v>S</v>
      </c>
      <c r="VA6" s="71" t="str">
        <f>"S"</f>
        <v>S</v>
      </c>
      <c r="VB6" s="38" t="str">
        <f t="shared" ref="VB6:VH6" si="18">"S"</f>
        <v>S</v>
      </c>
      <c r="VC6" s="38" t="str">
        <f t="shared" si="18"/>
        <v>S</v>
      </c>
      <c r="VD6" s="38" t="str">
        <f t="shared" si="18"/>
        <v>S</v>
      </c>
      <c r="VE6" s="38" t="str">
        <f t="shared" si="18"/>
        <v>S</v>
      </c>
      <c r="VF6" s="38" t="str">
        <f t="shared" si="18"/>
        <v>S</v>
      </c>
      <c r="VG6" s="38" t="str">
        <f t="shared" si="18"/>
        <v>S</v>
      </c>
      <c r="VH6" s="40" t="str">
        <f t="shared" si="18"/>
        <v>S</v>
      </c>
      <c r="VI6" s="71" t="str">
        <f>CONCATENATE($C$2,$D$2)</f>
        <v>3</v>
      </c>
      <c r="VJ6" s="40" t="str">
        <f>CONCATENATE(".",VI6)</f>
        <v>.3</v>
      </c>
      <c r="VK6" s="40">
        <f>VI6+0</f>
        <v>3</v>
      </c>
      <c r="VL6" s="40" t="str">
        <f>_xlfn.CONCAT($VI6,"-SEC")</f>
        <v>3-SEC</v>
      </c>
      <c r="VM6" s="40" t="str">
        <f>CONCATENATE(VI6,"-SFR")</f>
        <v>3-SFR</v>
      </c>
      <c r="VN6" s="40" t="s">
        <v>963</v>
      </c>
      <c r="VO6" s="73" t="str">
        <f>LEFT($A$2,FIND("_",$A$2,1)-1)</f>
        <v>000000</v>
      </c>
      <c r="VP6" s="409">
        <v>5</v>
      </c>
      <c r="VQ6" s="409">
        <v>5</v>
      </c>
      <c r="VR6" s="409">
        <v>0.125</v>
      </c>
      <c r="VS6" s="409">
        <v>1.125</v>
      </c>
      <c r="VT6" s="409">
        <v>3.5</v>
      </c>
      <c r="VX6" s="40" t="str">
        <f>_xlfn.CONCAT($VI6,"-SEC")</f>
        <v>3-SEC</v>
      </c>
    </row>
    <row r="7" spans="1:597" s="3" customFormat="1" ht="14.4" hidden="1" outlineLevel="1" x14ac:dyDescent="0.3">
      <c r="A7" s="123" t="str">
        <f>IF(ProductLine="AXC","$User_Notes","SFR-B")</f>
        <v>$User_Notes</v>
      </c>
      <c r="B7" s="117" t="str">
        <f>B$6</f>
        <v>AXC</v>
      </c>
      <c r="C7" s="117">
        <f t="shared" ref="C7:CP14" si="19">C$6</f>
        <v>65</v>
      </c>
      <c r="D7" s="117">
        <f t="shared" si="19"/>
        <v>780</v>
      </c>
      <c r="E7" s="117">
        <f t="shared" si="19"/>
        <v>0.125</v>
      </c>
      <c r="F7" s="117">
        <f t="shared" si="19"/>
        <v>6.25E-2</v>
      </c>
      <c r="G7" s="117">
        <f t="shared" si="19"/>
        <v>777.625</v>
      </c>
      <c r="H7" s="117" t="str">
        <f t="shared" si="19"/>
        <v>MC12x10.6</v>
      </c>
      <c r="I7" s="117" t="str">
        <f t="shared" si="19"/>
        <v>AXC materials:SA-36</v>
      </c>
      <c r="J7" s="117" t="str">
        <f t="shared" si="19"/>
        <v>Galvanized</v>
      </c>
      <c r="K7" s="117" t="str">
        <f t="shared" si="19"/>
        <v>Bolt on Angle</v>
      </c>
      <c r="L7" s="117" t="str">
        <f t="shared" si="19"/>
        <v>EH\VV\VI_</v>
      </c>
      <c r="M7" s="117">
        <f t="shared" ca="1" si="19"/>
        <v>16</v>
      </c>
      <c r="N7" s="117">
        <f t="shared" ref="N7:N14" ca="1" si="20">N$6</f>
        <v>48</v>
      </c>
      <c r="O7" s="117">
        <f t="shared" ca="1" si="19"/>
        <v>30</v>
      </c>
      <c r="P7" s="117" t="str">
        <f t="shared" si="19"/>
        <v>Yes - Rear HDR</v>
      </c>
      <c r="Q7" s="117">
        <f t="shared" si="19"/>
        <v>3.9999333887056512</v>
      </c>
      <c r="R7" s="117" t="str">
        <f t="shared" si="19"/>
        <v>Angle</v>
      </c>
      <c r="S7" s="117" t="str">
        <f t="shared" si="19"/>
        <v>L2x3x0.1875</v>
      </c>
      <c r="T7" s="117" t="str">
        <f t="shared" si="19"/>
        <v>Weld On</v>
      </c>
      <c r="U7" s="117" t="str">
        <f t="shared" ref="U7:U14" si="21">U$6</f>
        <v>Yes</v>
      </c>
      <c r="V7" s="117" t="str">
        <f t="shared" si="19"/>
        <v>Yes</v>
      </c>
      <c r="W7" s="117">
        <f t="shared" si="19"/>
        <v>15</v>
      </c>
      <c r="X7" s="117">
        <f t="shared" si="19"/>
        <v>0</v>
      </c>
      <c r="Y7" s="117">
        <f t="shared" ref="Y7:Z14" si="22">Y$6</f>
        <v>0</v>
      </c>
      <c r="Z7" s="117" t="str">
        <f t="shared" si="22"/>
        <v>STD</v>
      </c>
      <c r="AA7" s="117" t="str">
        <f t="shared" si="19"/>
        <v>No</v>
      </c>
      <c r="AB7" s="117" t="str">
        <f t="shared" ref="AB7:AB14" si="23">AB$6</f>
        <v>OFF</v>
      </c>
      <c r="AC7" s="117" t="str">
        <f t="shared" si="19"/>
        <v>Yes</v>
      </c>
      <c r="AD7" s="117" t="str">
        <f t="shared" ref="AD7:AE14" si="24">AD$6</f>
        <v>AXC Weld On</v>
      </c>
      <c r="AE7" s="117" t="str">
        <f t="shared" si="24"/>
        <v>Outside</v>
      </c>
      <c r="AF7" s="117" t="str">
        <f t="shared" si="19"/>
        <v>0.5"</v>
      </c>
      <c r="AG7" s="117">
        <f t="shared" si="19"/>
        <v>278.125</v>
      </c>
      <c r="AH7" s="117">
        <f t="shared" si="19"/>
        <v>249.75</v>
      </c>
      <c r="AI7" s="117">
        <f t="shared" si="19"/>
        <v>0.5</v>
      </c>
      <c r="AJ7" s="117">
        <f t="shared" ref="AJ7:AK14" si="25">AJ$6</f>
        <v>4</v>
      </c>
      <c r="AK7" s="117">
        <f t="shared" si="25"/>
        <v>500</v>
      </c>
      <c r="AL7" s="117" t="str">
        <f t="shared" si="19"/>
        <v>None</v>
      </c>
      <c r="AM7" s="117" t="str">
        <f t="shared" si="19"/>
        <v>Pick from List</v>
      </c>
      <c r="AN7" s="117" t="str">
        <f t="shared" si="19"/>
        <v>None</v>
      </c>
      <c r="AO7" s="117" t="str">
        <f t="shared" si="19"/>
        <v>None</v>
      </c>
      <c r="AP7" s="117" t="str">
        <f t="shared" si="19"/>
        <v>None</v>
      </c>
      <c r="AQ7" s="117" t="str">
        <f t="shared" si="19"/>
        <v>L4x6x0.625</v>
      </c>
      <c r="AR7" s="117" t="str">
        <f t="shared" si="19"/>
        <v>Bolt on</v>
      </c>
      <c r="AS7" s="117" t="str">
        <f t="shared" si="19"/>
        <v>Yes</v>
      </c>
      <c r="AT7" s="117" t="str">
        <f t="shared" ca="1" si="19"/>
        <v>Bolt On</v>
      </c>
      <c r="AU7" s="169">
        <f t="shared" ref="AU7:BD14" ca="1" si="26">AU$6</f>
        <v>16</v>
      </c>
      <c r="AV7" s="170">
        <f t="shared" si="26"/>
        <v>0</v>
      </c>
      <c r="AW7" s="170">
        <f t="shared" si="26"/>
        <v>0</v>
      </c>
      <c r="AX7" s="117">
        <f t="shared" si="26"/>
        <v>6.25E-2</v>
      </c>
      <c r="AY7" s="164">
        <f t="shared" si="26"/>
        <v>21.915385672961552</v>
      </c>
      <c r="AZ7" s="117">
        <f t="shared" si="26"/>
        <v>1.5625</v>
      </c>
      <c r="BA7" s="117">
        <f t="shared" si="26"/>
        <v>2</v>
      </c>
      <c r="BB7" s="117">
        <f t="shared" si="26"/>
        <v>21.915385672961648</v>
      </c>
      <c r="BC7" s="117">
        <f t="shared" si="26"/>
        <v>1.5625</v>
      </c>
      <c r="BD7" s="117">
        <f t="shared" si="26"/>
        <v>2</v>
      </c>
      <c r="BE7" s="164">
        <f t="shared" ref="BE7:BJ14" si="27">BE$6</f>
        <v>0.6250000000043382</v>
      </c>
      <c r="BF7" s="117">
        <f t="shared" si="27"/>
        <v>1.0937500000075919</v>
      </c>
      <c r="BG7" s="117">
        <f t="shared" si="27"/>
        <v>2</v>
      </c>
      <c r="BH7" s="117">
        <f t="shared" si="27"/>
        <v>0.62500000000430156</v>
      </c>
      <c r="BI7" s="117">
        <f t="shared" si="27"/>
        <v>1.0937500000075278</v>
      </c>
      <c r="BJ7" s="117">
        <f t="shared" si="27"/>
        <v>2</v>
      </c>
      <c r="BK7" s="117">
        <f t="shared" si="19"/>
        <v>1.9999999999999956</v>
      </c>
      <c r="BL7" s="117" t="str">
        <f t="shared" si="19"/>
        <v>Weld Bar</v>
      </c>
      <c r="BM7" s="117">
        <f t="shared" si="19"/>
        <v>0.99999999999999589</v>
      </c>
      <c r="BN7" s="117" t="str">
        <f t="shared" si="19"/>
        <v>Float Bar</v>
      </c>
      <c r="BO7" s="117">
        <f t="shared" si="19"/>
        <v>5</v>
      </c>
      <c r="BP7" s="117" t="str">
        <f t="shared" si="19"/>
        <v>MC12x10.6</v>
      </c>
      <c r="BQ7" s="117" t="str">
        <f t="shared" si="19"/>
        <v>U</v>
      </c>
      <c r="BR7" s="117" t="str">
        <f t="shared" si="19"/>
        <v>S</v>
      </c>
      <c r="BS7" s="117">
        <f t="shared" si="19"/>
        <v>31.374999284744241</v>
      </c>
      <c r="BT7" s="117">
        <f t="shared" si="19"/>
        <v>29.000000000000004</v>
      </c>
      <c r="BU7" s="117">
        <f t="shared" si="19"/>
        <v>3.9999999999999969</v>
      </c>
      <c r="BV7" s="117">
        <f t="shared" si="19"/>
        <v>0.25000000000000089</v>
      </c>
      <c r="BW7" s="117">
        <f t="shared" si="19"/>
        <v>9.9999999999269527E-6</v>
      </c>
      <c r="BX7" s="117">
        <f t="shared" si="19"/>
        <v>1</v>
      </c>
      <c r="BY7" s="117">
        <f t="shared" si="19"/>
        <v>1</v>
      </c>
      <c r="BZ7" s="117">
        <f t="shared" si="19"/>
        <v>6.2721143170279987</v>
      </c>
      <c r="CA7" s="117">
        <f t="shared" si="19"/>
        <v>360</v>
      </c>
      <c r="CB7" s="117">
        <f t="shared" si="19"/>
        <v>1.0000000000001172</v>
      </c>
      <c r="CC7" s="117">
        <f t="shared" si="19"/>
        <v>0.99999999999983746</v>
      </c>
      <c r="CD7" s="117">
        <f t="shared" si="19"/>
        <v>0</v>
      </c>
      <c r="CE7" s="117">
        <f t="shared" si="19"/>
        <v>1.5000000000000009</v>
      </c>
      <c r="CF7" s="117">
        <f t="shared" si="19"/>
        <v>1.2990381056766582</v>
      </c>
      <c r="CG7" s="117">
        <f t="shared" si="19"/>
        <v>9.9999999969219204E-6</v>
      </c>
      <c r="CH7" s="117" t="str">
        <f t="shared" si="19"/>
        <v>No</v>
      </c>
      <c r="CI7" s="117" t="str">
        <f t="shared" si="19"/>
        <v>U</v>
      </c>
      <c r="CJ7" s="117">
        <f t="shared" si="19"/>
        <v>10.6</v>
      </c>
      <c r="CK7" s="117">
        <f t="shared" si="19"/>
        <v>12.000000000000002</v>
      </c>
      <c r="CL7" s="117">
        <f t="shared" si="19"/>
        <v>0.18999999999999997</v>
      </c>
      <c r="CM7" s="117">
        <f t="shared" si="19"/>
        <v>1.5000000000000002</v>
      </c>
      <c r="CN7" s="117">
        <f t="shared" si="19"/>
        <v>0.30899999999999994</v>
      </c>
      <c r="CO7" s="117">
        <f t="shared" si="19"/>
        <v>0.25</v>
      </c>
      <c r="CP7" s="117">
        <f t="shared" si="19"/>
        <v>0.13</v>
      </c>
      <c r="CQ7" s="117">
        <f t="shared" ref="CQ7:FG14" si="28">CQ$6</f>
        <v>9.4629999999999992</v>
      </c>
      <c r="CR7" s="117">
        <f t="shared" si="28"/>
        <v>8.9700168853607709E-2</v>
      </c>
      <c r="CS7" s="117">
        <f t="shared" si="28"/>
        <v>10.740092274765473</v>
      </c>
      <c r="CT7" s="117">
        <f t="shared" si="28"/>
        <v>0.62995386261726427</v>
      </c>
      <c r="CU7" s="117" t="str">
        <f t="shared" si="28"/>
        <v>S</v>
      </c>
      <c r="CV7" s="117">
        <f t="shared" si="28"/>
        <v>12.000000000000002</v>
      </c>
      <c r="CW7" s="117">
        <f t="shared" si="28"/>
        <v>0.28199999999999997</v>
      </c>
      <c r="CX7" s="117">
        <f t="shared" si="28"/>
        <v>2.9419999999999997</v>
      </c>
      <c r="CY7" s="117">
        <f t="shared" si="28"/>
        <v>0.501</v>
      </c>
      <c r="CZ7" s="117">
        <f t="shared" si="28"/>
        <v>0.37999999999999995</v>
      </c>
      <c r="DA7" s="117">
        <f t="shared" si="28"/>
        <v>0.16999999999999998</v>
      </c>
      <c r="DB7" s="117">
        <f t="shared" si="28"/>
        <v>9.4629999999999992</v>
      </c>
      <c r="DC7" s="117">
        <f t="shared" si="28"/>
        <v>0.13530728481002544</v>
      </c>
      <c r="DD7" s="117">
        <f t="shared" si="28"/>
        <v>20.7</v>
      </c>
      <c r="DE7" s="117" t="str">
        <f t="shared" si="28"/>
        <v>S</v>
      </c>
      <c r="DF7" s="117" t="str">
        <f t="shared" si="28"/>
        <v>S</v>
      </c>
      <c r="DG7" s="117" t="str">
        <f t="shared" si="28"/>
        <v>S</v>
      </c>
      <c r="DH7" s="117" t="str">
        <f t="shared" si="28"/>
        <v>S</v>
      </c>
      <c r="DI7" s="117" t="str">
        <f t="shared" si="28"/>
        <v>S</v>
      </c>
      <c r="DJ7" s="117" t="str">
        <f t="shared" si="28"/>
        <v>S</v>
      </c>
      <c r="DK7" s="117" t="str">
        <f t="shared" si="28"/>
        <v>S</v>
      </c>
      <c r="DL7" s="117" t="str">
        <f t="shared" si="28"/>
        <v>S</v>
      </c>
      <c r="DM7" s="117" t="str">
        <f t="shared" si="28"/>
        <v>U</v>
      </c>
      <c r="DN7" s="117" t="str">
        <f t="shared" si="28"/>
        <v>U</v>
      </c>
      <c r="DO7" s="117" t="str">
        <f t="shared" si="28"/>
        <v>U</v>
      </c>
      <c r="DP7" s="117" t="str">
        <f t="shared" si="28"/>
        <v>U</v>
      </c>
      <c r="DQ7" s="117" t="str">
        <f t="shared" si="28"/>
        <v>S</v>
      </c>
      <c r="DR7" s="117" t="str">
        <f t="shared" si="28"/>
        <v>S</v>
      </c>
      <c r="DS7" s="117" t="str">
        <f t="shared" si="28"/>
        <v>S</v>
      </c>
      <c r="DT7" s="117" t="str">
        <f t="shared" si="28"/>
        <v>S</v>
      </c>
      <c r="DU7" s="117" t="str">
        <f t="shared" si="28"/>
        <v>S</v>
      </c>
      <c r="DV7" s="117" t="str">
        <f t="shared" si="28"/>
        <v>S</v>
      </c>
      <c r="DW7" s="117" t="str">
        <f t="shared" si="28"/>
        <v>S</v>
      </c>
      <c r="DX7" s="117" t="str">
        <f t="shared" si="28"/>
        <v>S</v>
      </c>
      <c r="DY7" s="117">
        <f t="shared" si="28"/>
        <v>29</v>
      </c>
      <c r="DZ7" s="117">
        <f t="shared" si="28"/>
        <v>0.25</v>
      </c>
      <c r="EA7" s="117">
        <f t="shared" si="28"/>
        <v>0.25</v>
      </c>
      <c r="EB7" s="117">
        <f t="shared" si="28"/>
        <v>3.9999999999999969</v>
      </c>
      <c r="EC7" s="117">
        <f t="shared" si="28"/>
        <v>1E-4</v>
      </c>
      <c r="ED7" s="117">
        <f t="shared" si="28"/>
        <v>1E-4</v>
      </c>
      <c r="EE7" s="117">
        <f t="shared" si="28"/>
        <v>0.25000000000000089</v>
      </c>
      <c r="EF7" s="117">
        <f t="shared" si="28"/>
        <v>1.5599999999999999E-2</v>
      </c>
      <c r="EG7" s="117" t="str">
        <f t="shared" ca="1" si="28"/>
        <v>U</v>
      </c>
      <c r="EH7" s="117" t="str">
        <f t="shared" ref="EH7:EI8" ca="1" si="29">EH$6</f>
        <v>S</v>
      </c>
      <c r="EI7" s="117" t="str">
        <f t="shared" ca="1" si="29"/>
        <v>U</v>
      </c>
      <c r="EJ7" s="117" t="str">
        <f t="shared" si="28"/>
        <v>S</v>
      </c>
      <c r="EK7" s="117" t="str">
        <f t="shared" ca="1" si="28"/>
        <v>U</v>
      </c>
      <c r="EL7" s="117" t="str">
        <f t="shared" ca="1" si="28"/>
        <v>S</v>
      </c>
      <c r="EM7" s="117">
        <f t="shared" si="28"/>
        <v>0.75</v>
      </c>
      <c r="EN7" s="117">
        <f t="shared" si="28"/>
        <v>0.19000000000423975</v>
      </c>
      <c r="EO7" s="117">
        <f t="shared" si="28"/>
        <v>0.62500000000001221</v>
      </c>
      <c r="EP7" s="117">
        <f t="shared" si="28"/>
        <v>1.5000000000000016</v>
      </c>
      <c r="EQ7" s="117">
        <f t="shared" si="28"/>
        <v>1.437500284744256</v>
      </c>
      <c r="ER7" s="117">
        <f t="shared" si="28"/>
        <v>0.5</v>
      </c>
      <c r="ES7" s="117" t="str">
        <f t="shared" si="28"/>
        <v>U</v>
      </c>
      <c r="ET7" s="117" t="str">
        <f t="shared" si="28"/>
        <v>U</v>
      </c>
      <c r="EU7" s="117" t="str">
        <f t="shared" si="28"/>
        <v>U</v>
      </c>
      <c r="EV7" s="117" t="str">
        <f t="shared" si="28"/>
        <v>U</v>
      </c>
      <c r="EW7" s="117" t="str">
        <f t="shared" si="28"/>
        <v>U</v>
      </c>
      <c r="EX7" s="117" t="str">
        <f t="shared" ref="EX7:EZ14" ca="1" si="30">EX$6</f>
        <v>U</v>
      </c>
      <c r="EY7" s="117" t="str">
        <f t="shared" ca="1" si="30"/>
        <v>U</v>
      </c>
      <c r="EZ7" s="117" t="str">
        <f t="shared" ca="1" si="30"/>
        <v>U</v>
      </c>
      <c r="FA7" s="117" t="str">
        <f t="shared" ca="1" si="28"/>
        <v>U</v>
      </c>
      <c r="FB7" s="117" t="str">
        <f t="shared" ca="1" si="28"/>
        <v>U</v>
      </c>
      <c r="FC7" s="117" t="str">
        <f t="shared" ca="1" si="28"/>
        <v>U</v>
      </c>
      <c r="FD7" s="117" t="str">
        <f t="shared" ca="1" si="28"/>
        <v>U</v>
      </c>
      <c r="FE7" s="117" t="str">
        <f t="shared" ca="1" si="28"/>
        <v>U</v>
      </c>
      <c r="FF7" s="117" t="str">
        <f t="shared" ca="1" si="28"/>
        <v>U</v>
      </c>
      <c r="FG7" s="117">
        <f t="shared" ca="1" si="28"/>
        <v>48</v>
      </c>
      <c r="FH7" s="117" t="str">
        <f t="shared" ref="FH7:FI9" si="31">FH$6</f>
        <v>U</v>
      </c>
      <c r="FI7" s="117" t="str">
        <f t="shared" si="31"/>
        <v>S</v>
      </c>
      <c r="FJ7" s="117" t="str">
        <f t="shared" ref="FJ7:IK14" ca="1" si="32">FJ$6</f>
        <v>U</v>
      </c>
      <c r="FK7" s="117" t="str">
        <f t="shared" ca="1" si="32"/>
        <v>U</v>
      </c>
      <c r="FL7" s="307" t="str">
        <f t="shared" ca="1" si="32"/>
        <v>U</v>
      </c>
      <c r="FM7" s="117" t="str">
        <f t="shared" ref="FM7:FP14" ca="1" si="33">FM$6</f>
        <v>U</v>
      </c>
      <c r="FN7" s="117" t="str">
        <f t="shared" ca="1" si="33"/>
        <v>U</v>
      </c>
      <c r="FO7" s="117">
        <f t="shared" ca="1" si="33"/>
        <v>48</v>
      </c>
      <c r="FP7" s="117">
        <f t="shared" ca="1" si="33"/>
        <v>16</v>
      </c>
      <c r="FQ7" s="308" t="str">
        <f t="shared" si="32"/>
        <v>U</v>
      </c>
      <c r="FR7" s="117" t="str">
        <f t="shared" si="32"/>
        <v>U</v>
      </c>
      <c r="FS7" s="117" t="str">
        <f t="shared" ref="FS7:FU8" si="34">FS$6</f>
        <v>S</v>
      </c>
      <c r="FT7" s="117" t="str">
        <f t="shared" si="34"/>
        <v>S</v>
      </c>
      <c r="FU7" s="117" t="str">
        <f t="shared" si="34"/>
        <v>U</v>
      </c>
      <c r="FV7" s="117" t="str">
        <f t="shared" ref="FV7:FW8" si="35">FV$6</f>
        <v>U</v>
      </c>
      <c r="FW7" s="117" t="str">
        <f t="shared" si="35"/>
        <v>U</v>
      </c>
      <c r="FX7" s="117" t="str">
        <f t="shared" ref="FX7:FY14" si="36">FX$6</f>
        <v>U</v>
      </c>
      <c r="FY7" s="117" t="str">
        <f t="shared" si="36"/>
        <v>U</v>
      </c>
      <c r="FZ7" s="117">
        <f t="shared" si="32"/>
        <v>27</v>
      </c>
      <c r="GA7" s="117">
        <f t="shared" si="32"/>
        <v>19</v>
      </c>
      <c r="GB7" s="117">
        <f t="shared" si="32"/>
        <v>10</v>
      </c>
      <c r="GC7" s="117">
        <f t="shared" si="32"/>
        <v>15.000000000000009</v>
      </c>
      <c r="GD7" s="117">
        <f t="shared" si="32"/>
        <v>1</v>
      </c>
      <c r="GE7" s="117">
        <f t="shared" si="32"/>
        <v>12.000000000000007</v>
      </c>
      <c r="GF7" s="117">
        <f t="shared" si="32"/>
        <v>1</v>
      </c>
      <c r="GG7" s="117">
        <f t="shared" si="32"/>
        <v>1</v>
      </c>
      <c r="GH7" s="117">
        <f t="shared" si="32"/>
        <v>12.000010000000007</v>
      </c>
      <c r="GI7" s="117" t="str">
        <f t="shared" ca="1" si="32"/>
        <v>U</v>
      </c>
      <c r="GJ7" s="117" t="str">
        <f t="shared" ca="1" si="32"/>
        <v>S</v>
      </c>
      <c r="GK7" s="117" t="str">
        <f t="shared" ca="1" si="32"/>
        <v>U</v>
      </c>
      <c r="GL7" s="117" t="str">
        <f t="shared" ca="1" si="32"/>
        <v>U</v>
      </c>
      <c r="GM7" s="117" t="str">
        <f t="shared" ca="1" si="32"/>
        <v>U</v>
      </c>
      <c r="GN7" s="117" t="str">
        <f t="shared" ca="1" si="32"/>
        <v>U</v>
      </c>
      <c r="GO7" s="117" t="str">
        <f t="shared" ca="1" si="32"/>
        <v>U</v>
      </c>
      <c r="GP7" s="117">
        <f t="shared" si="32"/>
        <v>1.0000000005663834E-5</v>
      </c>
      <c r="GQ7" s="117">
        <f t="shared" si="32"/>
        <v>5.9999999999999991</v>
      </c>
      <c r="GR7" s="117">
        <f t="shared" si="32"/>
        <v>1</v>
      </c>
      <c r="GS7" s="117">
        <f t="shared" si="32"/>
        <v>10</v>
      </c>
      <c r="GT7" s="117">
        <f t="shared" si="32"/>
        <v>15.000000000000009</v>
      </c>
      <c r="GU7" s="117">
        <f t="shared" si="32"/>
        <v>0</v>
      </c>
      <c r="GV7" s="117">
        <f t="shared" si="32"/>
        <v>6.0000000000000036</v>
      </c>
      <c r="GW7" s="117">
        <f t="shared" si="32"/>
        <v>1</v>
      </c>
      <c r="GX7" s="117">
        <f t="shared" si="32"/>
        <v>1</v>
      </c>
      <c r="GY7" s="117" t="str">
        <f t="shared" ca="1" si="32"/>
        <v>S</v>
      </c>
      <c r="GZ7" s="117">
        <f t="shared" si="32"/>
        <v>1.500010000000001</v>
      </c>
      <c r="HA7" s="117" t="str">
        <f t="shared" ca="1" si="32"/>
        <v>S</v>
      </c>
      <c r="HB7" s="117" t="str">
        <f t="shared" ca="1" si="32"/>
        <v>S</v>
      </c>
      <c r="HC7" s="117" t="str">
        <f t="shared" ca="1" si="32"/>
        <v>S</v>
      </c>
      <c r="HD7" s="117" t="str">
        <f t="shared" ca="1" si="32"/>
        <v>S</v>
      </c>
      <c r="HE7" s="117" t="str">
        <f t="shared" ca="1" si="32"/>
        <v>S</v>
      </c>
      <c r="HF7" s="208" t="str">
        <f t="shared" ref="HF7:HF14" si="37">HF$6</f>
        <v>Yes - Right Side</v>
      </c>
      <c r="HG7" s="117" t="str">
        <f t="shared" ref="HG7:HH9" si="38">HG$6</f>
        <v>S</v>
      </c>
      <c r="HH7" s="117" t="str">
        <f t="shared" si="38"/>
        <v>U</v>
      </c>
      <c r="HI7" s="117" t="str">
        <f t="shared" ref="HI7:HI14" si="39">HI$6</f>
        <v>U</v>
      </c>
      <c r="HJ7" s="3" t="str">
        <f t="shared" ref="HJ7:HK14" si="40">"S"</f>
        <v>S</v>
      </c>
      <c r="HK7" s="3" t="str">
        <f t="shared" si="40"/>
        <v>S</v>
      </c>
      <c r="HL7" s="117">
        <f t="shared" ca="1" si="32"/>
        <v>48</v>
      </c>
      <c r="HM7" s="117">
        <f t="shared" si="32"/>
        <v>3.9999999999999998E-6</v>
      </c>
      <c r="HN7" s="3" t="str">
        <f t="shared" ref="HN7:HN14" si="41">"S"</f>
        <v>S</v>
      </c>
      <c r="HO7" s="117">
        <f t="shared" ca="1" si="32"/>
        <v>18</v>
      </c>
      <c r="HP7" s="117">
        <f t="shared" ca="1" si="32"/>
        <v>48.000003999999997</v>
      </c>
      <c r="HQ7" s="3" t="str">
        <f t="shared" ref="HQ7:HR14" si="42">"S"</f>
        <v>S</v>
      </c>
      <c r="HR7" s="3" t="str">
        <f t="shared" si="42"/>
        <v>S</v>
      </c>
      <c r="HS7" s="117">
        <f t="shared" ca="1" si="32"/>
        <v>359.99999600000001</v>
      </c>
      <c r="HT7" s="117">
        <f t="shared" ca="1" si="32"/>
        <v>23.999968000000024</v>
      </c>
      <c r="HU7" s="117">
        <f t="shared" ca="1" si="32"/>
        <v>23.999968000000024</v>
      </c>
      <c r="HV7" s="117">
        <f t="shared" ca="1" si="32"/>
        <v>3.9999373887056513</v>
      </c>
      <c r="HW7" s="117">
        <f t="shared" ca="1" si="32"/>
        <v>24</v>
      </c>
      <c r="HX7" s="117">
        <f t="shared" si="32"/>
        <v>388.8125</v>
      </c>
      <c r="HY7" s="117">
        <f t="shared" ca="1" si="32"/>
        <v>360.00000399999999</v>
      </c>
      <c r="HZ7" s="117">
        <f t="shared" ref="HZ7:IA14" ca="1" si="43">HZ$6</f>
        <v>3.9999373887056513</v>
      </c>
      <c r="IA7" s="117">
        <f t="shared" ca="1" si="43"/>
        <v>24.000035999999973</v>
      </c>
      <c r="IB7" s="3" t="str">
        <f t="shared" ref="IB7:IC14" si="44">"S"</f>
        <v>S</v>
      </c>
      <c r="IC7" s="3" t="str">
        <f t="shared" si="44"/>
        <v>S</v>
      </c>
      <c r="ID7" s="117">
        <f t="shared" ca="1" si="32"/>
        <v>27.999905388705674</v>
      </c>
      <c r="IE7" s="3" t="str">
        <f t="shared" ref="IE7:II14" si="45">"S"</f>
        <v>S</v>
      </c>
      <c r="IF7" s="3" t="str">
        <f t="shared" si="45"/>
        <v>S</v>
      </c>
      <c r="IG7" s="3" t="str">
        <f t="shared" si="45"/>
        <v>S</v>
      </c>
      <c r="IH7" s="3" t="str">
        <f t="shared" si="45"/>
        <v>S</v>
      </c>
      <c r="II7" s="3" t="str">
        <f t="shared" si="45"/>
        <v>S</v>
      </c>
      <c r="IJ7" s="117">
        <f t="shared" ca="1" si="32"/>
        <v>23.999968000000024</v>
      </c>
      <c r="IK7" s="117">
        <f t="shared" ca="1" si="32"/>
        <v>3.9999373887056513</v>
      </c>
      <c r="IL7" s="3" t="str">
        <f t="shared" ref="IL7:IX14" si="46">"S"</f>
        <v>S</v>
      </c>
      <c r="IM7" s="3" t="str">
        <f t="shared" si="46"/>
        <v>S</v>
      </c>
      <c r="IN7" s="3" t="str">
        <f t="shared" si="46"/>
        <v>S</v>
      </c>
      <c r="IO7" s="3" t="str">
        <f t="shared" si="46"/>
        <v>S</v>
      </c>
      <c r="IP7" s="3" t="str">
        <f t="shared" si="46"/>
        <v>S</v>
      </c>
      <c r="IQ7" s="3" t="str">
        <f t="shared" si="46"/>
        <v>S</v>
      </c>
      <c r="IR7" s="3" t="str">
        <f t="shared" si="46"/>
        <v>S</v>
      </c>
      <c r="IS7" s="3" t="str">
        <f t="shared" si="46"/>
        <v>S</v>
      </c>
      <c r="IT7" s="3" t="str">
        <f t="shared" si="46"/>
        <v>S</v>
      </c>
      <c r="IU7" s="3" t="str">
        <f t="shared" si="46"/>
        <v>S</v>
      </c>
      <c r="IV7" s="3" t="str">
        <f t="shared" si="46"/>
        <v>S</v>
      </c>
      <c r="IW7" s="3" t="str">
        <f t="shared" si="46"/>
        <v>S</v>
      </c>
      <c r="IX7" s="3" t="str">
        <f t="shared" si="46"/>
        <v>S</v>
      </c>
      <c r="IY7" s="117">
        <f t="shared" ref="IY7:LG13" ca="1" si="47">IY$6</f>
        <v>1</v>
      </c>
      <c r="IZ7" s="117">
        <f t="shared" ca="1" si="47"/>
        <v>3</v>
      </c>
      <c r="JA7" s="117">
        <f t="shared" ca="1" si="47"/>
        <v>9.9999999999999995E-7</v>
      </c>
      <c r="JB7" s="117">
        <f t="shared" ref="JB7:JC13" ca="1" si="48">JB$6</f>
        <v>1.0000000000000001E-5</v>
      </c>
      <c r="JC7" s="117">
        <f t="shared" ca="1" si="48"/>
        <v>1.0000000000000001E-5</v>
      </c>
      <c r="JD7" s="117" t="str">
        <f t="shared" ca="1" si="47"/>
        <v>S</v>
      </c>
      <c r="JE7" s="117" t="str">
        <f t="shared" ca="1" si="47"/>
        <v>S</v>
      </c>
      <c r="JF7" s="117" t="str">
        <f t="shared" ca="1" si="47"/>
        <v>S</v>
      </c>
      <c r="JG7" s="117" t="str">
        <f t="shared" ca="1" si="47"/>
        <v>S</v>
      </c>
      <c r="JH7" s="117" t="str">
        <f t="shared" ca="1" si="47"/>
        <v>S</v>
      </c>
      <c r="JI7" s="117">
        <f t="shared" si="47"/>
        <v>0.1046</v>
      </c>
      <c r="JJ7" s="199">
        <f t="shared" ref="JJ7:JJ14" si="49">JJ$6</f>
        <v>0.39290028474001548</v>
      </c>
      <c r="JK7" s="117">
        <f t="shared" si="47"/>
        <v>0.51790028474001548</v>
      </c>
      <c r="JL7" s="117">
        <f t="shared" si="47"/>
        <v>0.5</v>
      </c>
      <c r="JM7" s="117">
        <f t="shared" si="47"/>
        <v>0.375</v>
      </c>
      <c r="JN7" s="117">
        <f t="shared" si="47"/>
        <v>0.375</v>
      </c>
      <c r="JO7" s="117">
        <f t="shared" si="47"/>
        <v>11.25</v>
      </c>
      <c r="JP7" s="117" t="str">
        <f t="shared" ref="JP7:JR14" si="50">JP$6</f>
        <v>S</v>
      </c>
      <c r="JQ7" s="117" t="str">
        <f t="shared" si="50"/>
        <v>S</v>
      </c>
      <c r="JR7" s="117" t="str">
        <f t="shared" si="50"/>
        <v>S</v>
      </c>
      <c r="JS7" s="117" t="str">
        <f t="shared" si="47"/>
        <v>U</v>
      </c>
      <c r="JT7" s="117" t="str">
        <f t="shared" si="47"/>
        <v>U</v>
      </c>
      <c r="JU7" s="117" t="str">
        <f t="shared" ref="JU7:JU13" si="51">JU$6</f>
        <v>S</v>
      </c>
      <c r="JV7" s="117" t="str">
        <f t="shared" si="47"/>
        <v>S</v>
      </c>
      <c r="JW7" s="117" t="str">
        <f t="shared" si="47"/>
        <v>S</v>
      </c>
      <c r="JX7" s="117" t="str">
        <f t="shared" si="47"/>
        <v>S</v>
      </c>
      <c r="JY7" s="117" t="str">
        <f t="shared" si="47"/>
        <v>S</v>
      </c>
      <c r="JZ7" s="117" t="str">
        <f t="shared" si="47"/>
        <v>S</v>
      </c>
      <c r="KA7" s="117" t="str">
        <f t="shared" si="47"/>
        <v>S</v>
      </c>
      <c r="KB7" s="117" t="str">
        <f t="shared" si="47"/>
        <v>S</v>
      </c>
      <c r="KC7" s="117" t="str">
        <f t="shared" si="47"/>
        <v>S</v>
      </c>
      <c r="KD7" s="117" t="str">
        <f t="shared" si="47"/>
        <v>S</v>
      </c>
      <c r="KE7" s="117" t="str">
        <f t="shared" si="47"/>
        <v>S</v>
      </c>
      <c r="KF7" s="117" t="str">
        <f t="shared" si="47"/>
        <v>S</v>
      </c>
      <c r="KG7" s="117" t="str">
        <f t="shared" si="47"/>
        <v>S</v>
      </c>
      <c r="KH7" s="117" t="str">
        <f t="shared" si="47"/>
        <v>S</v>
      </c>
      <c r="KI7" s="117" t="str">
        <f t="shared" si="47"/>
        <v>S</v>
      </c>
      <c r="KJ7" s="117" t="str">
        <f t="shared" si="47"/>
        <v>S</v>
      </c>
      <c r="KK7" s="117" t="str">
        <f t="shared" si="47"/>
        <v>S</v>
      </c>
      <c r="KL7" s="117" t="str">
        <f t="shared" si="47"/>
        <v>S</v>
      </c>
      <c r="KM7" s="117" t="str">
        <f t="shared" si="47"/>
        <v>S</v>
      </c>
      <c r="KN7" s="117">
        <f t="shared" si="47"/>
        <v>1.0000000000000001E-5</v>
      </c>
      <c r="KO7" s="117" t="str">
        <f t="shared" si="47"/>
        <v>S</v>
      </c>
      <c r="KP7" s="117" t="str">
        <f t="shared" si="47"/>
        <v>S</v>
      </c>
      <c r="KQ7" s="117" t="str">
        <f t="shared" si="47"/>
        <v>S</v>
      </c>
      <c r="KR7" s="117" t="str">
        <f t="shared" si="47"/>
        <v>S</v>
      </c>
      <c r="KS7" s="117" t="str">
        <f t="shared" si="47"/>
        <v>S</v>
      </c>
      <c r="KT7" s="117" t="str">
        <f t="shared" si="47"/>
        <v>S</v>
      </c>
      <c r="KU7" s="117" t="str">
        <f t="shared" si="47"/>
        <v>S</v>
      </c>
      <c r="KV7" s="117" t="str">
        <f t="shared" si="47"/>
        <v>S</v>
      </c>
      <c r="KW7" s="117">
        <f t="shared" si="47"/>
        <v>2</v>
      </c>
      <c r="KX7" s="117">
        <f t="shared" si="47"/>
        <v>3.0000000000000004</v>
      </c>
      <c r="KY7" s="117">
        <f t="shared" si="47"/>
        <v>0.25</v>
      </c>
      <c r="KZ7" s="117">
        <f t="shared" si="47"/>
        <v>0.3125</v>
      </c>
      <c r="LA7" s="117">
        <f t="shared" si="47"/>
        <v>0.25</v>
      </c>
      <c r="LB7" s="117">
        <f t="shared" si="47"/>
        <v>2.0000000000000001E-4</v>
      </c>
      <c r="LC7" s="117" t="str">
        <f t="shared" si="47"/>
        <v>S</v>
      </c>
      <c r="LD7" s="117" t="str">
        <f t="shared" si="47"/>
        <v>S</v>
      </c>
      <c r="LE7" s="117" t="str">
        <f t="shared" si="47"/>
        <v>S</v>
      </c>
      <c r="LF7" s="117" t="str">
        <f t="shared" si="47"/>
        <v>S</v>
      </c>
      <c r="LG7" s="117" t="str">
        <f t="shared" si="47"/>
        <v>S</v>
      </c>
      <c r="LH7" s="117" t="str">
        <f t="shared" ref="LH7:NT14" si="52">LH$6</f>
        <v>S</v>
      </c>
      <c r="LI7" s="117" t="str">
        <f t="shared" si="52"/>
        <v>S</v>
      </c>
      <c r="LJ7" s="117" t="str">
        <f t="shared" si="52"/>
        <v>S</v>
      </c>
      <c r="LK7" s="117" t="str">
        <f t="shared" si="52"/>
        <v>S</v>
      </c>
      <c r="LL7" s="117" t="str">
        <f t="shared" si="52"/>
        <v>S</v>
      </c>
      <c r="LM7" s="117" t="str">
        <f t="shared" si="52"/>
        <v>S</v>
      </c>
      <c r="LN7" s="117" t="str">
        <f t="shared" si="52"/>
        <v>S</v>
      </c>
      <c r="LO7" s="117" t="str">
        <f t="shared" si="52"/>
        <v>S</v>
      </c>
      <c r="LP7" s="117" t="str">
        <f t="shared" si="52"/>
        <v>S</v>
      </c>
      <c r="LQ7" s="117">
        <f t="shared" si="52"/>
        <v>3.0000000000000004</v>
      </c>
      <c r="LR7" s="117">
        <f t="shared" si="52"/>
        <v>0.16999999999999998</v>
      </c>
      <c r="LS7" s="117">
        <f t="shared" si="52"/>
        <v>1.41</v>
      </c>
      <c r="LT7" s="117">
        <f t="shared" si="52"/>
        <v>0.27300000000000002</v>
      </c>
      <c r="LU7" s="117">
        <f t="shared" si="52"/>
        <v>0.27</v>
      </c>
      <c r="LV7" s="117">
        <f t="shared" si="52"/>
        <v>0.1</v>
      </c>
      <c r="LW7" s="117">
        <f t="shared" si="52"/>
        <v>9.4629999999999992</v>
      </c>
      <c r="LX7" s="117">
        <f t="shared" si="52"/>
        <v>8.4947435596928661E-2</v>
      </c>
      <c r="LY7" s="117">
        <f t="shared" si="52"/>
        <v>4.0999999999999996</v>
      </c>
      <c r="LZ7" s="121" t="str">
        <f>LZ$6</f>
        <v>S</v>
      </c>
      <c r="MA7" s="121" t="str">
        <f t="shared" ref="MA7:NC8" si="53">MA$6</f>
        <v>S</v>
      </c>
      <c r="MB7" s="121" t="str">
        <f t="shared" si="53"/>
        <v>S</v>
      </c>
      <c r="MC7" s="121" t="str">
        <f t="shared" si="53"/>
        <v>S</v>
      </c>
      <c r="MD7" s="121" t="str">
        <f t="shared" si="53"/>
        <v>S</v>
      </c>
      <c r="ME7" s="121" t="str">
        <f t="shared" si="53"/>
        <v>S</v>
      </c>
      <c r="MF7" s="121" t="str">
        <f t="shared" si="53"/>
        <v>S</v>
      </c>
      <c r="MG7" s="121" t="str">
        <f t="shared" si="53"/>
        <v>S</v>
      </c>
      <c r="MH7" s="121" t="str">
        <f t="shared" si="53"/>
        <v>S</v>
      </c>
      <c r="MI7" s="121" t="str">
        <f t="shared" si="53"/>
        <v>S</v>
      </c>
      <c r="MJ7" s="121" t="str">
        <f t="shared" ref="MJ7:ML8" si="54">MJ$6</f>
        <v>S</v>
      </c>
      <c r="MK7" s="121" t="str">
        <f t="shared" si="54"/>
        <v>S</v>
      </c>
      <c r="ML7" s="121" t="str">
        <f t="shared" si="54"/>
        <v>S</v>
      </c>
      <c r="MM7" s="121" t="str">
        <f t="shared" si="53"/>
        <v>S</v>
      </c>
      <c r="MN7" s="121" t="str">
        <f t="shared" si="53"/>
        <v>S</v>
      </c>
      <c r="MO7" s="121" t="str">
        <f t="shared" si="53"/>
        <v>S</v>
      </c>
      <c r="MP7" s="121" t="str">
        <f t="shared" si="53"/>
        <v>S</v>
      </c>
      <c r="MQ7" s="121" t="str">
        <f t="shared" si="53"/>
        <v>S</v>
      </c>
      <c r="MR7" s="121" t="str">
        <f t="shared" si="53"/>
        <v>S</v>
      </c>
      <c r="MS7" s="121" t="str">
        <f t="shared" si="53"/>
        <v>S</v>
      </c>
      <c r="MT7" s="121" t="str">
        <f t="shared" si="53"/>
        <v>S</v>
      </c>
      <c r="MU7" s="121" t="str">
        <f t="shared" si="53"/>
        <v>S</v>
      </c>
      <c r="MV7" s="121" t="str">
        <f t="shared" si="53"/>
        <v>S</v>
      </c>
      <c r="MW7" s="121" t="str">
        <f t="shared" si="53"/>
        <v>S</v>
      </c>
      <c r="MX7" s="121" t="str">
        <f t="shared" si="53"/>
        <v>S</v>
      </c>
      <c r="MY7" s="121" t="str">
        <f t="shared" si="53"/>
        <v>S</v>
      </c>
      <c r="MZ7" s="121" t="str">
        <f t="shared" si="53"/>
        <v>S</v>
      </c>
      <c r="NA7" s="121" t="str">
        <f t="shared" si="53"/>
        <v>S</v>
      </c>
      <c r="NB7" s="121" t="str">
        <f t="shared" si="53"/>
        <v>S</v>
      </c>
      <c r="NC7" s="121" t="str">
        <f t="shared" si="53"/>
        <v>S</v>
      </c>
      <c r="ND7" s="117" t="str">
        <f>ND$6</f>
        <v>S</v>
      </c>
      <c r="NE7" s="117">
        <f>NE$6</f>
        <v>0</v>
      </c>
      <c r="NF7" s="117">
        <f t="shared" si="52"/>
        <v>1.0000000000000001E-5</v>
      </c>
      <c r="NG7" s="117" t="str">
        <f t="shared" si="52"/>
        <v>S</v>
      </c>
      <c r="NH7" s="117" t="str">
        <f t="shared" si="52"/>
        <v>S</v>
      </c>
      <c r="NI7" s="117" t="str">
        <f t="shared" si="52"/>
        <v>S</v>
      </c>
      <c r="NJ7" s="117" t="str">
        <f t="shared" si="52"/>
        <v>S</v>
      </c>
      <c r="NK7" s="117" t="str">
        <f t="shared" si="52"/>
        <v>S</v>
      </c>
      <c r="NL7" s="117" t="str">
        <f t="shared" si="52"/>
        <v>S</v>
      </c>
      <c r="NM7" s="117" t="str">
        <f t="shared" si="52"/>
        <v>S</v>
      </c>
      <c r="NN7" s="117" t="str">
        <f t="shared" si="52"/>
        <v>S</v>
      </c>
      <c r="NO7" s="117">
        <f t="shared" si="52"/>
        <v>4</v>
      </c>
      <c r="NP7" s="117">
        <f t="shared" si="52"/>
        <v>6.0000000000000009</v>
      </c>
      <c r="NQ7" s="117">
        <f t="shared" si="52"/>
        <v>0.625</v>
      </c>
      <c r="NR7" s="117">
        <f t="shared" si="52"/>
        <v>0.5</v>
      </c>
      <c r="NS7" s="117">
        <f t="shared" si="52"/>
        <v>0.5</v>
      </c>
      <c r="NT7" s="117">
        <f t="shared" si="52"/>
        <v>0.12520000000000001</v>
      </c>
      <c r="NU7" s="3" t="str">
        <f t="shared" ref="NU7:NU14" si="55">"S"</f>
        <v>S</v>
      </c>
      <c r="NV7" s="117" t="str">
        <f t="shared" ref="NV7:RI13" si="56">NV$6</f>
        <v>S</v>
      </c>
      <c r="NW7" s="117" t="str">
        <f t="shared" si="56"/>
        <v>S</v>
      </c>
      <c r="NX7" s="117" t="str">
        <f t="shared" si="56"/>
        <v>S</v>
      </c>
      <c r="NY7" s="117" t="str">
        <f t="shared" si="56"/>
        <v>S</v>
      </c>
      <c r="NZ7" s="117" t="str">
        <f t="shared" ref="NZ7:OB13" si="57">NZ$6</f>
        <v>S</v>
      </c>
      <c r="OA7" s="117" t="str">
        <f t="shared" si="57"/>
        <v>S</v>
      </c>
      <c r="OB7" s="117" t="str">
        <f t="shared" si="57"/>
        <v>S</v>
      </c>
      <c r="OC7" s="117" t="str">
        <f t="shared" si="56"/>
        <v>S</v>
      </c>
      <c r="OD7" s="117" t="str">
        <f t="shared" si="56"/>
        <v>S</v>
      </c>
      <c r="OE7" s="117">
        <f t="shared" si="56"/>
        <v>3.0000000000000004</v>
      </c>
      <c r="OF7" s="117">
        <f t="shared" si="56"/>
        <v>0.16999999999999998</v>
      </c>
      <c r="OG7" s="117">
        <f t="shared" si="56"/>
        <v>1.41</v>
      </c>
      <c r="OH7" s="117">
        <f t="shared" si="56"/>
        <v>0.27300000000000002</v>
      </c>
      <c r="OI7" s="117">
        <f t="shared" si="56"/>
        <v>0.27</v>
      </c>
      <c r="OJ7" s="117">
        <f t="shared" si="56"/>
        <v>0.1</v>
      </c>
      <c r="OK7" s="117">
        <f t="shared" si="56"/>
        <v>9.4629999999999992</v>
      </c>
      <c r="OL7" s="117">
        <f t="shared" si="56"/>
        <v>8.4947435596928661E-2</v>
      </c>
      <c r="OM7" s="117">
        <f t="shared" si="56"/>
        <v>4.0999999999999996</v>
      </c>
      <c r="ON7" s="3" t="str">
        <f t="shared" ref="ON7:ON14" si="58">"S"</f>
        <v>S</v>
      </c>
      <c r="OO7" s="117" t="str">
        <f t="shared" ca="1" si="56"/>
        <v>S</v>
      </c>
      <c r="OP7" s="117" t="str">
        <f t="shared" ca="1" si="56"/>
        <v>S</v>
      </c>
      <c r="OQ7" s="117" t="str">
        <f t="shared" ca="1" si="56"/>
        <v>S</v>
      </c>
      <c r="OR7" s="117" t="str">
        <f t="shared" ca="1" si="56"/>
        <v>S</v>
      </c>
      <c r="OS7" s="117" t="str">
        <f t="shared" ca="1" si="56"/>
        <v>S</v>
      </c>
      <c r="OT7" s="117" t="str">
        <f t="shared" ca="1" si="56"/>
        <v>S</v>
      </c>
      <c r="OU7" s="117">
        <f t="shared" si="56"/>
        <v>22.352885682963269</v>
      </c>
      <c r="OV7" s="117">
        <f t="shared" si="56"/>
        <v>1.5625</v>
      </c>
      <c r="OW7" s="117">
        <f t="shared" si="56"/>
        <v>2</v>
      </c>
      <c r="OX7" s="117">
        <f t="shared" ca="1" si="56"/>
        <v>1.0000000000000001E-5</v>
      </c>
      <c r="OY7" s="3" t="str">
        <f t="shared" ref="OY7:PB8" si="59">"S"</f>
        <v>S</v>
      </c>
      <c r="OZ7" s="3" t="str">
        <f t="shared" si="59"/>
        <v>S</v>
      </c>
      <c r="PA7" s="3" t="str">
        <f t="shared" si="59"/>
        <v>S</v>
      </c>
      <c r="PB7" s="3" t="str">
        <f t="shared" si="59"/>
        <v>S</v>
      </c>
      <c r="PC7" s="117">
        <f t="shared" ref="PC7:PD13" si="60">PC$6</f>
        <v>1.0000006859324079E-6</v>
      </c>
      <c r="PD7" s="117">
        <f t="shared" si="60"/>
        <v>1.0000000313816476E-6</v>
      </c>
      <c r="PE7" s="117">
        <f t="shared" ref="PE7:PF14" si="61">PE$6</f>
        <v>9.9999936016657661E-7</v>
      </c>
      <c r="PF7" s="117">
        <f t="shared" si="61"/>
        <v>9.9999997677932015E-7</v>
      </c>
      <c r="PG7" s="117" t="str">
        <f t="shared" si="56"/>
        <v>S</v>
      </c>
      <c r="PH7" s="117" t="str">
        <f t="shared" si="56"/>
        <v>S</v>
      </c>
      <c r="PI7" s="117" t="str">
        <f t="shared" si="56"/>
        <v>S</v>
      </c>
      <c r="PJ7" s="117" t="str">
        <f t="shared" si="56"/>
        <v>S</v>
      </c>
      <c r="PK7" s="117" t="str">
        <f t="shared" si="56"/>
        <v>Teflon, 2.5 x 2.5</v>
      </c>
      <c r="PL7" s="117" t="str">
        <f t="shared" si="56"/>
        <v>Teflon, 2.5 x 2.5</v>
      </c>
      <c r="PM7" s="117">
        <f t="shared" ref="PM7:PM13" si="62">PM$6</f>
        <v>0</v>
      </c>
      <c r="PN7" s="117" t="str">
        <f t="shared" si="56"/>
        <v>Teflon, 2.5 x 2.5</v>
      </c>
      <c r="PO7" s="117" t="str">
        <f t="shared" si="56"/>
        <v>Teflon, 2.5 x 2.5</v>
      </c>
      <c r="PP7" s="117">
        <f t="shared" ref="PP7:PP13" si="63">PP$6</f>
        <v>0</v>
      </c>
      <c r="PQ7" s="117">
        <f t="shared" si="56"/>
        <v>0.125</v>
      </c>
      <c r="PR7" s="117">
        <f t="shared" si="56"/>
        <v>0.125</v>
      </c>
      <c r="PS7" s="117">
        <f t="shared" ref="PS7:PT13" si="64">PS$6</f>
        <v>0.125</v>
      </c>
      <c r="PT7" s="117">
        <f t="shared" si="64"/>
        <v>0.125</v>
      </c>
      <c r="PU7" s="117" t="str">
        <f t="shared" si="56"/>
        <v>S</v>
      </c>
      <c r="PV7" s="117" t="str">
        <f t="shared" ref="PV7:PV9" si="65">PV$6</f>
        <v>S</v>
      </c>
      <c r="PW7" s="117" t="str">
        <f t="shared" si="56"/>
        <v>S</v>
      </c>
      <c r="PX7" s="117" t="str">
        <f t="shared" si="56"/>
        <v>S</v>
      </c>
      <c r="PY7" s="117" t="str">
        <f t="shared" ref="PY7:PY9" si="66">PY$6</f>
        <v>S</v>
      </c>
      <c r="PZ7" s="117" t="str">
        <f t="shared" si="56"/>
        <v>S</v>
      </c>
      <c r="QA7" s="117" t="str">
        <f t="shared" si="56"/>
        <v>S</v>
      </c>
      <c r="QB7" s="117" t="str">
        <f t="shared" si="56"/>
        <v>S</v>
      </c>
      <c r="QC7" s="3" t="str">
        <f t="shared" ref="QC7:QD9" si="67">"S"</f>
        <v>S</v>
      </c>
      <c r="QD7" s="3" t="str">
        <f t="shared" si="67"/>
        <v>S</v>
      </c>
      <c r="QE7" s="117" t="str">
        <f t="shared" ca="1" si="56"/>
        <v>S</v>
      </c>
      <c r="QF7" s="117">
        <f t="shared" ca="1" si="56"/>
        <v>3</v>
      </c>
      <c r="QG7" s="117">
        <f t="shared" ca="1" si="56"/>
        <v>1.5</v>
      </c>
      <c r="QH7" s="117">
        <f t="shared" ca="1" si="56"/>
        <v>1</v>
      </c>
      <c r="QI7" s="117">
        <f t="shared" ca="1" si="56"/>
        <v>3</v>
      </c>
      <c r="QJ7" s="117" t="str">
        <f t="shared" ca="1" si="56"/>
        <v>S</v>
      </c>
      <c r="QK7" s="3" t="str">
        <f t="shared" ref="QK7:QP8" si="68">"S"</f>
        <v>S</v>
      </c>
      <c r="QL7" s="3" t="str">
        <f t="shared" si="68"/>
        <v>S</v>
      </c>
      <c r="QM7" s="3" t="str">
        <f t="shared" si="68"/>
        <v>S</v>
      </c>
      <c r="QN7" s="3" t="str">
        <f t="shared" si="68"/>
        <v>S</v>
      </c>
      <c r="QO7" s="3" t="str">
        <f t="shared" si="68"/>
        <v>S</v>
      </c>
      <c r="QP7" s="3" t="str">
        <f t="shared" si="68"/>
        <v>S</v>
      </c>
      <c r="QQ7" s="117" t="str">
        <f t="shared" si="56"/>
        <v>S</v>
      </c>
      <c r="QR7" s="117" t="str">
        <f t="shared" ref="QR7:QS8" ca="1" si="69">QR$6</f>
        <v>S</v>
      </c>
      <c r="QS7" s="117" t="str">
        <f t="shared" ca="1" si="69"/>
        <v>S</v>
      </c>
      <c r="QT7" s="182" t="str">
        <f t="shared" ref="QT7:RC8" si="70">"S"</f>
        <v>S</v>
      </c>
      <c r="QU7" s="3" t="str">
        <f t="shared" si="70"/>
        <v>S</v>
      </c>
      <c r="QV7" s="3" t="str">
        <f t="shared" si="70"/>
        <v>S</v>
      </c>
      <c r="QW7" s="3" t="str">
        <f t="shared" si="70"/>
        <v>S</v>
      </c>
      <c r="QX7" s="3" t="str">
        <f t="shared" si="70"/>
        <v>S</v>
      </c>
      <c r="QY7" s="3" t="str">
        <f t="shared" si="70"/>
        <v>S</v>
      </c>
      <c r="QZ7" s="3" t="str">
        <f t="shared" si="70"/>
        <v>S</v>
      </c>
      <c r="RA7" s="3" t="str">
        <f t="shared" si="70"/>
        <v>S</v>
      </c>
      <c r="RB7" s="3" t="str">
        <f t="shared" si="70"/>
        <v>S</v>
      </c>
      <c r="RC7" s="3" t="str">
        <f t="shared" si="70"/>
        <v>S</v>
      </c>
      <c r="RD7" s="117">
        <f t="shared" si="56"/>
        <v>2</v>
      </c>
      <c r="RE7" s="117">
        <f t="shared" si="56"/>
        <v>3.0000000000000004</v>
      </c>
      <c r="RF7" s="117">
        <f t="shared" si="56"/>
        <v>0.18750000000000003</v>
      </c>
      <c r="RG7" s="117">
        <f t="shared" si="56"/>
        <v>0.3125</v>
      </c>
      <c r="RH7" s="117">
        <f t="shared" si="56"/>
        <v>0.18750000000000003</v>
      </c>
      <c r="RI7" s="117">
        <f t="shared" si="56"/>
        <v>2.0000000000000001E-4</v>
      </c>
      <c r="RJ7" s="3" t="str">
        <f t="shared" ref="RJ7:RQ8" si="71">"S"</f>
        <v>S</v>
      </c>
      <c r="RK7" s="3" t="str">
        <f t="shared" si="71"/>
        <v>S</v>
      </c>
      <c r="RL7" s="3" t="str">
        <f t="shared" si="71"/>
        <v>S</v>
      </c>
      <c r="RM7" s="3" t="str">
        <f t="shared" si="71"/>
        <v>S</v>
      </c>
      <c r="RN7" s="3" t="str">
        <f t="shared" si="71"/>
        <v>S</v>
      </c>
      <c r="RO7" s="3" t="str">
        <f t="shared" si="71"/>
        <v>S</v>
      </c>
      <c r="RP7" s="3" t="str">
        <f t="shared" si="71"/>
        <v>S</v>
      </c>
      <c r="RQ7" s="3" t="str">
        <f t="shared" si="71"/>
        <v>S</v>
      </c>
      <c r="RR7" s="3" t="str">
        <f t="shared" ref="RR7:RZ8" si="72">"S"</f>
        <v>S</v>
      </c>
      <c r="RS7" s="3" t="str">
        <f t="shared" si="72"/>
        <v>S</v>
      </c>
      <c r="RT7" s="3" t="str">
        <f t="shared" si="72"/>
        <v>S</v>
      </c>
      <c r="RU7" s="3" t="str">
        <f t="shared" si="72"/>
        <v>S</v>
      </c>
      <c r="RV7" s="3" t="str">
        <f t="shared" si="72"/>
        <v>S</v>
      </c>
      <c r="RW7" s="3" t="str">
        <f t="shared" si="72"/>
        <v>S</v>
      </c>
      <c r="RX7" s="3" t="str">
        <f t="shared" si="72"/>
        <v>S</v>
      </c>
      <c r="RY7" s="3" t="str">
        <f t="shared" si="72"/>
        <v>S</v>
      </c>
      <c r="RZ7" s="3" t="str">
        <f t="shared" si="72"/>
        <v>S</v>
      </c>
      <c r="SA7" s="117">
        <f t="shared" ref="SA7:VP14" si="73">SA$6</f>
        <v>3.0000000000000004</v>
      </c>
      <c r="SB7" s="117">
        <f t="shared" si="73"/>
        <v>0.16999999999999998</v>
      </c>
      <c r="SC7" s="117">
        <f t="shared" si="73"/>
        <v>1.41</v>
      </c>
      <c r="SD7" s="117">
        <f t="shared" si="73"/>
        <v>0.27300000000000002</v>
      </c>
      <c r="SE7" s="117">
        <f t="shared" si="73"/>
        <v>0.27</v>
      </c>
      <c r="SF7" s="117">
        <f t="shared" si="73"/>
        <v>0.1</v>
      </c>
      <c r="SG7" s="117">
        <f t="shared" si="73"/>
        <v>9.4629999999999992</v>
      </c>
      <c r="SH7" s="117">
        <f t="shared" si="73"/>
        <v>8.4947435596928661E-2</v>
      </c>
      <c r="SI7" s="117">
        <f t="shared" si="73"/>
        <v>4.0999999999999996</v>
      </c>
      <c r="SJ7" s="3" t="str">
        <f t="shared" ref="SJ7:TE8" si="74">"S"</f>
        <v>S</v>
      </c>
      <c r="SK7" s="3" t="str">
        <f t="shared" si="74"/>
        <v>S</v>
      </c>
      <c r="SL7" s="3" t="str">
        <f t="shared" si="74"/>
        <v>S</v>
      </c>
      <c r="SM7" s="3" t="str">
        <f t="shared" si="74"/>
        <v>S</v>
      </c>
      <c r="SN7" s="3" t="str">
        <f t="shared" si="74"/>
        <v>S</v>
      </c>
      <c r="SO7" s="3" t="str">
        <f t="shared" si="74"/>
        <v>S</v>
      </c>
      <c r="SP7" s="3" t="str">
        <f t="shared" si="74"/>
        <v>S</v>
      </c>
      <c r="SQ7" s="3" t="str">
        <f t="shared" si="74"/>
        <v>S</v>
      </c>
      <c r="SR7" s="3" t="str">
        <f t="shared" si="74"/>
        <v>S</v>
      </c>
      <c r="SS7" s="117">
        <f t="shared" si="73"/>
        <v>1.5000000000000002</v>
      </c>
      <c r="ST7" s="117">
        <f t="shared" si="73"/>
        <v>1.5000000000000002</v>
      </c>
      <c r="SU7" s="117">
        <f t="shared" si="73"/>
        <v>0.5</v>
      </c>
      <c r="SV7" s="117">
        <f t="shared" si="73"/>
        <v>0.5</v>
      </c>
      <c r="SW7" s="3" t="str">
        <f t="shared" si="74"/>
        <v>S</v>
      </c>
      <c r="SX7" s="3" t="str">
        <f t="shared" si="74"/>
        <v>S</v>
      </c>
      <c r="SY7" s="3" t="str">
        <f t="shared" si="74"/>
        <v>S</v>
      </c>
      <c r="SZ7" s="3" t="str">
        <f t="shared" si="74"/>
        <v>S</v>
      </c>
      <c r="TA7" s="3" t="str">
        <f t="shared" si="74"/>
        <v>S</v>
      </c>
      <c r="TB7" s="3" t="str">
        <f t="shared" si="74"/>
        <v>S</v>
      </c>
      <c r="TC7" s="3" t="str">
        <f t="shared" si="74"/>
        <v>S</v>
      </c>
      <c r="TD7" s="3" t="str">
        <f t="shared" si="74"/>
        <v>S</v>
      </c>
      <c r="TE7" s="3" t="str">
        <f t="shared" si="74"/>
        <v>S</v>
      </c>
      <c r="TF7" s="117">
        <f t="shared" si="73"/>
        <v>3</v>
      </c>
      <c r="TG7" s="117">
        <f t="shared" si="73"/>
        <v>5.7</v>
      </c>
      <c r="TH7" s="117">
        <f t="shared" si="73"/>
        <v>3.0000000000000004</v>
      </c>
      <c r="TI7" s="117">
        <f t="shared" si="73"/>
        <v>0.16999999999999998</v>
      </c>
      <c r="TJ7" s="117">
        <f t="shared" si="73"/>
        <v>2.33</v>
      </c>
      <c r="TK7" s="117">
        <f t="shared" si="73"/>
        <v>0.26</v>
      </c>
      <c r="TL7" s="117">
        <f t="shared" si="73"/>
        <v>0.27</v>
      </c>
      <c r="TM7" s="117">
        <f t="shared" si="73"/>
        <v>0.1</v>
      </c>
      <c r="TN7" s="117">
        <f t="shared" si="73"/>
        <v>9.4630000000000312</v>
      </c>
      <c r="TO7" s="117">
        <f t="shared" si="73"/>
        <v>1.8425437273624747</v>
      </c>
      <c r="TP7" s="3" t="str">
        <f t="shared" ref="TP7:TX8" si="75">"S"</f>
        <v>S</v>
      </c>
      <c r="TQ7" s="3" t="str">
        <f t="shared" si="75"/>
        <v>S</v>
      </c>
      <c r="TR7" s="3" t="str">
        <f t="shared" si="75"/>
        <v>S</v>
      </c>
      <c r="TS7" s="3" t="str">
        <f t="shared" si="75"/>
        <v>S</v>
      </c>
      <c r="TT7" s="3" t="str">
        <f t="shared" si="75"/>
        <v>S</v>
      </c>
      <c r="TU7" s="3" t="str">
        <f t="shared" si="75"/>
        <v>S</v>
      </c>
      <c r="TV7" s="3" t="str">
        <f t="shared" si="75"/>
        <v>S</v>
      </c>
      <c r="TW7" s="3" t="str">
        <f t="shared" si="75"/>
        <v>S</v>
      </c>
      <c r="TX7" s="3" t="str">
        <f t="shared" si="75"/>
        <v>S</v>
      </c>
      <c r="TY7" s="117">
        <f t="shared" si="73"/>
        <v>4</v>
      </c>
      <c r="TZ7" s="117">
        <f t="shared" si="73"/>
        <v>13</v>
      </c>
      <c r="UA7" s="117">
        <f t="shared" si="73"/>
        <v>4.16</v>
      </c>
      <c r="UB7" s="117">
        <f t="shared" si="73"/>
        <v>0.28000000000000003</v>
      </c>
      <c r="UC7" s="117">
        <f t="shared" si="73"/>
        <v>4.0599999999999996</v>
      </c>
      <c r="UD7" s="117">
        <f t="shared" si="73"/>
        <v>0.34499999999999992</v>
      </c>
      <c r="UE7" s="117">
        <f t="shared" si="73"/>
        <v>0.25</v>
      </c>
      <c r="UF7" s="3" t="str">
        <f t="shared" ref="UF7:UI8" si="76">"S"</f>
        <v>S</v>
      </c>
      <c r="UG7" s="3" t="str">
        <f t="shared" si="76"/>
        <v>S</v>
      </c>
      <c r="UH7" s="3" t="str">
        <f t="shared" si="76"/>
        <v>S</v>
      </c>
      <c r="UI7" s="3" t="str">
        <f t="shared" si="76"/>
        <v>S</v>
      </c>
      <c r="UJ7" s="117" t="s">
        <v>1205</v>
      </c>
      <c r="UK7" s="117" t="str">
        <f t="shared" si="73"/>
        <v>U</v>
      </c>
      <c r="UL7" s="117" t="str">
        <f t="shared" si="73"/>
        <v>U</v>
      </c>
      <c r="UM7" s="117" t="str">
        <f t="shared" si="73"/>
        <v>S</v>
      </c>
      <c r="UN7" s="117" t="str">
        <f t="shared" si="73"/>
        <v>S</v>
      </c>
      <c r="UO7" s="117" t="str">
        <f t="shared" si="73"/>
        <v>S</v>
      </c>
      <c r="UP7" s="117" t="str">
        <f t="shared" si="73"/>
        <v>S</v>
      </c>
      <c r="UQ7" s="117" t="str">
        <f t="shared" si="73"/>
        <v>S</v>
      </c>
      <c r="UR7" s="117">
        <f t="shared" si="73"/>
        <v>1</v>
      </c>
      <c r="US7" s="117">
        <f t="shared" si="73"/>
        <v>2</v>
      </c>
      <c r="UT7" s="117">
        <f t="shared" si="73"/>
        <v>500</v>
      </c>
      <c r="UU7" s="117" t="str">
        <f t="shared" si="73"/>
        <v>S</v>
      </c>
      <c r="UV7" s="121" t="str">
        <f>$UW6</f>
        <v>S</v>
      </c>
      <c r="UW7" s="121" t="str">
        <f>$UW6</f>
        <v>S</v>
      </c>
      <c r="UX7" s="121" t="str">
        <f t="shared" ref="UX7:UZ7" si="77">$UW6</f>
        <v>S</v>
      </c>
      <c r="UY7" s="121" t="str">
        <f t="shared" si="77"/>
        <v>S</v>
      </c>
      <c r="UZ7" s="121" t="str">
        <f t="shared" si="77"/>
        <v>S</v>
      </c>
      <c r="VA7" s="3" t="str">
        <f>"U"</f>
        <v>U</v>
      </c>
      <c r="VB7" s="121" t="str">
        <f t="shared" ref="VB7:VH8" si="78">"S"</f>
        <v>S</v>
      </c>
      <c r="VC7" s="121" t="str">
        <f t="shared" si="78"/>
        <v>S</v>
      </c>
      <c r="VD7" s="121" t="str">
        <f t="shared" si="78"/>
        <v>S</v>
      </c>
      <c r="VE7" s="121" t="str">
        <f t="shared" si="78"/>
        <v>S</v>
      </c>
      <c r="VF7" s="121" t="str">
        <f t="shared" si="78"/>
        <v>S</v>
      </c>
      <c r="VG7" s="121" t="str">
        <f t="shared" si="78"/>
        <v>S</v>
      </c>
      <c r="VH7" s="121" t="str">
        <f t="shared" si="78"/>
        <v>S</v>
      </c>
      <c r="VI7" s="117" t="str">
        <f t="shared" ref="VI7:VI14" si="79">VI$6</f>
        <v>3</v>
      </c>
      <c r="VJ7" s="117" t="str">
        <f t="shared" si="73"/>
        <v>.3</v>
      </c>
      <c r="VK7" s="117">
        <f t="shared" si="73"/>
        <v>3</v>
      </c>
      <c r="VL7" s="117" t="str">
        <f t="shared" si="73"/>
        <v>3-SEC</v>
      </c>
      <c r="VM7" s="121" t="str">
        <f>CONCATENATE($C$2,$D$2,"-SFR-B")</f>
        <v>3-SFR-B</v>
      </c>
      <c r="VN7" s="117" t="s">
        <v>1010</v>
      </c>
      <c r="VO7" s="117" t="str">
        <f t="shared" si="73"/>
        <v>000000</v>
      </c>
      <c r="VP7" s="410">
        <f t="shared" si="73"/>
        <v>5</v>
      </c>
      <c r="VQ7" s="410">
        <f t="shared" ref="VP7:VT14" si="80">VQ$6</f>
        <v>5</v>
      </c>
      <c r="VR7" s="410">
        <f t="shared" si="80"/>
        <v>0.125</v>
      </c>
      <c r="VS7" s="410">
        <f t="shared" si="80"/>
        <v>1.125</v>
      </c>
      <c r="VT7" s="410">
        <f t="shared" si="80"/>
        <v>3.5</v>
      </c>
      <c r="VX7" s="117" t="str">
        <f t="shared" ref="VX7:VX14" si="81">VX$6</f>
        <v>3-SEC</v>
      </c>
    </row>
    <row r="8" spans="1:597" s="3" customFormat="1" ht="14.4" hidden="1" outlineLevel="1" x14ac:dyDescent="0.3">
      <c r="A8" s="123" t="str">
        <f>IF(ProductLine="AXC","$User_Notes","SFR-A")</f>
        <v>$User_Notes</v>
      </c>
      <c r="B8" s="117" t="str">
        <f t="shared" ref="B8:V14" si="82">B$6</f>
        <v>AXC</v>
      </c>
      <c r="C8" s="117">
        <f t="shared" si="82"/>
        <v>65</v>
      </c>
      <c r="D8" s="117">
        <f t="shared" si="82"/>
        <v>780</v>
      </c>
      <c r="E8" s="117">
        <f t="shared" si="82"/>
        <v>0.125</v>
      </c>
      <c r="F8" s="117">
        <f t="shared" si="82"/>
        <v>6.25E-2</v>
      </c>
      <c r="G8" s="117">
        <f t="shared" si="82"/>
        <v>777.625</v>
      </c>
      <c r="H8" s="117" t="str">
        <f t="shared" si="82"/>
        <v>MC12x10.6</v>
      </c>
      <c r="I8" s="117" t="str">
        <f t="shared" si="82"/>
        <v>AXC materials:SA-36</v>
      </c>
      <c r="J8" s="117" t="str">
        <f t="shared" si="82"/>
        <v>Galvanized</v>
      </c>
      <c r="K8" s="117" t="str">
        <f t="shared" si="82"/>
        <v>Bolt on Angle</v>
      </c>
      <c r="L8" s="117" t="str">
        <f t="shared" si="19"/>
        <v>EH\VV\VI_</v>
      </c>
      <c r="M8" s="117">
        <f t="shared" ca="1" si="82"/>
        <v>16</v>
      </c>
      <c r="N8" s="117">
        <f t="shared" ca="1" si="20"/>
        <v>48</v>
      </c>
      <c r="O8" s="117">
        <f t="shared" ca="1" si="82"/>
        <v>30</v>
      </c>
      <c r="P8" s="117" t="str">
        <f t="shared" si="82"/>
        <v>Yes - Rear HDR</v>
      </c>
      <c r="Q8" s="117">
        <f t="shared" si="82"/>
        <v>3.9999333887056512</v>
      </c>
      <c r="R8" s="117" t="str">
        <f t="shared" si="82"/>
        <v>Angle</v>
      </c>
      <c r="S8" s="117" t="str">
        <f t="shared" si="82"/>
        <v>L2x3x0.1875</v>
      </c>
      <c r="T8" s="117" t="str">
        <f t="shared" si="82"/>
        <v>Weld On</v>
      </c>
      <c r="U8" s="117" t="str">
        <f t="shared" si="21"/>
        <v>Yes</v>
      </c>
      <c r="V8" s="117" t="str">
        <f t="shared" si="82"/>
        <v>Yes</v>
      </c>
      <c r="W8" s="117">
        <f t="shared" si="19"/>
        <v>15</v>
      </c>
      <c r="X8" s="117">
        <f t="shared" si="19"/>
        <v>0</v>
      </c>
      <c r="Y8" s="117">
        <f t="shared" si="22"/>
        <v>0</v>
      </c>
      <c r="Z8" s="117" t="str">
        <f t="shared" si="22"/>
        <v>STD</v>
      </c>
      <c r="AA8" s="117" t="str">
        <f t="shared" si="19"/>
        <v>No</v>
      </c>
      <c r="AB8" s="117" t="str">
        <f t="shared" si="23"/>
        <v>OFF</v>
      </c>
      <c r="AC8" s="117" t="str">
        <f t="shared" si="19"/>
        <v>Yes</v>
      </c>
      <c r="AD8" s="117" t="str">
        <f t="shared" si="24"/>
        <v>AXC Weld On</v>
      </c>
      <c r="AE8" s="117" t="str">
        <f t="shared" si="24"/>
        <v>Outside</v>
      </c>
      <c r="AF8" s="117" t="str">
        <f t="shared" si="19"/>
        <v>0.5"</v>
      </c>
      <c r="AG8" s="117">
        <f t="shared" si="19"/>
        <v>278.125</v>
      </c>
      <c r="AH8" s="117">
        <f t="shared" si="19"/>
        <v>249.75</v>
      </c>
      <c r="AI8" s="117">
        <f t="shared" si="19"/>
        <v>0.5</v>
      </c>
      <c r="AJ8" s="117">
        <f t="shared" si="25"/>
        <v>4</v>
      </c>
      <c r="AK8" s="117">
        <f t="shared" si="25"/>
        <v>500</v>
      </c>
      <c r="AL8" s="117" t="str">
        <f t="shared" si="19"/>
        <v>None</v>
      </c>
      <c r="AM8" s="117" t="str">
        <f t="shared" si="19"/>
        <v>Pick from List</v>
      </c>
      <c r="AN8" s="117" t="str">
        <f t="shared" si="19"/>
        <v>None</v>
      </c>
      <c r="AO8" s="117" t="str">
        <f t="shared" si="19"/>
        <v>None</v>
      </c>
      <c r="AP8" s="117" t="str">
        <f t="shared" si="19"/>
        <v>None</v>
      </c>
      <c r="AQ8" s="117" t="str">
        <f t="shared" si="19"/>
        <v>L4x6x0.625</v>
      </c>
      <c r="AR8" s="117" t="str">
        <f t="shared" si="19"/>
        <v>Bolt on</v>
      </c>
      <c r="AS8" s="117" t="str">
        <f t="shared" si="19"/>
        <v>Yes</v>
      </c>
      <c r="AT8" s="117" t="str">
        <f t="shared" ca="1" si="19"/>
        <v>Bolt On</v>
      </c>
      <c r="AU8" s="164">
        <f t="shared" ca="1" si="26"/>
        <v>16</v>
      </c>
      <c r="AV8" s="117">
        <f t="shared" si="26"/>
        <v>0</v>
      </c>
      <c r="AW8" s="117">
        <f t="shared" si="26"/>
        <v>0</v>
      </c>
      <c r="AX8" s="117">
        <f t="shared" si="26"/>
        <v>6.25E-2</v>
      </c>
      <c r="AY8" s="164">
        <f t="shared" si="26"/>
        <v>21.915385672961552</v>
      </c>
      <c r="AZ8" s="117">
        <f t="shared" si="26"/>
        <v>1.5625</v>
      </c>
      <c r="BA8" s="117">
        <f t="shared" si="26"/>
        <v>2</v>
      </c>
      <c r="BB8" s="117">
        <f t="shared" si="26"/>
        <v>21.915385672961648</v>
      </c>
      <c r="BC8" s="117">
        <f t="shared" si="26"/>
        <v>1.5625</v>
      </c>
      <c r="BD8" s="117">
        <f t="shared" si="26"/>
        <v>2</v>
      </c>
      <c r="BE8" s="164">
        <f t="shared" si="27"/>
        <v>0.6250000000043382</v>
      </c>
      <c r="BF8" s="117">
        <f t="shared" si="27"/>
        <v>1.0937500000075919</v>
      </c>
      <c r="BG8" s="117">
        <f t="shared" si="27"/>
        <v>2</v>
      </c>
      <c r="BH8" s="117">
        <f t="shared" si="27"/>
        <v>0.62500000000430156</v>
      </c>
      <c r="BI8" s="117">
        <f t="shared" si="27"/>
        <v>1.0937500000075278</v>
      </c>
      <c r="BJ8" s="117">
        <f t="shared" si="27"/>
        <v>2</v>
      </c>
      <c r="BK8" s="117">
        <f t="shared" si="19"/>
        <v>1.9999999999999956</v>
      </c>
      <c r="BL8" s="117" t="str">
        <f t="shared" si="19"/>
        <v>Weld Bar</v>
      </c>
      <c r="BM8" s="117">
        <f t="shared" si="19"/>
        <v>0.99999999999999589</v>
      </c>
      <c r="BN8" s="117" t="str">
        <f t="shared" si="19"/>
        <v>Float Bar</v>
      </c>
      <c r="BO8" s="117">
        <f t="shared" si="19"/>
        <v>5</v>
      </c>
      <c r="BP8" s="117" t="str">
        <f t="shared" si="19"/>
        <v>MC12x10.6</v>
      </c>
      <c r="BQ8" s="117" t="str">
        <f t="shared" si="19"/>
        <v>U</v>
      </c>
      <c r="BR8" s="117" t="str">
        <f t="shared" si="19"/>
        <v>S</v>
      </c>
      <c r="BS8" s="117">
        <f t="shared" si="19"/>
        <v>31.374999284744241</v>
      </c>
      <c r="BT8" s="117">
        <f t="shared" si="19"/>
        <v>29.000000000000004</v>
      </c>
      <c r="BU8" s="117">
        <f t="shared" si="19"/>
        <v>3.9999999999999969</v>
      </c>
      <c r="BV8" s="117">
        <f t="shared" si="19"/>
        <v>0.25000000000000089</v>
      </c>
      <c r="BW8" s="117">
        <f t="shared" si="19"/>
        <v>9.9999999999269527E-6</v>
      </c>
      <c r="BX8" s="117">
        <f t="shared" si="19"/>
        <v>1</v>
      </c>
      <c r="BY8" s="117">
        <f t="shared" si="19"/>
        <v>1</v>
      </c>
      <c r="BZ8" s="117">
        <f t="shared" si="19"/>
        <v>6.2721143170279987</v>
      </c>
      <c r="CA8" s="117">
        <f t="shared" si="19"/>
        <v>360</v>
      </c>
      <c r="CB8" s="117">
        <f t="shared" si="19"/>
        <v>1.0000000000001172</v>
      </c>
      <c r="CC8" s="117">
        <f t="shared" si="19"/>
        <v>0.99999999999983746</v>
      </c>
      <c r="CD8" s="117">
        <f t="shared" si="19"/>
        <v>0</v>
      </c>
      <c r="CE8" s="117">
        <f t="shared" si="19"/>
        <v>1.5000000000000009</v>
      </c>
      <c r="CF8" s="117">
        <f t="shared" si="19"/>
        <v>1.2990381056766582</v>
      </c>
      <c r="CG8" s="117">
        <f t="shared" si="19"/>
        <v>9.9999999969219204E-6</v>
      </c>
      <c r="CH8" s="117" t="str">
        <f t="shared" si="19"/>
        <v>No</v>
      </c>
      <c r="CI8" s="117" t="str">
        <f t="shared" si="19"/>
        <v>U</v>
      </c>
      <c r="CJ8" s="117">
        <f t="shared" si="19"/>
        <v>10.6</v>
      </c>
      <c r="CK8" s="117">
        <f t="shared" si="19"/>
        <v>12.000000000000002</v>
      </c>
      <c r="CL8" s="117">
        <f t="shared" si="19"/>
        <v>0.18999999999999997</v>
      </c>
      <c r="CM8" s="117">
        <f t="shared" si="19"/>
        <v>1.5000000000000002</v>
      </c>
      <c r="CN8" s="117">
        <f t="shared" si="19"/>
        <v>0.30899999999999994</v>
      </c>
      <c r="CO8" s="117">
        <f t="shared" si="19"/>
        <v>0.25</v>
      </c>
      <c r="CP8" s="117">
        <f t="shared" si="19"/>
        <v>0.13</v>
      </c>
      <c r="CQ8" s="117">
        <f t="shared" si="28"/>
        <v>9.4629999999999992</v>
      </c>
      <c r="CR8" s="117">
        <f t="shared" si="28"/>
        <v>8.9700168853607709E-2</v>
      </c>
      <c r="CS8" s="117">
        <f t="shared" si="28"/>
        <v>10.740092274765473</v>
      </c>
      <c r="CT8" s="117">
        <f t="shared" si="28"/>
        <v>0.62995386261726427</v>
      </c>
      <c r="CU8" s="117" t="str">
        <f t="shared" si="28"/>
        <v>S</v>
      </c>
      <c r="CV8" s="117">
        <f t="shared" si="28"/>
        <v>12.000000000000002</v>
      </c>
      <c r="CW8" s="117">
        <f t="shared" si="28"/>
        <v>0.28199999999999997</v>
      </c>
      <c r="CX8" s="117">
        <f t="shared" si="28"/>
        <v>2.9419999999999997</v>
      </c>
      <c r="CY8" s="117">
        <f t="shared" si="28"/>
        <v>0.501</v>
      </c>
      <c r="CZ8" s="117">
        <f t="shared" si="28"/>
        <v>0.37999999999999995</v>
      </c>
      <c r="DA8" s="117">
        <f t="shared" si="28"/>
        <v>0.16999999999999998</v>
      </c>
      <c r="DB8" s="117">
        <f t="shared" si="28"/>
        <v>9.4629999999999992</v>
      </c>
      <c r="DC8" s="117">
        <f t="shared" si="28"/>
        <v>0.13530728481002544</v>
      </c>
      <c r="DD8" s="117">
        <f t="shared" si="28"/>
        <v>20.7</v>
      </c>
      <c r="DE8" s="117" t="str">
        <f t="shared" si="28"/>
        <v>S</v>
      </c>
      <c r="DF8" s="117" t="str">
        <f t="shared" si="28"/>
        <v>S</v>
      </c>
      <c r="DG8" s="117" t="str">
        <f t="shared" si="28"/>
        <v>S</v>
      </c>
      <c r="DH8" s="117" t="str">
        <f t="shared" si="28"/>
        <v>S</v>
      </c>
      <c r="DI8" s="117" t="str">
        <f t="shared" si="28"/>
        <v>S</v>
      </c>
      <c r="DJ8" s="117" t="str">
        <f t="shared" si="28"/>
        <v>S</v>
      </c>
      <c r="DK8" s="117" t="str">
        <f t="shared" si="28"/>
        <v>S</v>
      </c>
      <c r="DL8" s="117" t="str">
        <f t="shared" si="28"/>
        <v>S</v>
      </c>
      <c r="DM8" s="117" t="str">
        <f t="shared" si="28"/>
        <v>U</v>
      </c>
      <c r="DN8" s="117" t="str">
        <f t="shared" si="28"/>
        <v>U</v>
      </c>
      <c r="DO8" s="117" t="str">
        <f t="shared" si="28"/>
        <v>U</v>
      </c>
      <c r="DP8" s="117" t="str">
        <f t="shared" si="28"/>
        <v>U</v>
      </c>
      <c r="DQ8" s="117" t="str">
        <f t="shared" si="28"/>
        <v>S</v>
      </c>
      <c r="DR8" s="117" t="str">
        <f t="shared" si="28"/>
        <v>S</v>
      </c>
      <c r="DS8" s="117" t="str">
        <f t="shared" si="28"/>
        <v>S</v>
      </c>
      <c r="DT8" s="117" t="str">
        <f t="shared" si="28"/>
        <v>S</v>
      </c>
      <c r="DU8" s="117" t="str">
        <f t="shared" si="28"/>
        <v>S</v>
      </c>
      <c r="DV8" s="117" t="str">
        <f t="shared" si="28"/>
        <v>S</v>
      </c>
      <c r="DW8" s="117" t="str">
        <f t="shared" si="28"/>
        <v>S</v>
      </c>
      <c r="DX8" s="117" t="str">
        <f t="shared" si="28"/>
        <v>S</v>
      </c>
      <c r="DY8" s="117">
        <f t="shared" si="28"/>
        <v>29</v>
      </c>
      <c r="DZ8" s="117">
        <f t="shared" si="28"/>
        <v>0.25</v>
      </c>
      <c r="EA8" s="117">
        <f t="shared" si="28"/>
        <v>0.25</v>
      </c>
      <c r="EB8" s="117">
        <f t="shared" si="28"/>
        <v>3.9999999999999969</v>
      </c>
      <c r="EC8" s="117">
        <f t="shared" si="28"/>
        <v>1E-4</v>
      </c>
      <c r="ED8" s="117">
        <f t="shared" si="28"/>
        <v>1E-4</v>
      </c>
      <c r="EE8" s="117">
        <f t="shared" si="28"/>
        <v>0.25000000000000089</v>
      </c>
      <c r="EF8" s="117">
        <f t="shared" si="28"/>
        <v>1.5599999999999999E-2</v>
      </c>
      <c r="EG8" s="117" t="str">
        <f t="shared" ca="1" si="28"/>
        <v>U</v>
      </c>
      <c r="EH8" s="117" t="str">
        <f t="shared" ca="1" si="29"/>
        <v>S</v>
      </c>
      <c r="EI8" s="117" t="str">
        <f t="shared" ca="1" si="29"/>
        <v>U</v>
      </c>
      <c r="EJ8" s="117" t="str">
        <f t="shared" si="28"/>
        <v>S</v>
      </c>
      <c r="EK8" s="117" t="str">
        <f t="shared" ca="1" si="28"/>
        <v>U</v>
      </c>
      <c r="EL8" s="117" t="str">
        <f t="shared" ca="1" si="28"/>
        <v>S</v>
      </c>
      <c r="EM8" s="117">
        <f t="shared" si="28"/>
        <v>0.75</v>
      </c>
      <c r="EN8" s="117">
        <f t="shared" si="28"/>
        <v>0.19000000000423975</v>
      </c>
      <c r="EO8" s="117">
        <f t="shared" si="28"/>
        <v>0.62500000000001221</v>
      </c>
      <c r="EP8" s="117">
        <f t="shared" si="28"/>
        <v>1.5000000000000016</v>
      </c>
      <c r="EQ8" s="117">
        <f t="shared" si="28"/>
        <v>1.437500284744256</v>
      </c>
      <c r="ER8" s="117">
        <f t="shared" si="28"/>
        <v>0.5</v>
      </c>
      <c r="ES8" s="117" t="str">
        <f t="shared" si="28"/>
        <v>U</v>
      </c>
      <c r="ET8" s="117" t="str">
        <f t="shared" si="28"/>
        <v>U</v>
      </c>
      <c r="EU8" s="117" t="str">
        <f t="shared" si="28"/>
        <v>U</v>
      </c>
      <c r="EV8" s="117" t="str">
        <f t="shared" si="28"/>
        <v>U</v>
      </c>
      <c r="EW8" s="117" t="str">
        <f t="shared" si="28"/>
        <v>U</v>
      </c>
      <c r="EX8" s="117" t="str">
        <f t="shared" ca="1" si="30"/>
        <v>U</v>
      </c>
      <c r="EY8" s="117" t="str">
        <f t="shared" ca="1" si="30"/>
        <v>U</v>
      </c>
      <c r="EZ8" s="117" t="str">
        <f t="shared" ca="1" si="30"/>
        <v>U</v>
      </c>
      <c r="FA8" s="117" t="str">
        <f t="shared" ca="1" si="28"/>
        <v>U</v>
      </c>
      <c r="FB8" s="117" t="str">
        <f t="shared" ca="1" si="28"/>
        <v>U</v>
      </c>
      <c r="FC8" s="117" t="str">
        <f t="shared" ca="1" si="28"/>
        <v>U</v>
      </c>
      <c r="FD8" s="117" t="str">
        <f t="shared" ca="1" si="28"/>
        <v>U</v>
      </c>
      <c r="FE8" s="117" t="str">
        <f t="shared" ca="1" si="28"/>
        <v>U</v>
      </c>
      <c r="FF8" s="117" t="str">
        <f t="shared" ca="1" si="28"/>
        <v>U</v>
      </c>
      <c r="FG8" s="117">
        <f t="shared" ca="1" si="28"/>
        <v>48</v>
      </c>
      <c r="FH8" s="117" t="str">
        <f t="shared" si="31"/>
        <v>U</v>
      </c>
      <c r="FI8" s="117" t="str">
        <f t="shared" si="31"/>
        <v>S</v>
      </c>
      <c r="FJ8" s="117" t="str">
        <f t="shared" ca="1" si="32"/>
        <v>U</v>
      </c>
      <c r="FK8" s="117" t="str">
        <f t="shared" ca="1" si="32"/>
        <v>U</v>
      </c>
      <c r="FL8" s="307" t="str">
        <f t="shared" ca="1" si="32"/>
        <v>U</v>
      </c>
      <c r="FM8" s="117" t="str">
        <f t="shared" ca="1" si="33"/>
        <v>U</v>
      </c>
      <c r="FN8" s="117" t="str">
        <f t="shared" ca="1" si="33"/>
        <v>U</v>
      </c>
      <c r="FO8" s="117">
        <f t="shared" ca="1" si="33"/>
        <v>48</v>
      </c>
      <c r="FP8" s="117">
        <f t="shared" ca="1" si="33"/>
        <v>16</v>
      </c>
      <c r="FQ8" s="308" t="str">
        <f t="shared" si="32"/>
        <v>U</v>
      </c>
      <c r="FR8" s="117" t="str">
        <f t="shared" si="32"/>
        <v>U</v>
      </c>
      <c r="FS8" s="117" t="str">
        <f t="shared" si="34"/>
        <v>S</v>
      </c>
      <c r="FT8" s="117" t="str">
        <f t="shared" si="34"/>
        <v>S</v>
      </c>
      <c r="FU8" s="117" t="str">
        <f t="shared" si="34"/>
        <v>U</v>
      </c>
      <c r="FV8" s="117" t="str">
        <f t="shared" si="35"/>
        <v>U</v>
      </c>
      <c r="FW8" s="117" t="str">
        <f t="shared" si="35"/>
        <v>U</v>
      </c>
      <c r="FX8" s="117" t="str">
        <f t="shared" si="36"/>
        <v>U</v>
      </c>
      <c r="FY8" s="117" t="str">
        <f t="shared" si="36"/>
        <v>U</v>
      </c>
      <c r="FZ8" s="117">
        <f t="shared" si="32"/>
        <v>27</v>
      </c>
      <c r="GA8" s="117">
        <f t="shared" si="32"/>
        <v>19</v>
      </c>
      <c r="GB8" s="117">
        <f t="shared" si="32"/>
        <v>10</v>
      </c>
      <c r="GC8" s="117">
        <f t="shared" si="32"/>
        <v>15.000000000000009</v>
      </c>
      <c r="GD8" s="117">
        <f t="shared" si="32"/>
        <v>1</v>
      </c>
      <c r="GE8" s="117">
        <f t="shared" si="32"/>
        <v>12.000000000000007</v>
      </c>
      <c r="GF8" s="117">
        <f t="shared" si="32"/>
        <v>1</v>
      </c>
      <c r="GG8" s="117">
        <f t="shared" si="32"/>
        <v>1</v>
      </c>
      <c r="GH8" s="117">
        <f t="shared" si="32"/>
        <v>12.000010000000007</v>
      </c>
      <c r="GI8" s="117" t="str">
        <f t="shared" ca="1" si="32"/>
        <v>U</v>
      </c>
      <c r="GJ8" s="117" t="str">
        <f t="shared" ca="1" si="32"/>
        <v>S</v>
      </c>
      <c r="GK8" s="117" t="str">
        <f t="shared" ca="1" si="32"/>
        <v>U</v>
      </c>
      <c r="GL8" s="117" t="str">
        <f t="shared" ca="1" si="32"/>
        <v>U</v>
      </c>
      <c r="GM8" s="117" t="str">
        <f t="shared" ca="1" si="32"/>
        <v>U</v>
      </c>
      <c r="GN8" s="117" t="str">
        <f t="shared" ca="1" si="32"/>
        <v>U</v>
      </c>
      <c r="GO8" s="117" t="str">
        <f t="shared" ca="1" si="32"/>
        <v>U</v>
      </c>
      <c r="GP8" s="117">
        <f t="shared" si="32"/>
        <v>1.0000000005663834E-5</v>
      </c>
      <c r="GQ8" s="117">
        <f t="shared" si="32"/>
        <v>5.9999999999999991</v>
      </c>
      <c r="GR8" s="117">
        <f t="shared" si="32"/>
        <v>1</v>
      </c>
      <c r="GS8" s="117">
        <f t="shared" si="32"/>
        <v>10</v>
      </c>
      <c r="GT8" s="117">
        <f t="shared" si="32"/>
        <v>15.000000000000009</v>
      </c>
      <c r="GU8" s="117">
        <f t="shared" si="32"/>
        <v>0</v>
      </c>
      <c r="GV8" s="117">
        <f t="shared" si="32"/>
        <v>6.0000000000000036</v>
      </c>
      <c r="GW8" s="117">
        <f t="shared" si="32"/>
        <v>1</v>
      </c>
      <c r="GX8" s="117">
        <f t="shared" si="32"/>
        <v>1</v>
      </c>
      <c r="GY8" s="117" t="str">
        <f t="shared" ca="1" si="32"/>
        <v>S</v>
      </c>
      <c r="GZ8" s="117">
        <f t="shared" si="32"/>
        <v>1.500010000000001</v>
      </c>
      <c r="HA8" s="117" t="str">
        <f t="shared" ca="1" si="32"/>
        <v>S</v>
      </c>
      <c r="HB8" s="117" t="str">
        <f t="shared" ca="1" si="32"/>
        <v>S</v>
      </c>
      <c r="HC8" s="117" t="str">
        <f t="shared" ca="1" si="32"/>
        <v>S</v>
      </c>
      <c r="HD8" s="117" t="str">
        <f t="shared" ca="1" si="32"/>
        <v>S</v>
      </c>
      <c r="HE8" s="117" t="str">
        <f t="shared" ca="1" si="32"/>
        <v>S</v>
      </c>
      <c r="HF8" s="208" t="str">
        <f t="shared" si="37"/>
        <v>Yes - Right Side</v>
      </c>
      <c r="HG8" s="117" t="str">
        <f t="shared" si="38"/>
        <v>S</v>
      </c>
      <c r="HH8" s="117" t="str">
        <f t="shared" si="38"/>
        <v>U</v>
      </c>
      <c r="HI8" s="117" t="str">
        <f t="shared" si="39"/>
        <v>U</v>
      </c>
      <c r="HJ8" s="3" t="str">
        <f t="shared" si="40"/>
        <v>S</v>
      </c>
      <c r="HK8" s="3" t="str">
        <f t="shared" si="40"/>
        <v>S</v>
      </c>
      <c r="HL8" s="117">
        <f t="shared" ca="1" si="32"/>
        <v>48</v>
      </c>
      <c r="HM8" s="117">
        <f t="shared" si="32"/>
        <v>3.9999999999999998E-6</v>
      </c>
      <c r="HN8" s="3" t="str">
        <f t="shared" si="41"/>
        <v>S</v>
      </c>
      <c r="HO8" s="117">
        <f t="shared" ca="1" si="32"/>
        <v>18</v>
      </c>
      <c r="HP8" s="117">
        <f t="shared" ca="1" si="32"/>
        <v>48.000003999999997</v>
      </c>
      <c r="HQ8" s="3" t="str">
        <f t="shared" si="42"/>
        <v>S</v>
      </c>
      <c r="HR8" s="3" t="str">
        <f t="shared" si="42"/>
        <v>S</v>
      </c>
      <c r="HS8" s="117">
        <f t="shared" ca="1" si="32"/>
        <v>359.99999600000001</v>
      </c>
      <c r="HT8" s="117">
        <f t="shared" ca="1" si="32"/>
        <v>23.999968000000024</v>
      </c>
      <c r="HU8" s="117">
        <f t="shared" ca="1" si="32"/>
        <v>23.999968000000024</v>
      </c>
      <c r="HV8" s="117">
        <f t="shared" ca="1" si="32"/>
        <v>3.9999373887056513</v>
      </c>
      <c r="HW8" s="117">
        <f t="shared" ca="1" si="32"/>
        <v>24</v>
      </c>
      <c r="HX8" s="117">
        <f t="shared" si="32"/>
        <v>388.8125</v>
      </c>
      <c r="HY8" s="117">
        <f t="shared" ca="1" si="32"/>
        <v>360.00000399999999</v>
      </c>
      <c r="HZ8" s="117">
        <f t="shared" ca="1" si="43"/>
        <v>3.9999373887056513</v>
      </c>
      <c r="IA8" s="117">
        <f t="shared" ca="1" si="43"/>
        <v>24.000035999999973</v>
      </c>
      <c r="IB8" s="3" t="str">
        <f t="shared" si="44"/>
        <v>S</v>
      </c>
      <c r="IC8" s="3" t="str">
        <f t="shared" si="44"/>
        <v>S</v>
      </c>
      <c r="ID8" s="117">
        <f t="shared" ca="1" si="32"/>
        <v>27.999905388705674</v>
      </c>
      <c r="IE8" s="3" t="str">
        <f t="shared" si="45"/>
        <v>S</v>
      </c>
      <c r="IF8" s="3" t="str">
        <f t="shared" si="45"/>
        <v>S</v>
      </c>
      <c r="IG8" s="3" t="str">
        <f t="shared" si="45"/>
        <v>S</v>
      </c>
      <c r="IH8" s="3" t="str">
        <f t="shared" si="45"/>
        <v>S</v>
      </c>
      <c r="II8" s="3" t="str">
        <f t="shared" si="45"/>
        <v>S</v>
      </c>
      <c r="IJ8" s="117">
        <f t="shared" ca="1" si="32"/>
        <v>23.999968000000024</v>
      </c>
      <c r="IK8" s="117">
        <f t="shared" ca="1" si="32"/>
        <v>3.9999373887056513</v>
      </c>
      <c r="IL8" s="3" t="str">
        <f t="shared" si="46"/>
        <v>S</v>
      </c>
      <c r="IM8" s="3" t="str">
        <f t="shared" si="46"/>
        <v>S</v>
      </c>
      <c r="IN8" s="3" t="str">
        <f t="shared" si="46"/>
        <v>S</v>
      </c>
      <c r="IO8" s="3" t="str">
        <f t="shared" si="46"/>
        <v>S</v>
      </c>
      <c r="IP8" s="3" t="str">
        <f t="shared" si="46"/>
        <v>S</v>
      </c>
      <c r="IQ8" s="3" t="str">
        <f t="shared" si="46"/>
        <v>S</v>
      </c>
      <c r="IR8" s="3" t="str">
        <f t="shared" si="46"/>
        <v>S</v>
      </c>
      <c r="IS8" s="3" t="str">
        <f t="shared" si="46"/>
        <v>S</v>
      </c>
      <c r="IT8" s="3" t="str">
        <f t="shared" si="46"/>
        <v>S</v>
      </c>
      <c r="IU8" s="3" t="str">
        <f t="shared" si="46"/>
        <v>S</v>
      </c>
      <c r="IV8" s="3" t="str">
        <f t="shared" si="46"/>
        <v>S</v>
      </c>
      <c r="IW8" s="3" t="str">
        <f t="shared" si="46"/>
        <v>S</v>
      </c>
      <c r="IX8" s="3" t="str">
        <f t="shared" si="46"/>
        <v>S</v>
      </c>
      <c r="IY8" s="117">
        <f t="shared" ca="1" si="47"/>
        <v>1</v>
      </c>
      <c r="IZ8" s="117">
        <f t="shared" ca="1" si="47"/>
        <v>3</v>
      </c>
      <c r="JA8" s="117">
        <f t="shared" ca="1" si="47"/>
        <v>9.9999999999999995E-7</v>
      </c>
      <c r="JB8" s="117">
        <f t="shared" ca="1" si="48"/>
        <v>1.0000000000000001E-5</v>
      </c>
      <c r="JC8" s="117">
        <f t="shared" ca="1" si="48"/>
        <v>1.0000000000000001E-5</v>
      </c>
      <c r="JD8" s="117" t="str">
        <f t="shared" ca="1" si="47"/>
        <v>S</v>
      </c>
      <c r="JE8" s="117" t="str">
        <f t="shared" ca="1" si="47"/>
        <v>S</v>
      </c>
      <c r="JF8" s="117" t="str">
        <f t="shared" ca="1" si="47"/>
        <v>S</v>
      </c>
      <c r="JG8" s="117" t="str">
        <f t="shared" ca="1" si="47"/>
        <v>S</v>
      </c>
      <c r="JH8" s="117" t="str">
        <f t="shared" ca="1" si="47"/>
        <v>S</v>
      </c>
      <c r="JI8" s="117">
        <f t="shared" si="47"/>
        <v>0.1046</v>
      </c>
      <c r="JJ8" s="199">
        <f t="shared" si="49"/>
        <v>0.39290028474001548</v>
      </c>
      <c r="JK8" s="117">
        <f t="shared" si="47"/>
        <v>0.51790028474001548</v>
      </c>
      <c r="JL8" s="117">
        <f t="shared" si="47"/>
        <v>0.5</v>
      </c>
      <c r="JM8" s="117">
        <f t="shared" si="47"/>
        <v>0.375</v>
      </c>
      <c r="JN8" s="117">
        <f t="shared" si="47"/>
        <v>0.375</v>
      </c>
      <c r="JO8" s="117">
        <f t="shared" si="47"/>
        <v>11.25</v>
      </c>
      <c r="JP8" s="117" t="str">
        <f t="shared" si="50"/>
        <v>S</v>
      </c>
      <c r="JQ8" s="117" t="str">
        <f t="shared" si="50"/>
        <v>S</v>
      </c>
      <c r="JR8" s="117" t="str">
        <f t="shared" si="50"/>
        <v>S</v>
      </c>
      <c r="JS8" s="117" t="str">
        <f t="shared" si="47"/>
        <v>U</v>
      </c>
      <c r="JT8" s="117" t="str">
        <f t="shared" si="47"/>
        <v>U</v>
      </c>
      <c r="JU8" s="117" t="str">
        <f t="shared" si="51"/>
        <v>S</v>
      </c>
      <c r="JV8" s="117" t="str">
        <f t="shared" si="47"/>
        <v>S</v>
      </c>
      <c r="JW8" s="117" t="str">
        <f t="shared" si="47"/>
        <v>S</v>
      </c>
      <c r="JX8" s="117" t="str">
        <f t="shared" si="47"/>
        <v>S</v>
      </c>
      <c r="JY8" s="117" t="str">
        <f t="shared" si="47"/>
        <v>S</v>
      </c>
      <c r="JZ8" s="117" t="str">
        <f t="shared" si="47"/>
        <v>S</v>
      </c>
      <c r="KA8" s="117" t="str">
        <f t="shared" si="47"/>
        <v>S</v>
      </c>
      <c r="KB8" s="117" t="str">
        <f t="shared" si="47"/>
        <v>S</v>
      </c>
      <c r="KC8" s="117" t="str">
        <f t="shared" si="47"/>
        <v>S</v>
      </c>
      <c r="KD8" s="117" t="str">
        <f t="shared" ref="KC8:KD10" si="83">KD$6</f>
        <v>S</v>
      </c>
      <c r="KE8" s="117" t="str">
        <f t="shared" si="47"/>
        <v>S</v>
      </c>
      <c r="KF8" s="117" t="str">
        <f t="shared" si="47"/>
        <v>S</v>
      </c>
      <c r="KG8" s="117" t="str">
        <f t="shared" si="47"/>
        <v>S</v>
      </c>
      <c r="KH8" s="117" t="str">
        <f t="shared" si="47"/>
        <v>S</v>
      </c>
      <c r="KI8" s="117" t="str">
        <f t="shared" si="47"/>
        <v>S</v>
      </c>
      <c r="KJ8" s="117" t="str">
        <f t="shared" si="47"/>
        <v>S</v>
      </c>
      <c r="KK8" s="117" t="str">
        <f t="shared" si="47"/>
        <v>S</v>
      </c>
      <c r="KL8" s="117" t="str">
        <f t="shared" si="47"/>
        <v>S</v>
      </c>
      <c r="KM8" s="117" t="str">
        <f t="shared" si="47"/>
        <v>S</v>
      </c>
      <c r="KN8" s="117">
        <f t="shared" si="47"/>
        <v>1.0000000000000001E-5</v>
      </c>
      <c r="KO8" s="117" t="str">
        <f t="shared" si="47"/>
        <v>S</v>
      </c>
      <c r="KP8" s="117" t="str">
        <f t="shared" si="47"/>
        <v>S</v>
      </c>
      <c r="KQ8" s="117" t="str">
        <f t="shared" si="47"/>
        <v>S</v>
      </c>
      <c r="KR8" s="117" t="str">
        <f t="shared" si="47"/>
        <v>S</v>
      </c>
      <c r="KS8" s="117" t="str">
        <f t="shared" si="47"/>
        <v>S</v>
      </c>
      <c r="KT8" s="117" t="str">
        <f t="shared" si="47"/>
        <v>S</v>
      </c>
      <c r="KU8" s="117" t="str">
        <f t="shared" si="47"/>
        <v>S</v>
      </c>
      <c r="KV8" s="117" t="str">
        <f t="shared" si="47"/>
        <v>S</v>
      </c>
      <c r="KW8" s="117">
        <f t="shared" si="47"/>
        <v>2</v>
      </c>
      <c r="KX8" s="117">
        <f t="shared" si="47"/>
        <v>3.0000000000000004</v>
      </c>
      <c r="KY8" s="117">
        <f t="shared" si="47"/>
        <v>0.25</v>
      </c>
      <c r="KZ8" s="117">
        <f t="shared" si="47"/>
        <v>0.3125</v>
      </c>
      <c r="LA8" s="117">
        <f t="shared" si="47"/>
        <v>0.25</v>
      </c>
      <c r="LB8" s="117">
        <f t="shared" si="47"/>
        <v>2.0000000000000001E-4</v>
      </c>
      <c r="LC8" s="117" t="str">
        <f t="shared" si="47"/>
        <v>S</v>
      </c>
      <c r="LD8" s="117" t="str">
        <f t="shared" si="47"/>
        <v>S</v>
      </c>
      <c r="LE8" s="117" t="str">
        <f t="shared" si="47"/>
        <v>S</v>
      </c>
      <c r="LF8" s="117" t="str">
        <f t="shared" si="47"/>
        <v>S</v>
      </c>
      <c r="LG8" s="117" t="str">
        <f t="shared" si="47"/>
        <v>S</v>
      </c>
      <c r="LH8" s="117" t="str">
        <f t="shared" si="52"/>
        <v>S</v>
      </c>
      <c r="LI8" s="117" t="str">
        <f t="shared" si="52"/>
        <v>S</v>
      </c>
      <c r="LJ8" s="117" t="str">
        <f t="shared" si="52"/>
        <v>S</v>
      </c>
      <c r="LK8" s="117" t="str">
        <f t="shared" si="52"/>
        <v>S</v>
      </c>
      <c r="LL8" s="117" t="str">
        <f t="shared" si="52"/>
        <v>S</v>
      </c>
      <c r="LM8" s="117" t="str">
        <f t="shared" si="52"/>
        <v>S</v>
      </c>
      <c r="LN8" s="117" t="str">
        <f t="shared" si="52"/>
        <v>S</v>
      </c>
      <c r="LO8" s="117" t="str">
        <f t="shared" si="52"/>
        <v>S</v>
      </c>
      <c r="LP8" s="117" t="str">
        <f t="shared" si="52"/>
        <v>S</v>
      </c>
      <c r="LQ8" s="117">
        <f t="shared" si="52"/>
        <v>3.0000000000000004</v>
      </c>
      <c r="LR8" s="117">
        <f t="shared" si="52"/>
        <v>0.16999999999999998</v>
      </c>
      <c r="LS8" s="117">
        <f t="shared" si="52"/>
        <v>1.41</v>
      </c>
      <c r="LT8" s="117">
        <f t="shared" si="52"/>
        <v>0.27300000000000002</v>
      </c>
      <c r="LU8" s="117">
        <f t="shared" si="52"/>
        <v>0.27</v>
      </c>
      <c r="LV8" s="117">
        <f t="shared" si="52"/>
        <v>0.1</v>
      </c>
      <c r="LW8" s="117">
        <f t="shared" si="52"/>
        <v>9.4629999999999992</v>
      </c>
      <c r="LX8" s="117">
        <f t="shared" si="52"/>
        <v>8.4947435596928661E-2</v>
      </c>
      <c r="LY8" s="117">
        <f t="shared" si="52"/>
        <v>4.0999999999999996</v>
      </c>
      <c r="LZ8" s="121" t="str">
        <f>LZ$6</f>
        <v>S</v>
      </c>
      <c r="MA8" s="121" t="str">
        <f t="shared" si="53"/>
        <v>S</v>
      </c>
      <c r="MB8" s="121" t="str">
        <f t="shared" si="53"/>
        <v>S</v>
      </c>
      <c r="MC8" s="121" t="str">
        <f t="shared" si="53"/>
        <v>S</v>
      </c>
      <c r="MD8" s="121" t="str">
        <f t="shared" si="53"/>
        <v>S</v>
      </c>
      <c r="ME8" s="121" t="str">
        <f t="shared" si="53"/>
        <v>S</v>
      </c>
      <c r="MF8" s="121" t="str">
        <f t="shared" si="53"/>
        <v>S</v>
      </c>
      <c r="MG8" s="121" t="str">
        <f t="shared" si="53"/>
        <v>S</v>
      </c>
      <c r="MH8" s="121" t="str">
        <f t="shared" si="53"/>
        <v>S</v>
      </c>
      <c r="MI8" s="121" t="str">
        <f t="shared" si="53"/>
        <v>S</v>
      </c>
      <c r="MJ8" s="121" t="str">
        <f t="shared" si="54"/>
        <v>S</v>
      </c>
      <c r="MK8" s="121" t="str">
        <f t="shared" si="54"/>
        <v>S</v>
      </c>
      <c r="ML8" s="121" t="str">
        <f t="shared" si="54"/>
        <v>S</v>
      </c>
      <c r="MM8" s="121" t="str">
        <f t="shared" si="53"/>
        <v>S</v>
      </c>
      <c r="MN8" s="121" t="str">
        <f t="shared" si="53"/>
        <v>S</v>
      </c>
      <c r="MO8" s="121" t="str">
        <f t="shared" si="53"/>
        <v>S</v>
      </c>
      <c r="MP8" s="121" t="str">
        <f t="shared" si="53"/>
        <v>S</v>
      </c>
      <c r="MQ8" s="121" t="str">
        <f t="shared" si="53"/>
        <v>S</v>
      </c>
      <c r="MR8" s="121" t="str">
        <f t="shared" si="53"/>
        <v>S</v>
      </c>
      <c r="MS8" s="121" t="str">
        <f t="shared" si="53"/>
        <v>S</v>
      </c>
      <c r="MT8" s="121" t="str">
        <f t="shared" si="53"/>
        <v>S</v>
      </c>
      <c r="MU8" s="121" t="str">
        <f t="shared" si="53"/>
        <v>S</v>
      </c>
      <c r="MV8" s="121" t="str">
        <f t="shared" si="53"/>
        <v>S</v>
      </c>
      <c r="MW8" s="121" t="str">
        <f t="shared" si="53"/>
        <v>S</v>
      </c>
      <c r="MX8" s="121" t="str">
        <f t="shared" si="53"/>
        <v>S</v>
      </c>
      <c r="MY8" s="121" t="str">
        <f t="shared" si="53"/>
        <v>S</v>
      </c>
      <c r="MZ8" s="121" t="str">
        <f t="shared" si="53"/>
        <v>S</v>
      </c>
      <c r="NA8" s="121" t="str">
        <f t="shared" si="53"/>
        <v>S</v>
      </c>
      <c r="NB8" s="121" t="str">
        <f t="shared" si="53"/>
        <v>S</v>
      </c>
      <c r="NC8" s="121" t="str">
        <f t="shared" si="53"/>
        <v>S</v>
      </c>
      <c r="ND8" s="117" t="str">
        <f>ND$6</f>
        <v>S</v>
      </c>
      <c r="NE8" s="117">
        <f>NE$6</f>
        <v>0</v>
      </c>
      <c r="NF8" s="117">
        <f t="shared" si="52"/>
        <v>1.0000000000000001E-5</v>
      </c>
      <c r="NG8" s="117" t="str">
        <f t="shared" si="52"/>
        <v>S</v>
      </c>
      <c r="NH8" s="117" t="str">
        <f t="shared" si="52"/>
        <v>S</v>
      </c>
      <c r="NI8" s="117" t="str">
        <f t="shared" si="52"/>
        <v>S</v>
      </c>
      <c r="NJ8" s="117" t="str">
        <f t="shared" si="52"/>
        <v>S</v>
      </c>
      <c r="NK8" s="117" t="str">
        <f t="shared" si="52"/>
        <v>S</v>
      </c>
      <c r="NL8" s="117" t="str">
        <f t="shared" si="52"/>
        <v>S</v>
      </c>
      <c r="NM8" s="117" t="str">
        <f t="shared" si="52"/>
        <v>S</v>
      </c>
      <c r="NN8" s="117" t="str">
        <f t="shared" si="52"/>
        <v>S</v>
      </c>
      <c r="NO8" s="117">
        <f t="shared" si="52"/>
        <v>4</v>
      </c>
      <c r="NP8" s="117">
        <f t="shared" si="52"/>
        <v>6.0000000000000009</v>
      </c>
      <c r="NQ8" s="117">
        <f t="shared" si="52"/>
        <v>0.625</v>
      </c>
      <c r="NR8" s="117">
        <f t="shared" si="52"/>
        <v>0.5</v>
      </c>
      <c r="NS8" s="117">
        <f t="shared" si="52"/>
        <v>0.5</v>
      </c>
      <c r="NT8" s="117">
        <f t="shared" si="52"/>
        <v>0.12520000000000001</v>
      </c>
      <c r="NU8" s="265" t="str">
        <f t="shared" si="55"/>
        <v>S</v>
      </c>
      <c r="NV8" s="117" t="str">
        <f t="shared" si="56"/>
        <v>S</v>
      </c>
      <c r="NW8" s="117" t="str">
        <f t="shared" si="56"/>
        <v>S</v>
      </c>
      <c r="NX8" s="117" t="str">
        <f t="shared" si="56"/>
        <v>S</v>
      </c>
      <c r="NY8" s="117" t="str">
        <f t="shared" si="56"/>
        <v>S</v>
      </c>
      <c r="NZ8" s="117" t="str">
        <f t="shared" si="57"/>
        <v>S</v>
      </c>
      <c r="OA8" s="117" t="str">
        <f t="shared" si="57"/>
        <v>S</v>
      </c>
      <c r="OB8" s="117" t="str">
        <f t="shared" si="57"/>
        <v>S</v>
      </c>
      <c r="OC8" s="117" t="str">
        <f t="shared" si="56"/>
        <v>S</v>
      </c>
      <c r="OD8" s="117" t="str">
        <f t="shared" si="56"/>
        <v>S</v>
      </c>
      <c r="OE8" s="117">
        <f t="shared" si="56"/>
        <v>3.0000000000000004</v>
      </c>
      <c r="OF8" s="117">
        <f t="shared" si="56"/>
        <v>0.16999999999999998</v>
      </c>
      <c r="OG8" s="117">
        <f t="shared" si="56"/>
        <v>1.41</v>
      </c>
      <c r="OH8" s="117">
        <f t="shared" si="56"/>
        <v>0.27300000000000002</v>
      </c>
      <c r="OI8" s="117">
        <f t="shared" si="56"/>
        <v>0.27</v>
      </c>
      <c r="OJ8" s="117">
        <f t="shared" si="56"/>
        <v>0.1</v>
      </c>
      <c r="OK8" s="117">
        <f t="shared" si="56"/>
        <v>9.4629999999999992</v>
      </c>
      <c r="OL8" s="117">
        <f t="shared" si="56"/>
        <v>8.4947435596928661E-2</v>
      </c>
      <c r="OM8" s="117">
        <f t="shared" si="56"/>
        <v>4.0999999999999996</v>
      </c>
      <c r="ON8" s="265" t="str">
        <f t="shared" si="58"/>
        <v>S</v>
      </c>
      <c r="OO8" s="117" t="str">
        <f t="shared" ca="1" si="56"/>
        <v>S</v>
      </c>
      <c r="OP8" s="117" t="str">
        <f t="shared" ca="1" si="56"/>
        <v>S</v>
      </c>
      <c r="OQ8" s="117" t="str">
        <f t="shared" ca="1" si="56"/>
        <v>S</v>
      </c>
      <c r="OR8" s="117" t="str">
        <f t="shared" ca="1" si="56"/>
        <v>S</v>
      </c>
      <c r="OS8" s="117" t="str">
        <f t="shared" ca="1" si="56"/>
        <v>S</v>
      </c>
      <c r="OT8" s="117" t="str">
        <f t="shared" ca="1" si="56"/>
        <v>S</v>
      </c>
      <c r="OU8" s="117">
        <f t="shared" si="56"/>
        <v>22.352885682963269</v>
      </c>
      <c r="OV8" s="117">
        <f t="shared" si="56"/>
        <v>1.5625</v>
      </c>
      <c r="OW8" s="117">
        <f t="shared" si="56"/>
        <v>2</v>
      </c>
      <c r="OX8" s="117">
        <f t="shared" ca="1" si="56"/>
        <v>1.0000000000000001E-5</v>
      </c>
      <c r="OY8" s="3" t="str">
        <f t="shared" si="59"/>
        <v>S</v>
      </c>
      <c r="OZ8" s="3" t="str">
        <f t="shared" si="59"/>
        <v>S</v>
      </c>
      <c r="PA8" s="3" t="str">
        <f t="shared" si="59"/>
        <v>S</v>
      </c>
      <c r="PB8" s="3" t="str">
        <f t="shared" si="59"/>
        <v>S</v>
      </c>
      <c r="PC8" s="117">
        <f t="shared" si="60"/>
        <v>1.0000006859324079E-6</v>
      </c>
      <c r="PD8" s="117">
        <f t="shared" si="60"/>
        <v>1.0000000313816476E-6</v>
      </c>
      <c r="PE8" s="117">
        <f t="shared" si="61"/>
        <v>9.9999936016657661E-7</v>
      </c>
      <c r="PF8" s="117">
        <f t="shared" si="61"/>
        <v>9.9999997677932015E-7</v>
      </c>
      <c r="PG8" s="117" t="str">
        <f t="shared" si="56"/>
        <v>S</v>
      </c>
      <c r="PH8" s="117" t="str">
        <f t="shared" si="56"/>
        <v>S</v>
      </c>
      <c r="PI8" s="117" t="str">
        <f t="shared" si="56"/>
        <v>S</v>
      </c>
      <c r="PJ8" s="117" t="str">
        <f t="shared" si="56"/>
        <v>S</v>
      </c>
      <c r="PK8" s="117" t="str">
        <f t="shared" si="56"/>
        <v>Teflon, 2.5 x 2.5</v>
      </c>
      <c r="PL8" s="117" t="str">
        <f t="shared" si="56"/>
        <v>Teflon, 2.5 x 2.5</v>
      </c>
      <c r="PM8" s="117">
        <f t="shared" si="62"/>
        <v>0</v>
      </c>
      <c r="PN8" s="117" t="str">
        <f t="shared" si="56"/>
        <v>Teflon, 2.5 x 2.5</v>
      </c>
      <c r="PO8" s="117" t="str">
        <f t="shared" si="56"/>
        <v>Teflon, 2.5 x 2.5</v>
      </c>
      <c r="PP8" s="117">
        <f t="shared" si="63"/>
        <v>0</v>
      </c>
      <c r="PQ8" s="117">
        <f t="shared" si="56"/>
        <v>0.125</v>
      </c>
      <c r="PR8" s="117">
        <f t="shared" si="56"/>
        <v>0.125</v>
      </c>
      <c r="PS8" s="117">
        <f t="shared" si="64"/>
        <v>0.125</v>
      </c>
      <c r="PT8" s="117">
        <f t="shared" si="64"/>
        <v>0.125</v>
      </c>
      <c r="PU8" s="117" t="str">
        <f t="shared" si="56"/>
        <v>S</v>
      </c>
      <c r="PV8" s="117" t="str">
        <f t="shared" si="65"/>
        <v>S</v>
      </c>
      <c r="PW8" s="117" t="str">
        <f t="shared" si="56"/>
        <v>S</v>
      </c>
      <c r="PX8" s="117" t="str">
        <f t="shared" si="56"/>
        <v>S</v>
      </c>
      <c r="PY8" s="117" t="str">
        <f t="shared" si="66"/>
        <v>S</v>
      </c>
      <c r="PZ8" s="117" t="str">
        <f t="shared" si="56"/>
        <v>S</v>
      </c>
      <c r="QA8" s="117" t="str">
        <f t="shared" si="56"/>
        <v>S</v>
      </c>
      <c r="QB8" s="117" t="str">
        <f t="shared" si="56"/>
        <v>S</v>
      </c>
      <c r="QC8" s="3" t="str">
        <f t="shared" si="67"/>
        <v>S</v>
      </c>
      <c r="QD8" s="3" t="str">
        <f t="shared" si="67"/>
        <v>S</v>
      </c>
      <c r="QE8" s="117" t="str">
        <f t="shared" ca="1" si="56"/>
        <v>S</v>
      </c>
      <c r="QF8" s="117">
        <f t="shared" ca="1" si="56"/>
        <v>3</v>
      </c>
      <c r="QG8" s="117">
        <f t="shared" ca="1" si="56"/>
        <v>1.5</v>
      </c>
      <c r="QH8" s="117">
        <f t="shared" ca="1" si="56"/>
        <v>1</v>
      </c>
      <c r="QI8" s="117">
        <f t="shared" ca="1" si="56"/>
        <v>3</v>
      </c>
      <c r="QJ8" s="117" t="str">
        <f t="shared" ca="1" si="56"/>
        <v>S</v>
      </c>
      <c r="QK8" s="3" t="str">
        <f t="shared" si="68"/>
        <v>S</v>
      </c>
      <c r="QL8" s="3" t="str">
        <f t="shared" si="68"/>
        <v>S</v>
      </c>
      <c r="QM8" s="3" t="str">
        <f t="shared" si="68"/>
        <v>S</v>
      </c>
      <c r="QN8" s="3" t="str">
        <f t="shared" si="68"/>
        <v>S</v>
      </c>
      <c r="QO8" s="3" t="str">
        <f t="shared" si="68"/>
        <v>S</v>
      </c>
      <c r="QP8" s="3" t="str">
        <f t="shared" si="68"/>
        <v>S</v>
      </c>
      <c r="QQ8" s="117" t="str">
        <f t="shared" si="56"/>
        <v>S</v>
      </c>
      <c r="QR8" s="117" t="str">
        <f t="shared" ca="1" si="69"/>
        <v>S</v>
      </c>
      <c r="QS8" s="117" t="str">
        <f t="shared" ca="1" si="69"/>
        <v>S</v>
      </c>
      <c r="QT8" s="182" t="str">
        <f t="shared" si="70"/>
        <v>S</v>
      </c>
      <c r="QU8" s="3" t="str">
        <f t="shared" si="70"/>
        <v>S</v>
      </c>
      <c r="QV8" s="3" t="str">
        <f t="shared" si="70"/>
        <v>S</v>
      </c>
      <c r="QW8" s="3" t="str">
        <f t="shared" si="70"/>
        <v>S</v>
      </c>
      <c r="QX8" s="3" t="str">
        <f t="shared" si="70"/>
        <v>S</v>
      </c>
      <c r="QY8" s="3" t="str">
        <f t="shared" si="70"/>
        <v>S</v>
      </c>
      <c r="QZ8" s="3" t="str">
        <f t="shared" si="70"/>
        <v>S</v>
      </c>
      <c r="RA8" s="3" t="str">
        <f t="shared" si="70"/>
        <v>S</v>
      </c>
      <c r="RB8" s="3" t="str">
        <f t="shared" si="70"/>
        <v>S</v>
      </c>
      <c r="RC8" s="3" t="str">
        <f t="shared" si="70"/>
        <v>S</v>
      </c>
      <c r="RD8" s="117">
        <f t="shared" si="56"/>
        <v>2</v>
      </c>
      <c r="RE8" s="117">
        <f t="shared" si="56"/>
        <v>3.0000000000000004</v>
      </c>
      <c r="RF8" s="117">
        <f t="shared" si="56"/>
        <v>0.18750000000000003</v>
      </c>
      <c r="RG8" s="117">
        <f t="shared" si="56"/>
        <v>0.3125</v>
      </c>
      <c r="RH8" s="117">
        <f t="shared" si="56"/>
        <v>0.18750000000000003</v>
      </c>
      <c r="RI8" s="117">
        <f t="shared" si="56"/>
        <v>2.0000000000000001E-4</v>
      </c>
      <c r="RJ8" s="3" t="str">
        <f t="shared" si="71"/>
        <v>S</v>
      </c>
      <c r="RK8" s="3" t="str">
        <f t="shared" si="71"/>
        <v>S</v>
      </c>
      <c r="RL8" s="3" t="str">
        <f t="shared" si="71"/>
        <v>S</v>
      </c>
      <c r="RM8" s="3" t="str">
        <f t="shared" si="71"/>
        <v>S</v>
      </c>
      <c r="RN8" s="3" t="str">
        <f t="shared" si="71"/>
        <v>S</v>
      </c>
      <c r="RO8" s="3" t="str">
        <f t="shared" si="71"/>
        <v>S</v>
      </c>
      <c r="RP8" s="3" t="str">
        <f t="shared" si="71"/>
        <v>S</v>
      </c>
      <c r="RQ8" s="3" t="str">
        <f t="shared" si="71"/>
        <v>S</v>
      </c>
      <c r="RR8" s="3" t="str">
        <f t="shared" si="72"/>
        <v>S</v>
      </c>
      <c r="RS8" s="3" t="str">
        <f t="shared" si="72"/>
        <v>S</v>
      </c>
      <c r="RT8" s="3" t="str">
        <f t="shared" si="72"/>
        <v>S</v>
      </c>
      <c r="RU8" s="3" t="str">
        <f t="shared" si="72"/>
        <v>S</v>
      </c>
      <c r="RV8" s="3" t="str">
        <f t="shared" si="72"/>
        <v>S</v>
      </c>
      <c r="RW8" s="3" t="str">
        <f t="shared" si="72"/>
        <v>S</v>
      </c>
      <c r="RX8" s="3" t="str">
        <f t="shared" si="72"/>
        <v>S</v>
      </c>
      <c r="RY8" s="3" t="str">
        <f t="shared" si="72"/>
        <v>S</v>
      </c>
      <c r="RZ8" s="3" t="str">
        <f t="shared" si="72"/>
        <v>S</v>
      </c>
      <c r="SA8" s="117">
        <f t="shared" si="73"/>
        <v>3.0000000000000004</v>
      </c>
      <c r="SB8" s="117">
        <f t="shared" si="73"/>
        <v>0.16999999999999998</v>
      </c>
      <c r="SC8" s="117">
        <f t="shared" si="73"/>
        <v>1.41</v>
      </c>
      <c r="SD8" s="117">
        <f t="shared" si="73"/>
        <v>0.27300000000000002</v>
      </c>
      <c r="SE8" s="117">
        <f t="shared" si="73"/>
        <v>0.27</v>
      </c>
      <c r="SF8" s="117">
        <f t="shared" si="73"/>
        <v>0.1</v>
      </c>
      <c r="SG8" s="117">
        <f t="shared" si="73"/>
        <v>9.4629999999999992</v>
      </c>
      <c r="SH8" s="117">
        <f t="shared" si="73"/>
        <v>8.4947435596928661E-2</v>
      </c>
      <c r="SI8" s="117">
        <f t="shared" si="73"/>
        <v>4.0999999999999996</v>
      </c>
      <c r="SJ8" s="3" t="str">
        <f t="shared" si="74"/>
        <v>S</v>
      </c>
      <c r="SK8" s="3" t="str">
        <f t="shared" si="74"/>
        <v>S</v>
      </c>
      <c r="SL8" s="3" t="str">
        <f t="shared" si="74"/>
        <v>S</v>
      </c>
      <c r="SM8" s="3" t="str">
        <f t="shared" si="74"/>
        <v>S</v>
      </c>
      <c r="SN8" s="3" t="str">
        <f t="shared" si="74"/>
        <v>S</v>
      </c>
      <c r="SO8" s="3" t="str">
        <f t="shared" si="74"/>
        <v>S</v>
      </c>
      <c r="SP8" s="3" t="str">
        <f t="shared" si="74"/>
        <v>S</v>
      </c>
      <c r="SQ8" s="3" t="str">
        <f t="shared" si="74"/>
        <v>S</v>
      </c>
      <c r="SR8" s="3" t="str">
        <f t="shared" si="74"/>
        <v>S</v>
      </c>
      <c r="SS8" s="117">
        <f t="shared" si="73"/>
        <v>1.5000000000000002</v>
      </c>
      <c r="ST8" s="117">
        <f t="shared" si="73"/>
        <v>1.5000000000000002</v>
      </c>
      <c r="SU8" s="117">
        <f t="shared" si="73"/>
        <v>0.5</v>
      </c>
      <c r="SV8" s="117">
        <f t="shared" si="73"/>
        <v>0.5</v>
      </c>
      <c r="SW8" s="3" t="str">
        <f t="shared" si="74"/>
        <v>S</v>
      </c>
      <c r="SX8" s="3" t="str">
        <f t="shared" si="74"/>
        <v>S</v>
      </c>
      <c r="SY8" s="3" t="str">
        <f t="shared" si="74"/>
        <v>S</v>
      </c>
      <c r="SZ8" s="3" t="str">
        <f t="shared" si="74"/>
        <v>S</v>
      </c>
      <c r="TA8" s="3" t="str">
        <f t="shared" si="74"/>
        <v>S</v>
      </c>
      <c r="TB8" s="3" t="str">
        <f t="shared" si="74"/>
        <v>S</v>
      </c>
      <c r="TC8" s="3" t="str">
        <f t="shared" si="74"/>
        <v>S</v>
      </c>
      <c r="TD8" s="3" t="str">
        <f t="shared" si="74"/>
        <v>S</v>
      </c>
      <c r="TE8" s="3" t="str">
        <f t="shared" si="74"/>
        <v>S</v>
      </c>
      <c r="TF8" s="117">
        <f t="shared" si="73"/>
        <v>3</v>
      </c>
      <c r="TG8" s="117">
        <f t="shared" si="73"/>
        <v>5.7</v>
      </c>
      <c r="TH8" s="117">
        <f t="shared" si="73"/>
        <v>3.0000000000000004</v>
      </c>
      <c r="TI8" s="117">
        <f t="shared" si="73"/>
        <v>0.16999999999999998</v>
      </c>
      <c r="TJ8" s="117">
        <f t="shared" si="73"/>
        <v>2.33</v>
      </c>
      <c r="TK8" s="117">
        <f t="shared" si="73"/>
        <v>0.26</v>
      </c>
      <c r="TL8" s="117">
        <f t="shared" si="73"/>
        <v>0.27</v>
      </c>
      <c r="TM8" s="117">
        <f t="shared" si="73"/>
        <v>0.1</v>
      </c>
      <c r="TN8" s="117">
        <f t="shared" si="73"/>
        <v>9.4630000000000312</v>
      </c>
      <c r="TO8" s="117">
        <f t="shared" si="73"/>
        <v>1.8425437273624747</v>
      </c>
      <c r="TP8" s="3" t="str">
        <f t="shared" si="75"/>
        <v>S</v>
      </c>
      <c r="TQ8" s="3" t="str">
        <f t="shared" si="75"/>
        <v>S</v>
      </c>
      <c r="TR8" s="3" t="str">
        <f t="shared" si="75"/>
        <v>S</v>
      </c>
      <c r="TS8" s="3" t="str">
        <f t="shared" si="75"/>
        <v>S</v>
      </c>
      <c r="TT8" s="3" t="str">
        <f t="shared" si="75"/>
        <v>S</v>
      </c>
      <c r="TU8" s="3" t="str">
        <f t="shared" si="75"/>
        <v>S</v>
      </c>
      <c r="TV8" s="3" t="str">
        <f t="shared" si="75"/>
        <v>S</v>
      </c>
      <c r="TW8" s="3" t="str">
        <f t="shared" si="75"/>
        <v>S</v>
      </c>
      <c r="TX8" s="3" t="str">
        <f t="shared" si="75"/>
        <v>S</v>
      </c>
      <c r="TY8" s="117">
        <f t="shared" si="73"/>
        <v>4</v>
      </c>
      <c r="TZ8" s="117">
        <f t="shared" si="73"/>
        <v>13</v>
      </c>
      <c r="UA8" s="117">
        <f t="shared" si="73"/>
        <v>4.16</v>
      </c>
      <c r="UB8" s="117">
        <f t="shared" si="73"/>
        <v>0.28000000000000003</v>
      </c>
      <c r="UC8" s="117">
        <f t="shared" si="73"/>
        <v>4.0599999999999996</v>
      </c>
      <c r="UD8" s="117">
        <f t="shared" si="73"/>
        <v>0.34499999999999992</v>
      </c>
      <c r="UE8" s="117">
        <f t="shared" si="73"/>
        <v>0.25</v>
      </c>
      <c r="UF8" s="3" t="str">
        <f t="shared" si="76"/>
        <v>S</v>
      </c>
      <c r="UG8" s="3" t="str">
        <f t="shared" si="76"/>
        <v>S</v>
      </c>
      <c r="UH8" s="3" t="str">
        <f t="shared" si="76"/>
        <v>S</v>
      </c>
      <c r="UI8" s="3" t="str">
        <f t="shared" si="76"/>
        <v>S</v>
      </c>
      <c r="UJ8" s="117" t="s">
        <v>1205</v>
      </c>
      <c r="UK8" s="117" t="str">
        <f t="shared" si="73"/>
        <v>U</v>
      </c>
      <c r="UL8" s="117" t="str">
        <f t="shared" si="73"/>
        <v>U</v>
      </c>
      <c r="UM8" s="117" t="str">
        <f t="shared" si="73"/>
        <v>S</v>
      </c>
      <c r="UN8" s="117" t="str">
        <f t="shared" si="73"/>
        <v>S</v>
      </c>
      <c r="UO8" s="117" t="str">
        <f t="shared" si="73"/>
        <v>S</v>
      </c>
      <c r="UP8" s="117" t="str">
        <f t="shared" si="73"/>
        <v>S</v>
      </c>
      <c r="UQ8" s="117" t="str">
        <f t="shared" si="73"/>
        <v>S</v>
      </c>
      <c r="UR8" s="117">
        <f t="shared" si="73"/>
        <v>1</v>
      </c>
      <c r="US8" s="117">
        <f t="shared" si="73"/>
        <v>2</v>
      </c>
      <c r="UT8" s="117">
        <f t="shared" si="73"/>
        <v>500</v>
      </c>
      <c r="UU8" s="117" t="str">
        <f t="shared" si="73"/>
        <v>S</v>
      </c>
      <c r="UV8" s="121" t="str">
        <f>$UW6</f>
        <v>S</v>
      </c>
      <c r="UW8" s="121" t="str">
        <f>$UW6</f>
        <v>S</v>
      </c>
      <c r="UX8" s="121" t="str">
        <f t="shared" ref="UX8:UZ8" si="84">$UW6</f>
        <v>S</v>
      </c>
      <c r="UY8" s="121" t="str">
        <f t="shared" si="84"/>
        <v>S</v>
      </c>
      <c r="UZ8" s="121" t="str">
        <f t="shared" si="84"/>
        <v>S</v>
      </c>
      <c r="VA8" s="121" t="str">
        <f>"S"</f>
        <v>S</v>
      </c>
      <c r="VB8" s="3" t="str">
        <f>"U"</f>
        <v>U</v>
      </c>
      <c r="VC8" s="121" t="str">
        <f t="shared" si="78"/>
        <v>S</v>
      </c>
      <c r="VD8" s="121" t="str">
        <f t="shared" si="78"/>
        <v>S</v>
      </c>
      <c r="VE8" s="121" t="str">
        <f t="shared" si="78"/>
        <v>S</v>
      </c>
      <c r="VF8" s="121" t="str">
        <f t="shared" si="78"/>
        <v>S</v>
      </c>
      <c r="VG8" s="121" t="str">
        <f t="shared" si="78"/>
        <v>S</v>
      </c>
      <c r="VH8" s="121" t="str">
        <f t="shared" si="78"/>
        <v>S</v>
      </c>
      <c r="VI8" s="117" t="str">
        <f t="shared" si="79"/>
        <v>3</v>
      </c>
      <c r="VJ8" s="117" t="str">
        <f t="shared" si="73"/>
        <v>.3</v>
      </c>
      <c r="VK8" s="117">
        <f t="shared" si="73"/>
        <v>3</v>
      </c>
      <c r="VL8" s="117" t="str">
        <f t="shared" si="73"/>
        <v>3-SEC</v>
      </c>
      <c r="VM8" s="121" t="str">
        <f>CONCATENATE($C$2,$D$2,"-SFR-A")</f>
        <v>3-SFR-A</v>
      </c>
      <c r="VN8" s="117" t="s">
        <v>1009</v>
      </c>
      <c r="VO8" s="117" t="str">
        <f t="shared" si="73"/>
        <v>000000</v>
      </c>
      <c r="VP8" s="410">
        <f t="shared" si="80"/>
        <v>5</v>
      </c>
      <c r="VQ8" s="410">
        <f t="shared" si="80"/>
        <v>5</v>
      </c>
      <c r="VR8" s="410">
        <f t="shared" si="80"/>
        <v>0.125</v>
      </c>
      <c r="VS8" s="410">
        <f t="shared" si="80"/>
        <v>1.125</v>
      </c>
      <c r="VT8" s="410">
        <f t="shared" si="80"/>
        <v>3.5</v>
      </c>
      <c r="VX8" s="117" t="str">
        <f t="shared" si="81"/>
        <v>3-SEC</v>
      </c>
    </row>
    <row r="9" spans="1:597" s="3" customFormat="1" ht="14.4" hidden="1" outlineLevel="1" x14ac:dyDescent="0.3">
      <c r="A9" s="123" t="str">
        <f>IF(ProductLine="AXC","$User_Notes","BTS")</f>
        <v>$User_Notes</v>
      </c>
      <c r="B9" s="117" t="str">
        <f t="shared" si="82"/>
        <v>AXC</v>
      </c>
      <c r="C9" s="117">
        <f t="shared" ref="C9:CP13" si="85">C$6</f>
        <v>65</v>
      </c>
      <c r="D9" s="117">
        <f t="shared" si="85"/>
        <v>780</v>
      </c>
      <c r="E9" s="117">
        <f t="shared" si="85"/>
        <v>0.125</v>
      </c>
      <c r="F9" s="117">
        <f t="shared" si="85"/>
        <v>6.25E-2</v>
      </c>
      <c r="G9" s="117">
        <f t="shared" si="85"/>
        <v>777.625</v>
      </c>
      <c r="H9" s="117" t="str">
        <f t="shared" si="85"/>
        <v>MC12x10.6</v>
      </c>
      <c r="I9" s="117" t="str">
        <f t="shared" si="85"/>
        <v>AXC materials:SA-36</v>
      </c>
      <c r="J9" s="117" t="str">
        <f t="shared" si="85"/>
        <v>Galvanized</v>
      </c>
      <c r="K9" s="117" t="str">
        <f t="shared" si="85"/>
        <v>Bolt on Angle</v>
      </c>
      <c r="L9" s="117" t="str">
        <f t="shared" si="19"/>
        <v>EH\VV\VI_</v>
      </c>
      <c r="M9" s="117">
        <f t="shared" ca="1" si="85"/>
        <v>16</v>
      </c>
      <c r="N9" s="117">
        <f t="shared" ca="1" si="20"/>
        <v>48</v>
      </c>
      <c r="O9" s="117">
        <f t="shared" ca="1" si="85"/>
        <v>30</v>
      </c>
      <c r="P9" s="117" t="str">
        <f t="shared" si="85"/>
        <v>Yes - Rear HDR</v>
      </c>
      <c r="Q9" s="117">
        <f t="shared" si="85"/>
        <v>3.9999333887056512</v>
      </c>
      <c r="R9" s="117" t="str">
        <f t="shared" si="85"/>
        <v>Angle</v>
      </c>
      <c r="S9" s="117" t="str">
        <f t="shared" si="85"/>
        <v>L2x3x0.1875</v>
      </c>
      <c r="T9" s="117" t="str">
        <f t="shared" si="85"/>
        <v>Weld On</v>
      </c>
      <c r="U9" s="117" t="str">
        <f t="shared" si="21"/>
        <v>Yes</v>
      </c>
      <c r="V9" s="117" t="str">
        <f t="shared" si="85"/>
        <v>Yes</v>
      </c>
      <c r="W9" s="117">
        <f t="shared" si="85"/>
        <v>15</v>
      </c>
      <c r="X9" s="117">
        <f t="shared" si="85"/>
        <v>0</v>
      </c>
      <c r="Y9" s="117">
        <f t="shared" si="22"/>
        <v>0</v>
      </c>
      <c r="Z9" s="117" t="str">
        <f t="shared" si="22"/>
        <v>STD</v>
      </c>
      <c r="AA9" s="117" t="str">
        <f t="shared" si="85"/>
        <v>No</v>
      </c>
      <c r="AB9" s="117" t="str">
        <f t="shared" si="23"/>
        <v>OFF</v>
      </c>
      <c r="AC9" s="117" t="str">
        <f t="shared" si="85"/>
        <v>Yes</v>
      </c>
      <c r="AD9" s="117" t="str">
        <f t="shared" si="24"/>
        <v>AXC Weld On</v>
      </c>
      <c r="AE9" s="117" t="str">
        <f t="shared" si="24"/>
        <v>Outside</v>
      </c>
      <c r="AF9" s="117" t="str">
        <f t="shared" si="85"/>
        <v>0.5"</v>
      </c>
      <c r="AG9" s="117">
        <f t="shared" si="85"/>
        <v>278.125</v>
      </c>
      <c r="AH9" s="117">
        <f t="shared" si="85"/>
        <v>249.75</v>
      </c>
      <c r="AI9" s="117">
        <f t="shared" si="85"/>
        <v>0.5</v>
      </c>
      <c r="AJ9" s="117">
        <f t="shared" si="25"/>
        <v>4</v>
      </c>
      <c r="AK9" s="117">
        <f t="shared" si="25"/>
        <v>500</v>
      </c>
      <c r="AL9" s="117" t="str">
        <f t="shared" si="85"/>
        <v>None</v>
      </c>
      <c r="AM9" s="117" t="str">
        <f t="shared" si="85"/>
        <v>Pick from List</v>
      </c>
      <c r="AN9" s="117" t="str">
        <f t="shared" si="85"/>
        <v>None</v>
      </c>
      <c r="AO9" s="117" t="str">
        <f t="shared" si="85"/>
        <v>None</v>
      </c>
      <c r="AP9" s="117" t="str">
        <f t="shared" si="85"/>
        <v>None</v>
      </c>
      <c r="AQ9" s="117" t="str">
        <f t="shared" si="85"/>
        <v>L4x6x0.625</v>
      </c>
      <c r="AR9" s="117" t="str">
        <f t="shared" si="85"/>
        <v>Bolt on</v>
      </c>
      <c r="AS9" s="117" t="str">
        <f t="shared" si="85"/>
        <v>Yes</v>
      </c>
      <c r="AT9" s="117" t="str">
        <f t="shared" ca="1" si="85"/>
        <v>Bolt On</v>
      </c>
      <c r="AU9" s="164">
        <f t="shared" ca="1" si="26"/>
        <v>16</v>
      </c>
      <c r="AV9" s="117">
        <f t="shared" si="26"/>
        <v>0</v>
      </c>
      <c r="AW9" s="117">
        <f t="shared" si="26"/>
        <v>0</v>
      </c>
      <c r="AX9" s="117">
        <f t="shared" si="26"/>
        <v>6.25E-2</v>
      </c>
      <c r="AY9" s="164">
        <f t="shared" si="26"/>
        <v>21.915385672961552</v>
      </c>
      <c r="AZ9" s="117">
        <f t="shared" si="26"/>
        <v>1.5625</v>
      </c>
      <c r="BA9" s="117">
        <f t="shared" si="26"/>
        <v>2</v>
      </c>
      <c r="BB9" s="117">
        <f t="shared" si="26"/>
        <v>21.915385672961648</v>
      </c>
      <c r="BC9" s="117">
        <f t="shared" si="26"/>
        <v>1.5625</v>
      </c>
      <c r="BD9" s="117">
        <f t="shared" si="26"/>
        <v>2</v>
      </c>
      <c r="BE9" s="164">
        <f t="shared" si="27"/>
        <v>0.6250000000043382</v>
      </c>
      <c r="BF9" s="117">
        <f t="shared" si="27"/>
        <v>1.0937500000075919</v>
      </c>
      <c r="BG9" s="117">
        <f t="shared" si="27"/>
        <v>2</v>
      </c>
      <c r="BH9" s="117">
        <f t="shared" si="27"/>
        <v>0.62500000000430156</v>
      </c>
      <c r="BI9" s="117">
        <f t="shared" si="27"/>
        <v>1.0937500000075278</v>
      </c>
      <c r="BJ9" s="117">
        <f t="shared" si="27"/>
        <v>2</v>
      </c>
      <c r="BK9" s="117">
        <f t="shared" si="19"/>
        <v>1.9999999999999956</v>
      </c>
      <c r="BL9" s="117" t="str">
        <f t="shared" si="85"/>
        <v>Weld Bar</v>
      </c>
      <c r="BM9" s="117">
        <f t="shared" si="19"/>
        <v>0.99999999999999589</v>
      </c>
      <c r="BN9" s="117" t="str">
        <f t="shared" si="85"/>
        <v>Float Bar</v>
      </c>
      <c r="BO9" s="117">
        <f t="shared" si="19"/>
        <v>5</v>
      </c>
      <c r="BP9" s="117" t="str">
        <f t="shared" si="85"/>
        <v>MC12x10.6</v>
      </c>
      <c r="BQ9" s="117" t="str">
        <f t="shared" si="85"/>
        <v>U</v>
      </c>
      <c r="BR9" s="117" t="str">
        <f t="shared" si="85"/>
        <v>S</v>
      </c>
      <c r="BS9" s="117">
        <f t="shared" si="19"/>
        <v>31.374999284744241</v>
      </c>
      <c r="BT9" s="117">
        <f t="shared" si="19"/>
        <v>29.000000000000004</v>
      </c>
      <c r="BU9" s="117">
        <f t="shared" si="19"/>
        <v>3.9999999999999969</v>
      </c>
      <c r="BV9" s="117">
        <f t="shared" si="19"/>
        <v>0.25000000000000089</v>
      </c>
      <c r="BW9" s="117">
        <f t="shared" si="19"/>
        <v>9.9999999999269527E-6</v>
      </c>
      <c r="BX9" s="117">
        <f t="shared" si="85"/>
        <v>1</v>
      </c>
      <c r="BY9" s="117">
        <f t="shared" si="85"/>
        <v>1</v>
      </c>
      <c r="BZ9" s="117">
        <f t="shared" si="19"/>
        <v>6.2721143170279987</v>
      </c>
      <c r="CA9" s="117">
        <f t="shared" si="19"/>
        <v>360</v>
      </c>
      <c r="CB9" s="117">
        <f t="shared" si="19"/>
        <v>1.0000000000001172</v>
      </c>
      <c r="CC9" s="117">
        <f t="shared" si="19"/>
        <v>0.99999999999983746</v>
      </c>
      <c r="CD9" s="117">
        <f t="shared" si="19"/>
        <v>0</v>
      </c>
      <c r="CE9" s="117">
        <f t="shared" si="19"/>
        <v>1.5000000000000009</v>
      </c>
      <c r="CF9" s="117">
        <f t="shared" si="85"/>
        <v>1.2990381056766582</v>
      </c>
      <c r="CG9" s="117">
        <f t="shared" si="85"/>
        <v>9.9999999969219204E-6</v>
      </c>
      <c r="CH9" s="117" t="str">
        <f t="shared" si="85"/>
        <v>No</v>
      </c>
      <c r="CI9" s="117" t="str">
        <f t="shared" si="85"/>
        <v>U</v>
      </c>
      <c r="CJ9" s="117">
        <f t="shared" si="85"/>
        <v>10.6</v>
      </c>
      <c r="CK9" s="117">
        <f t="shared" si="85"/>
        <v>12.000000000000002</v>
      </c>
      <c r="CL9" s="117">
        <f t="shared" si="85"/>
        <v>0.18999999999999997</v>
      </c>
      <c r="CM9" s="117">
        <f t="shared" si="85"/>
        <v>1.5000000000000002</v>
      </c>
      <c r="CN9" s="117">
        <f t="shared" si="85"/>
        <v>0.30899999999999994</v>
      </c>
      <c r="CO9" s="117">
        <f t="shared" si="85"/>
        <v>0.25</v>
      </c>
      <c r="CP9" s="117">
        <f t="shared" si="85"/>
        <v>0.13</v>
      </c>
      <c r="CQ9" s="117">
        <f t="shared" si="28"/>
        <v>9.4629999999999992</v>
      </c>
      <c r="CR9" s="117">
        <f t="shared" si="28"/>
        <v>8.9700168853607709E-2</v>
      </c>
      <c r="CS9" s="117">
        <f t="shared" si="28"/>
        <v>10.740092274765473</v>
      </c>
      <c r="CT9" s="117">
        <f t="shared" si="28"/>
        <v>0.62995386261726427</v>
      </c>
      <c r="CU9" s="117" t="str">
        <f t="shared" si="28"/>
        <v>S</v>
      </c>
      <c r="CV9" s="117">
        <f t="shared" si="28"/>
        <v>12.000000000000002</v>
      </c>
      <c r="CW9" s="117">
        <f t="shared" si="28"/>
        <v>0.28199999999999997</v>
      </c>
      <c r="CX9" s="117">
        <f t="shared" si="28"/>
        <v>2.9419999999999997</v>
      </c>
      <c r="CY9" s="117">
        <f t="shared" si="28"/>
        <v>0.501</v>
      </c>
      <c r="CZ9" s="117">
        <f t="shared" si="28"/>
        <v>0.37999999999999995</v>
      </c>
      <c r="DA9" s="117">
        <f t="shared" si="28"/>
        <v>0.16999999999999998</v>
      </c>
      <c r="DB9" s="117">
        <f t="shared" si="28"/>
        <v>9.4629999999999992</v>
      </c>
      <c r="DC9" s="117">
        <f t="shared" si="28"/>
        <v>0.13530728481002544</v>
      </c>
      <c r="DD9" s="117">
        <f t="shared" si="28"/>
        <v>20.7</v>
      </c>
      <c r="DE9" s="117" t="str">
        <f t="shared" si="28"/>
        <v>S</v>
      </c>
      <c r="DF9" s="117" t="str">
        <f t="shared" si="28"/>
        <v>S</v>
      </c>
      <c r="DG9" s="117" t="str">
        <f t="shared" si="28"/>
        <v>S</v>
      </c>
      <c r="DH9" s="117" t="str">
        <f t="shared" si="28"/>
        <v>S</v>
      </c>
      <c r="DI9" s="117" t="str">
        <f t="shared" si="28"/>
        <v>S</v>
      </c>
      <c r="DJ9" s="117" t="str">
        <f t="shared" si="28"/>
        <v>S</v>
      </c>
      <c r="DK9" s="117" t="str">
        <f t="shared" si="28"/>
        <v>S</v>
      </c>
      <c r="DL9" s="117" t="str">
        <f t="shared" si="28"/>
        <v>S</v>
      </c>
      <c r="DM9" s="117" t="str">
        <f t="shared" si="28"/>
        <v>U</v>
      </c>
      <c r="DN9" s="117" t="str">
        <f t="shared" si="28"/>
        <v>U</v>
      </c>
      <c r="DO9" s="117" t="str">
        <f t="shared" si="28"/>
        <v>U</v>
      </c>
      <c r="DP9" s="117" t="str">
        <f t="shared" si="28"/>
        <v>U</v>
      </c>
      <c r="DQ9" s="3" t="str">
        <f t="shared" ref="DQ9:DX14" si="86">"S"</f>
        <v>S</v>
      </c>
      <c r="DR9" s="3" t="str">
        <f t="shared" si="86"/>
        <v>S</v>
      </c>
      <c r="DS9" s="3" t="str">
        <f t="shared" si="86"/>
        <v>S</v>
      </c>
      <c r="DT9" s="3" t="str">
        <f t="shared" si="86"/>
        <v>S</v>
      </c>
      <c r="DU9" s="3" t="str">
        <f t="shared" si="86"/>
        <v>S</v>
      </c>
      <c r="DV9" s="3" t="str">
        <f t="shared" si="86"/>
        <v>S</v>
      </c>
      <c r="DW9" s="3" t="str">
        <f t="shared" si="86"/>
        <v>S</v>
      </c>
      <c r="DX9" s="3" t="str">
        <f t="shared" si="86"/>
        <v>S</v>
      </c>
      <c r="DY9" s="117">
        <f t="shared" si="28"/>
        <v>29</v>
      </c>
      <c r="DZ9" s="117">
        <f t="shared" si="28"/>
        <v>0.25</v>
      </c>
      <c r="EA9" s="117">
        <f t="shared" si="28"/>
        <v>0.25</v>
      </c>
      <c r="EB9" s="117">
        <f t="shared" si="28"/>
        <v>3.9999999999999969</v>
      </c>
      <c r="EC9" s="117">
        <f t="shared" si="28"/>
        <v>1E-4</v>
      </c>
      <c r="ED9" s="117">
        <f t="shared" si="28"/>
        <v>1E-4</v>
      </c>
      <c r="EE9" s="117">
        <f t="shared" si="28"/>
        <v>0.25000000000000089</v>
      </c>
      <c r="EF9" s="117">
        <f t="shared" si="28"/>
        <v>1.5599999999999999E-2</v>
      </c>
      <c r="EG9" s="117" t="str">
        <f t="shared" ref="EG9:EL14" ca="1" si="87">EG$6</f>
        <v>U</v>
      </c>
      <c r="EH9" s="117" t="str">
        <f t="shared" ca="1" si="87"/>
        <v>S</v>
      </c>
      <c r="EI9" s="117" t="str">
        <f t="shared" ca="1" si="87"/>
        <v>U</v>
      </c>
      <c r="EJ9" s="117" t="str">
        <f t="shared" si="87"/>
        <v>S</v>
      </c>
      <c r="EK9" s="117" t="str">
        <f t="shared" ca="1" si="87"/>
        <v>U</v>
      </c>
      <c r="EL9" s="117" t="str">
        <f t="shared" ca="1" si="87"/>
        <v>S</v>
      </c>
      <c r="EM9" s="117">
        <f t="shared" si="28"/>
        <v>0.75</v>
      </c>
      <c r="EN9" s="117">
        <f t="shared" si="28"/>
        <v>0.19000000000423975</v>
      </c>
      <c r="EO9" s="117">
        <f t="shared" si="28"/>
        <v>0.62500000000001221</v>
      </c>
      <c r="EP9" s="117">
        <f t="shared" si="28"/>
        <v>1.5000000000000016</v>
      </c>
      <c r="EQ9" s="117">
        <f t="shared" si="28"/>
        <v>1.437500284744256</v>
      </c>
      <c r="ER9" s="117">
        <f t="shared" si="28"/>
        <v>0.5</v>
      </c>
      <c r="ES9" s="117" t="str">
        <f t="shared" ref="ES9:FF14" si="88">ES$6</f>
        <v>U</v>
      </c>
      <c r="ET9" s="117" t="str">
        <f t="shared" si="88"/>
        <v>U</v>
      </c>
      <c r="EU9" s="117" t="str">
        <f t="shared" si="88"/>
        <v>U</v>
      </c>
      <c r="EV9" s="117" t="str">
        <f t="shared" si="88"/>
        <v>U</v>
      </c>
      <c r="EW9" s="117" t="str">
        <f t="shared" si="88"/>
        <v>U</v>
      </c>
      <c r="EX9" s="117" t="str">
        <f t="shared" ca="1" si="30"/>
        <v>U</v>
      </c>
      <c r="EY9" s="117" t="str">
        <f t="shared" ca="1" si="30"/>
        <v>U</v>
      </c>
      <c r="EZ9" s="117" t="str">
        <f t="shared" ca="1" si="30"/>
        <v>U</v>
      </c>
      <c r="FA9" s="117" t="str">
        <f t="shared" ca="1" si="88"/>
        <v>U</v>
      </c>
      <c r="FB9" s="117" t="str">
        <f t="shared" ca="1" si="88"/>
        <v>U</v>
      </c>
      <c r="FC9" s="117" t="str">
        <f t="shared" ca="1" si="88"/>
        <v>U</v>
      </c>
      <c r="FD9" s="117" t="str">
        <f t="shared" ca="1" si="88"/>
        <v>U</v>
      </c>
      <c r="FE9" s="117" t="str">
        <f t="shared" ca="1" si="88"/>
        <v>U</v>
      </c>
      <c r="FF9" s="117" t="str">
        <f t="shared" ca="1" si="88"/>
        <v>U</v>
      </c>
      <c r="FG9" s="117">
        <f t="shared" ca="1" si="28"/>
        <v>48</v>
      </c>
      <c r="FH9" s="117" t="str">
        <f t="shared" si="31"/>
        <v>U</v>
      </c>
      <c r="FI9" s="117" t="str">
        <f t="shared" si="31"/>
        <v>S</v>
      </c>
      <c r="FJ9" s="3" t="str">
        <f t="shared" ref="FJ9:FW14" si="89">"S"</f>
        <v>S</v>
      </c>
      <c r="FK9" s="3" t="str">
        <f t="shared" si="89"/>
        <v>S</v>
      </c>
      <c r="FL9" s="309" t="str">
        <f t="shared" si="89"/>
        <v>S</v>
      </c>
      <c r="FM9" s="117" t="str">
        <f t="shared" ca="1" si="33"/>
        <v>U</v>
      </c>
      <c r="FN9" s="117" t="str">
        <f t="shared" ca="1" si="33"/>
        <v>U</v>
      </c>
      <c r="FO9" s="117">
        <f t="shared" ca="1" si="33"/>
        <v>48</v>
      </c>
      <c r="FP9" s="117">
        <f t="shared" ca="1" si="33"/>
        <v>16</v>
      </c>
      <c r="FQ9" s="310" t="str">
        <f t="shared" si="89"/>
        <v>S</v>
      </c>
      <c r="FR9" s="3" t="str">
        <f t="shared" si="89"/>
        <v>S</v>
      </c>
      <c r="FS9" s="3" t="str">
        <f t="shared" si="89"/>
        <v>S</v>
      </c>
      <c r="FT9" s="3" t="str">
        <f t="shared" si="89"/>
        <v>S</v>
      </c>
      <c r="FU9" s="3" t="str">
        <f t="shared" si="89"/>
        <v>S</v>
      </c>
      <c r="FV9" s="3" t="str">
        <f t="shared" si="89"/>
        <v>S</v>
      </c>
      <c r="FW9" s="3" t="str">
        <f t="shared" si="89"/>
        <v>S</v>
      </c>
      <c r="FX9" s="117" t="str">
        <f t="shared" si="36"/>
        <v>U</v>
      </c>
      <c r="FY9" s="117" t="str">
        <f t="shared" si="36"/>
        <v>U</v>
      </c>
      <c r="FZ9" s="117">
        <f t="shared" si="32"/>
        <v>27</v>
      </c>
      <c r="GA9" s="117">
        <f t="shared" si="32"/>
        <v>19</v>
      </c>
      <c r="GB9" s="117">
        <f t="shared" si="32"/>
        <v>10</v>
      </c>
      <c r="GC9" s="117">
        <f t="shared" si="32"/>
        <v>15.000000000000009</v>
      </c>
      <c r="GD9" s="117">
        <f t="shared" si="32"/>
        <v>1</v>
      </c>
      <c r="GE9" s="117">
        <f t="shared" si="32"/>
        <v>12.000000000000007</v>
      </c>
      <c r="GF9" s="117">
        <f t="shared" si="32"/>
        <v>1</v>
      </c>
      <c r="GG9" s="117">
        <f t="shared" si="32"/>
        <v>1</v>
      </c>
      <c r="GH9" s="117">
        <f t="shared" si="32"/>
        <v>12.000010000000007</v>
      </c>
      <c r="GI9" s="117" t="str">
        <f t="shared" ca="1" si="32"/>
        <v>U</v>
      </c>
      <c r="GJ9" s="117" t="str">
        <f t="shared" ca="1" si="32"/>
        <v>S</v>
      </c>
      <c r="GK9" s="117" t="str">
        <f t="shared" ca="1" si="32"/>
        <v>U</v>
      </c>
      <c r="GL9" s="117" t="str">
        <f t="shared" ca="1" si="32"/>
        <v>U</v>
      </c>
      <c r="GM9" s="117" t="str">
        <f t="shared" ca="1" si="32"/>
        <v>U</v>
      </c>
      <c r="GN9" s="117" t="str">
        <f t="shared" ca="1" si="32"/>
        <v>U</v>
      </c>
      <c r="GO9" s="117" t="str">
        <f t="shared" ca="1" si="32"/>
        <v>U</v>
      </c>
      <c r="GP9" s="117">
        <f t="shared" si="32"/>
        <v>1.0000000005663834E-5</v>
      </c>
      <c r="GQ9" s="117">
        <f t="shared" si="32"/>
        <v>5.9999999999999991</v>
      </c>
      <c r="GR9" s="117">
        <f t="shared" si="32"/>
        <v>1</v>
      </c>
      <c r="GS9" s="117">
        <f t="shared" si="32"/>
        <v>10</v>
      </c>
      <c r="GT9" s="117">
        <f t="shared" si="32"/>
        <v>15.000000000000009</v>
      </c>
      <c r="GU9" s="117">
        <f t="shared" si="32"/>
        <v>0</v>
      </c>
      <c r="GV9" s="117">
        <f t="shared" si="32"/>
        <v>6.0000000000000036</v>
      </c>
      <c r="GW9" s="117">
        <f t="shared" si="32"/>
        <v>1</v>
      </c>
      <c r="GX9" s="117">
        <f t="shared" si="32"/>
        <v>1</v>
      </c>
      <c r="GY9" s="117" t="str">
        <f t="shared" ca="1" si="32"/>
        <v>S</v>
      </c>
      <c r="GZ9" s="117">
        <f t="shared" si="32"/>
        <v>1.500010000000001</v>
      </c>
      <c r="HA9" s="117" t="str">
        <f t="shared" ca="1" si="32"/>
        <v>S</v>
      </c>
      <c r="HB9" s="117" t="str">
        <f t="shared" ca="1" si="32"/>
        <v>S</v>
      </c>
      <c r="HC9" s="117" t="str">
        <f t="shared" ca="1" si="32"/>
        <v>S</v>
      </c>
      <c r="HD9" s="117" t="str">
        <f t="shared" ca="1" si="32"/>
        <v>S</v>
      </c>
      <c r="HE9" s="117" t="str">
        <f t="shared" ca="1" si="32"/>
        <v>S</v>
      </c>
      <c r="HF9" s="208" t="str">
        <f t="shared" si="37"/>
        <v>Yes - Right Side</v>
      </c>
      <c r="HG9" s="117" t="str">
        <f t="shared" si="38"/>
        <v>S</v>
      </c>
      <c r="HH9" s="117" t="str">
        <f t="shared" si="38"/>
        <v>U</v>
      </c>
      <c r="HI9" s="117" t="str">
        <f t="shared" si="39"/>
        <v>U</v>
      </c>
      <c r="HJ9" s="3" t="str">
        <f t="shared" si="40"/>
        <v>S</v>
      </c>
      <c r="HK9" s="3" t="str">
        <f t="shared" si="40"/>
        <v>S</v>
      </c>
      <c r="HL9" s="117">
        <f t="shared" ca="1" si="32"/>
        <v>48</v>
      </c>
      <c r="HM9" s="117">
        <f t="shared" si="32"/>
        <v>3.9999999999999998E-6</v>
      </c>
      <c r="HN9" s="3" t="str">
        <f t="shared" si="41"/>
        <v>S</v>
      </c>
      <c r="HO9" s="117">
        <f t="shared" ca="1" si="32"/>
        <v>18</v>
      </c>
      <c r="HP9" s="117">
        <f t="shared" ca="1" si="32"/>
        <v>48.000003999999997</v>
      </c>
      <c r="HQ9" s="3" t="str">
        <f t="shared" si="42"/>
        <v>S</v>
      </c>
      <c r="HR9" s="3" t="str">
        <f t="shared" si="42"/>
        <v>S</v>
      </c>
      <c r="HS9" s="117">
        <f t="shared" ca="1" si="32"/>
        <v>359.99999600000001</v>
      </c>
      <c r="HT9" s="117">
        <f t="shared" ca="1" si="32"/>
        <v>23.999968000000024</v>
      </c>
      <c r="HU9" s="117">
        <f t="shared" ca="1" si="32"/>
        <v>23.999968000000024</v>
      </c>
      <c r="HV9" s="117">
        <f t="shared" ca="1" si="32"/>
        <v>3.9999373887056513</v>
      </c>
      <c r="HW9" s="117">
        <f t="shared" ca="1" si="32"/>
        <v>24</v>
      </c>
      <c r="HX9" s="117">
        <f t="shared" si="32"/>
        <v>388.8125</v>
      </c>
      <c r="HY9" s="117">
        <f t="shared" ca="1" si="32"/>
        <v>360.00000399999999</v>
      </c>
      <c r="HZ9" s="117">
        <f t="shared" ca="1" si="43"/>
        <v>3.9999373887056513</v>
      </c>
      <c r="IA9" s="117">
        <f t="shared" ca="1" si="43"/>
        <v>24.000035999999973</v>
      </c>
      <c r="IB9" s="3" t="str">
        <f t="shared" si="44"/>
        <v>S</v>
      </c>
      <c r="IC9" s="3" t="str">
        <f t="shared" si="44"/>
        <v>S</v>
      </c>
      <c r="ID9" s="117">
        <f t="shared" ca="1" si="32"/>
        <v>27.999905388705674</v>
      </c>
      <c r="IE9" s="3" t="str">
        <f t="shared" si="45"/>
        <v>S</v>
      </c>
      <c r="IF9" s="3" t="str">
        <f t="shared" si="45"/>
        <v>S</v>
      </c>
      <c r="IG9" s="3" t="str">
        <f t="shared" si="45"/>
        <v>S</v>
      </c>
      <c r="IH9" s="3" t="str">
        <f t="shared" si="45"/>
        <v>S</v>
      </c>
      <c r="II9" s="3" t="str">
        <f t="shared" si="45"/>
        <v>S</v>
      </c>
      <c r="IJ9" s="117">
        <f t="shared" ca="1" si="32"/>
        <v>23.999968000000024</v>
      </c>
      <c r="IK9" s="117">
        <f t="shared" ca="1" si="32"/>
        <v>3.9999373887056513</v>
      </c>
      <c r="IL9" s="3" t="str">
        <f t="shared" si="46"/>
        <v>S</v>
      </c>
      <c r="IM9" s="3" t="str">
        <f t="shared" si="46"/>
        <v>S</v>
      </c>
      <c r="IN9" s="3" t="str">
        <f t="shared" si="46"/>
        <v>S</v>
      </c>
      <c r="IO9" s="3" t="str">
        <f t="shared" si="46"/>
        <v>S</v>
      </c>
      <c r="IP9" s="3" t="str">
        <f t="shared" si="46"/>
        <v>S</v>
      </c>
      <c r="IQ9" s="3" t="str">
        <f t="shared" si="46"/>
        <v>S</v>
      </c>
      <c r="IR9" s="3" t="str">
        <f t="shared" si="46"/>
        <v>S</v>
      </c>
      <c r="IS9" s="3" t="str">
        <f t="shared" si="46"/>
        <v>S</v>
      </c>
      <c r="IT9" s="3" t="str">
        <f t="shared" si="46"/>
        <v>S</v>
      </c>
      <c r="IU9" s="3" t="str">
        <f t="shared" si="46"/>
        <v>S</v>
      </c>
      <c r="IV9" s="3" t="str">
        <f t="shared" si="46"/>
        <v>S</v>
      </c>
      <c r="IW9" s="3" t="str">
        <f t="shared" si="46"/>
        <v>S</v>
      </c>
      <c r="IX9" s="3" t="str">
        <f t="shared" si="46"/>
        <v>S</v>
      </c>
      <c r="IY9" s="117">
        <f t="shared" ca="1" si="47"/>
        <v>1</v>
      </c>
      <c r="IZ9" s="117">
        <f t="shared" ca="1" si="47"/>
        <v>3</v>
      </c>
      <c r="JA9" s="117">
        <f t="shared" ca="1" si="47"/>
        <v>9.9999999999999995E-7</v>
      </c>
      <c r="JB9" s="117">
        <f t="shared" ca="1" si="48"/>
        <v>1.0000000000000001E-5</v>
      </c>
      <c r="JC9" s="117">
        <f t="shared" ca="1" si="48"/>
        <v>1.0000000000000001E-5</v>
      </c>
      <c r="JD9" s="117" t="str">
        <f t="shared" ca="1" si="47"/>
        <v>S</v>
      </c>
      <c r="JE9" s="117" t="str">
        <f t="shared" ca="1" si="47"/>
        <v>S</v>
      </c>
      <c r="JF9" s="117" t="str">
        <f t="shared" ca="1" si="47"/>
        <v>S</v>
      </c>
      <c r="JG9" s="117" t="str">
        <f t="shared" ca="1" si="47"/>
        <v>S</v>
      </c>
      <c r="JH9" s="117" t="str">
        <f t="shared" ca="1" si="47"/>
        <v>S</v>
      </c>
      <c r="JI9" s="117">
        <f t="shared" si="47"/>
        <v>0.1046</v>
      </c>
      <c r="JJ9" s="199">
        <f t="shared" si="49"/>
        <v>0.39290028474001548</v>
      </c>
      <c r="JK9" s="117">
        <f t="shared" si="47"/>
        <v>0.51790028474001548</v>
      </c>
      <c r="JL9" s="117">
        <f t="shared" si="47"/>
        <v>0.5</v>
      </c>
      <c r="JM9" s="117">
        <f t="shared" si="47"/>
        <v>0.375</v>
      </c>
      <c r="JN9" s="117">
        <f t="shared" si="47"/>
        <v>0.375</v>
      </c>
      <c r="JO9" s="117">
        <f t="shared" si="47"/>
        <v>11.25</v>
      </c>
      <c r="JP9" s="117" t="str">
        <f t="shared" si="50"/>
        <v>S</v>
      </c>
      <c r="JQ9" s="117" t="str">
        <f t="shared" si="50"/>
        <v>S</v>
      </c>
      <c r="JR9" s="117" t="str">
        <f t="shared" si="50"/>
        <v>S</v>
      </c>
      <c r="JS9" s="117" t="str">
        <f t="shared" si="47"/>
        <v>U</v>
      </c>
      <c r="JT9" s="117" t="str">
        <f t="shared" si="47"/>
        <v>U</v>
      </c>
      <c r="JU9" s="117" t="str">
        <f t="shared" si="51"/>
        <v>S</v>
      </c>
      <c r="JV9" s="3" t="str">
        <f t="shared" ref="JV9:KM14" si="90">"S"</f>
        <v>S</v>
      </c>
      <c r="JW9" s="3" t="str">
        <f t="shared" si="90"/>
        <v>S</v>
      </c>
      <c r="JX9" s="3" t="str">
        <f t="shared" si="90"/>
        <v>S</v>
      </c>
      <c r="JY9" s="3" t="str">
        <f t="shared" si="90"/>
        <v>S</v>
      </c>
      <c r="JZ9" s="3" t="str">
        <f t="shared" si="90"/>
        <v>S</v>
      </c>
      <c r="KA9" s="3" t="str">
        <f t="shared" si="90"/>
        <v>S</v>
      </c>
      <c r="KB9" s="3" t="str">
        <f t="shared" si="90"/>
        <v>S</v>
      </c>
      <c r="KC9" s="3" t="str">
        <f t="shared" si="90"/>
        <v>S</v>
      </c>
      <c r="KD9" s="3" t="str">
        <f t="shared" si="90"/>
        <v>S</v>
      </c>
      <c r="KE9" s="3" t="str">
        <f t="shared" si="90"/>
        <v>S</v>
      </c>
      <c r="KF9" s="3" t="str">
        <f t="shared" si="90"/>
        <v>S</v>
      </c>
      <c r="KG9" s="3" t="str">
        <f t="shared" si="90"/>
        <v>S</v>
      </c>
      <c r="KH9" s="3" t="str">
        <f t="shared" si="90"/>
        <v>S</v>
      </c>
      <c r="KI9" s="3" t="str">
        <f t="shared" si="90"/>
        <v>S</v>
      </c>
      <c r="KJ9" s="3" t="str">
        <f t="shared" si="90"/>
        <v>S</v>
      </c>
      <c r="KK9" s="3" t="str">
        <f t="shared" si="90"/>
        <v>S</v>
      </c>
      <c r="KL9" s="3" t="str">
        <f t="shared" si="90"/>
        <v>S</v>
      </c>
      <c r="KM9" s="3" t="str">
        <f t="shared" si="90"/>
        <v>S</v>
      </c>
      <c r="KN9" s="117">
        <f t="shared" si="47"/>
        <v>1.0000000000000001E-5</v>
      </c>
      <c r="KO9" s="3" t="str">
        <f t="shared" ref="KO9:KO14" si="91">"S"</f>
        <v>S</v>
      </c>
      <c r="KP9" s="117" t="str">
        <f t="shared" si="47"/>
        <v>S</v>
      </c>
      <c r="KQ9" s="117" t="str">
        <f t="shared" si="47"/>
        <v>S</v>
      </c>
      <c r="KR9" s="117" t="str">
        <f t="shared" si="47"/>
        <v>S</v>
      </c>
      <c r="KS9" s="117" t="str">
        <f t="shared" si="47"/>
        <v>S</v>
      </c>
      <c r="KT9" s="117" t="str">
        <f t="shared" si="47"/>
        <v>S</v>
      </c>
      <c r="KU9" s="117" t="str">
        <f t="shared" si="47"/>
        <v>S</v>
      </c>
      <c r="KV9" s="117" t="str">
        <f t="shared" si="47"/>
        <v>S</v>
      </c>
      <c r="KW9" s="117">
        <f t="shared" si="47"/>
        <v>2</v>
      </c>
      <c r="KX9" s="117">
        <f t="shared" si="47"/>
        <v>3.0000000000000004</v>
      </c>
      <c r="KY9" s="117">
        <f t="shared" si="47"/>
        <v>0.25</v>
      </c>
      <c r="KZ9" s="117">
        <f t="shared" si="47"/>
        <v>0.3125</v>
      </c>
      <c r="LA9" s="117">
        <f t="shared" si="47"/>
        <v>0.25</v>
      </c>
      <c r="LB9" s="117">
        <f t="shared" si="47"/>
        <v>2.0000000000000001E-4</v>
      </c>
      <c r="LC9" s="3" t="str">
        <f t="shared" ref="LC9:LP14" si="92">"S"</f>
        <v>S</v>
      </c>
      <c r="LD9" s="3" t="str">
        <f t="shared" si="92"/>
        <v>S</v>
      </c>
      <c r="LE9" s="3" t="str">
        <f t="shared" si="92"/>
        <v>S</v>
      </c>
      <c r="LF9" s="3" t="str">
        <f t="shared" si="92"/>
        <v>S</v>
      </c>
      <c r="LG9" s="3" t="str">
        <f t="shared" si="92"/>
        <v>S</v>
      </c>
      <c r="LH9" s="3" t="str">
        <f t="shared" si="92"/>
        <v>S</v>
      </c>
      <c r="LI9" s="3" t="str">
        <f t="shared" si="92"/>
        <v>S</v>
      </c>
      <c r="LJ9" s="3" t="str">
        <f t="shared" si="92"/>
        <v>S</v>
      </c>
      <c r="LK9" s="3" t="str">
        <f t="shared" si="92"/>
        <v>S</v>
      </c>
      <c r="LL9" s="3" t="str">
        <f t="shared" si="92"/>
        <v>S</v>
      </c>
      <c r="LM9" s="3" t="str">
        <f t="shared" si="92"/>
        <v>S</v>
      </c>
      <c r="LN9" s="3" t="str">
        <f t="shared" si="92"/>
        <v>S</v>
      </c>
      <c r="LO9" s="3" t="str">
        <f t="shared" si="92"/>
        <v>S</v>
      </c>
      <c r="LP9" s="3" t="str">
        <f t="shared" si="92"/>
        <v>S</v>
      </c>
      <c r="LQ9" s="117">
        <f t="shared" si="52"/>
        <v>3.0000000000000004</v>
      </c>
      <c r="LR9" s="117">
        <f t="shared" si="52"/>
        <v>0.16999999999999998</v>
      </c>
      <c r="LS9" s="117">
        <f t="shared" si="52"/>
        <v>1.41</v>
      </c>
      <c r="LT9" s="117">
        <f t="shared" si="52"/>
        <v>0.27300000000000002</v>
      </c>
      <c r="LU9" s="117">
        <f t="shared" si="52"/>
        <v>0.27</v>
      </c>
      <c r="LV9" s="117">
        <f t="shared" si="52"/>
        <v>0.1</v>
      </c>
      <c r="LW9" s="117">
        <f t="shared" si="52"/>
        <v>9.4629999999999992</v>
      </c>
      <c r="LX9" s="117">
        <f t="shared" si="52"/>
        <v>8.4947435596928661E-2</v>
      </c>
      <c r="LY9" s="117">
        <f t="shared" si="52"/>
        <v>4.0999999999999996</v>
      </c>
      <c r="LZ9" s="3" t="str">
        <f t="shared" ref="LZ9" si="93">"S"</f>
        <v>S</v>
      </c>
      <c r="MA9" s="3" t="str">
        <f t="shared" ref="MA9:NC9" si="94">"S"</f>
        <v>S</v>
      </c>
      <c r="MB9" s="3" t="str">
        <f t="shared" si="94"/>
        <v>S</v>
      </c>
      <c r="MC9" s="3" t="str">
        <f t="shared" si="94"/>
        <v>S</v>
      </c>
      <c r="MD9" s="3" t="str">
        <f t="shared" si="94"/>
        <v>S</v>
      </c>
      <c r="ME9" s="3" t="str">
        <f t="shared" si="94"/>
        <v>S</v>
      </c>
      <c r="MF9" s="3" t="str">
        <f t="shared" si="94"/>
        <v>S</v>
      </c>
      <c r="MG9" s="3" t="str">
        <f t="shared" si="94"/>
        <v>S</v>
      </c>
      <c r="MH9" s="3" t="str">
        <f t="shared" si="94"/>
        <v>S</v>
      </c>
      <c r="MI9" s="3" t="str">
        <f t="shared" si="94"/>
        <v>S</v>
      </c>
      <c r="MJ9" s="3" t="str">
        <f t="shared" si="94"/>
        <v>S</v>
      </c>
      <c r="MK9" s="3" t="str">
        <f t="shared" si="94"/>
        <v>S</v>
      </c>
      <c r="ML9" s="3" t="str">
        <f t="shared" si="94"/>
        <v>S</v>
      </c>
      <c r="MM9" s="3" t="str">
        <f t="shared" si="94"/>
        <v>S</v>
      </c>
      <c r="MN9" s="3" t="str">
        <f t="shared" si="94"/>
        <v>S</v>
      </c>
      <c r="MO9" s="3" t="str">
        <f t="shared" si="94"/>
        <v>S</v>
      </c>
      <c r="MP9" s="3" t="str">
        <f t="shared" si="94"/>
        <v>S</v>
      </c>
      <c r="MQ9" s="3" t="str">
        <f t="shared" si="94"/>
        <v>S</v>
      </c>
      <c r="MR9" s="3" t="str">
        <f t="shared" si="94"/>
        <v>S</v>
      </c>
      <c r="MS9" s="3" t="str">
        <f t="shared" si="94"/>
        <v>S</v>
      </c>
      <c r="MT9" s="3" t="str">
        <f t="shared" si="94"/>
        <v>S</v>
      </c>
      <c r="MU9" s="3" t="str">
        <f t="shared" si="94"/>
        <v>S</v>
      </c>
      <c r="MV9" s="3" t="str">
        <f t="shared" si="94"/>
        <v>S</v>
      </c>
      <c r="MW9" s="3" t="str">
        <f t="shared" si="94"/>
        <v>S</v>
      </c>
      <c r="MX9" s="3" t="str">
        <f t="shared" si="94"/>
        <v>S</v>
      </c>
      <c r="MY9" s="3" t="str">
        <f t="shared" si="94"/>
        <v>S</v>
      </c>
      <c r="MZ9" s="3" t="str">
        <f t="shared" si="94"/>
        <v>S</v>
      </c>
      <c r="NA9" s="3" t="str">
        <f t="shared" si="94"/>
        <v>S</v>
      </c>
      <c r="NB9" s="3" t="str">
        <f t="shared" si="94"/>
        <v>S</v>
      </c>
      <c r="NC9" s="3" t="str">
        <f t="shared" si="94"/>
        <v>S</v>
      </c>
      <c r="ND9" s="3" t="str">
        <f>"S"</f>
        <v>S</v>
      </c>
      <c r="NE9" s="117">
        <f t="shared" ref="NE9:NE14" si="95">NE$6</f>
        <v>0</v>
      </c>
      <c r="NF9" s="117">
        <f t="shared" si="52"/>
        <v>1.0000000000000001E-5</v>
      </c>
      <c r="NG9" s="3" t="str">
        <f t="shared" ref="NG9:NN9" si="96">"S"</f>
        <v>S</v>
      </c>
      <c r="NH9" s="3" t="str">
        <f t="shared" si="96"/>
        <v>S</v>
      </c>
      <c r="NI9" s="3" t="str">
        <f t="shared" si="96"/>
        <v>S</v>
      </c>
      <c r="NJ9" s="3" t="str">
        <f t="shared" si="96"/>
        <v>S</v>
      </c>
      <c r="NK9" s="3" t="str">
        <f t="shared" si="96"/>
        <v>S</v>
      </c>
      <c r="NL9" s="3" t="str">
        <f t="shared" si="96"/>
        <v>S</v>
      </c>
      <c r="NM9" s="3" t="str">
        <f t="shared" si="96"/>
        <v>S</v>
      </c>
      <c r="NN9" s="3" t="str">
        <f t="shared" si="96"/>
        <v>S</v>
      </c>
      <c r="NO9" s="117">
        <f t="shared" si="52"/>
        <v>4</v>
      </c>
      <c r="NP9" s="117">
        <f t="shared" si="52"/>
        <v>6.0000000000000009</v>
      </c>
      <c r="NQ9" s="117">
        <f t="shared" si="52"/>
        <v>0.625</v>
      </c>
      <c r="NR9" s="117">
        <f t="shared" si="52"/>
        <v>0.5</v>
      </c>
      <c r="NS9" s="117">
        <f t="shared" si="52"/>
        <v>0.5</v>
      </c>
      <c r="NT9" s="117">
        <f t="shared" si="52"/>
        <v>0.12520000000000001</v>
      </c>
      <c r="NU9" s="265" t="str">
        <f t="shared" si="55"/>
        <v>S</v>
      </c>
      <c r="NV9" s="3" t="str">
        <f t="shared" ref="NV9:OD9" si="97">"S"</f>
        <v>S</v>
      </c>
      <c r="NW9" s="3" t="str">
        <f t="shared" si="97"/>
        <v>S</v>
      </c>
      <c r="NX9" s="3" t="str">
        <f t="shared" si="97"/>
        <v>S</v>
      </c>
      <c r="NY9" s="3" t="str">
        <f t="shared" si="97"/>
        <v>S</v>
      </c>
      <c r="NZ9" s="3" t="str">
        <f t="shared" si="97"/>
        <v>S</v>
      </c>
      <c r="OA9" s="3" t="str">
        <f t="shared" si="97"/>
        <v>S</v>
      </c>
      <c r="OB9" s="3" t="str">
        <f t="shared" si="97"/>
        <v>S</v>
      </c>
      <c r="OC9" s="3" t="str">
        <f t="shared" si="97"/>
        <v>S</v>
      </c>
      <c r="OD9" s="3" t="str">
        <f t="shared" si="97"/>
        <v>S</v>
      </c>
      <c r="OE9" s="117">
        <f t="shared" si="56"/>
        <v>3.0000000000000004</v>
      </c>
      <c r="OF9" s="117">
        <f t="shared" si="56"/>
        <v>0.16999999999999998</v>
      </c>
      <c r="OG9" s="117">
        <f t="shared" si="56"/>
        <v>1.41</v>
      </c>
      <c r="OH9" s="117">
        <f t="shared" si="56"/>
        <v>0.27300000000000002</v>
      </c>
      <c r="OI9" s="117">
        <f t="shared" si="56"/>
        <v>0.27</v>
      </c>
      <c r="OJ9" s="117">
        <f t="shared" si="56"/>
        <v>0.1</v>
      </c>
      <c r="OK9" s="117">
        <f t="shared" si="56"/>
        <v>9.4629999999999992</v>
      </c>
      <c r="OL9" s="117">
        <f t="shared" si="56"/>
        <v>8.4947435596928661E-2</v>
      </c>
      <c r="OM9" s="117">
        <f t="shared" si="56"/>
        <v>4.0999999999999996</v>
      </c>
      <c r="ON9" s="265" t="str">
        <f t="shared" si="58"/>
        <v>S</v>
      </c>
      <c r="OO9" s="3" t="str">
        <f t="shared" ref="OO9:OT14" si="98">"S"</f>
        <v>S</v>
      </c>
      <c r="OP9" s="3" t="str">
        <f t="shared" si="98"/>
        <v>S</v>
      </c>
      <c r="OQ9" s="3" t="str">
        <f t="shared" si="98"/>
        <v>S</v>
      </c>
      <c r="OR9" s="3" t="str">
        <f t="shared" si="98"/>
        <v>S</v>
      </c>
      <c r="OS9" s="3" t="str">
        <f t="shared" si="98"/>
        <v>S</v>
      </c>
      <c r="OT9" s="3" t="str">
        <f t="shared" si="98"/>
        <v>S</v>
      </c>
      <c r="OU9" s="117">
        <f t="shared" si="56"/>
        <v>22.352885682963269</v>
      </c>
      <c r="OV9" s="117">
        <f t="shared" si="56"/>
        <v>1.5625</v>
      </c>
      <c r="OW9" s="117">
        <f t="shared" si="56"/>
        <v>2</v>
      </c>
      <c r="OX9" s="117">
        <f t="shared" ca="1" si="56"/>
        <v>1.0000000000000001E-5</v>
      </c>
      <c r="OY9" s="117" t="str">
        <f t="shared" ca="1" si="56"/>
        <v>S</v>
      </c>
      <c r="OZ9" s="117" t="str">
        <f t="shared" ca="1" si="56"/>
        <v>S</v>
      </c>
      <c r="PA9" s="117" t="str">
        <f t="shared" ca="1" si="56"/>
        <v>S</v>
      </c>
      <c r="PB9" s="117" t="str">
        <f t="shared" ca="1" si="56"/>
        <v>S</v>
      </c>
      <c r="PC9" s="117">
        <f t="shared" si="60"/>
        <v>1.0000006859324079E-6</v>
      </c>
      <c r="PD9" s="117">
        <f t="shared" si="60"/>
        <v>1.0000000313816476E-6</v>
      </c>
      <c r="PE9" s="117">
        <f t="shared" si="61"/>
        <v>9.9999936016657661E-7</v>
      </c>
      <c r="PF9" s="117">
        <f t="shared" si="61"/>
        <v>9.9999997677932015E-7</v>
      </c>
      <c r="PG9" s="3" t="str">
        <f t="shared" ref="PG9:PJ14" si="99">"S"</f>
        <v>S</v>
      </c>
      <c r="PH9" s="3" t="str">
        <f t="shared" si="99"/>
        <v>S</v>
      </c>
      <c r="PI9" s="3" t="str">
        <f t="shared" si="99"/>
        <v>S</v>
      </c>
      <c r="PJ9" s="3" t="str">
        <f t="shared" si="99"/>
        <v>S</v>
      </c>
      <c r="PK9" s="117" t="str">
        <f t="shared" si="56"/>
        <v>Teflon, 2.5 x 2.5</v>
      </c>
      <c r="PL9" s="117" t="str">
        <f t="shared" si="56"/>
        <v>Teflon, 2.5 x 2.5</v>
      </c>
      <c r="PM9" s="117">
        <f t="shared" si="62"/>
        <v>0</v>
      </c>
      <c r="PN9" s="117" t="str">
        <f t="shared" si="56"/>
        <v>Teflon, 2.5 x 2.5</v>
      </c>
      <c r="PO9" s="117" t="str">
        <f t="shared" si="56"/>
        <v>Teflon, 2.5 x 2.5</v>
      </c>
      <c r="PP9" s="117">
        <f t="shared" si="63"/>
        <v>0</v>
      </c>
      <c r="PQ9" s="117">
        <f t="shared" si="56"/>
        <v>0.125</v>
      </c>
      <c r="PR9" s="117">
        <f t="shared" si="56"/>
        <v>0.125</v>
      </c>
      <c r="PS9" s="117">
        <f t="shared" si="64"/>
        <v>0.125</v>
      </c>
      <c r="PT9" s="117">
        <f t="shared" si="64"/>
        <v>0.125</v>
      </c>
      <c r="PU9" s="117" t="str">
        <f t="shared" si="56"/>
        <v>S</v>
      </c>
      <c r="PV9" s="117" t="str">
        <f t="shared" si="65"/>
        <v>S</v>
      </c>
      <c r="PW9" s="117" t="str">
        <f t="shared" si="56"/>
        <v>S</v>
      </c>
      <c r="PX9" s="117" t="str">
        <f t="shared" si="56"/>
        <v>S</v>
      </c>
      <c r="PY9" s="117" t="str">
        <f t="shared" si="66"/>
        <v>S</v>
      </c>
      <c r="PZ9" s="117" t="str">
        <f t="shared" si="56"/>
        <v>S</v>
      </c>
      <c r="QA9" s="117" t="str">
        <f t="shared" si="56"/>
        <v>S</v>
      </c>
      <c r="QB9" s="117" t="str">
        <f t="shared" si="56"/>
        <v>S</v>
      </c>
      <c r="QC9" s="3" t="str">
        <f t="shared" si="67"/>
        <v>S</v>
      </c>
      <c r="QD9" s="3" t="str">
        <f t="shared" si="67"/>
        <v>S</v>
      </c>
      <c r="QE9" s="3" t="str">
        <f>"S"</f>
        <v>S</v>
      </c>
      <c r="QF9" s="117">
        <f t="shared" ca="1" si="56"/>
        <v>3</v>
      </c>
      <c r="QG9" s="117">
        <f t="shared" ca="1" si="56"/>
        <v>1.5</v>
      </c>
      <c r="QH9" s="117">
        <f t="shared" ca="1" si="56"/>
        <v>1</v>
      </c>
      <c r="QI9" s="117">
        <f t="shared" ca="1" si="56"/>
        <v>3</v>
      </c>
      <c r="QJ9" s="117" t="str">
        <f t="shared" ca="1" si="56"/>
        <v>S</v>
      </c>
      <c r="QK9" s="117" t="str">
        <f t="shared" si="56"/>
        <v>S</v>
      </c>
      <c r="QL9" s="117" t="str">
        <f t="shared" si="56"/>
        <v>S</v>
      </c>
      <c r="QM9" s="117" t="str">
        <f t="shared" si="56"/>
        <v>S</v>
      </c>
      <c r="QN9" s="3" t="str">
        <f>"S"</f>
        <v>S</v>
      </c>
      <c r="QO9" s="3" t="str">
        <f>"S"</f>
        <v>S</v>
      </c>
      <c r="QP9" s="117" t="str">
        <f t="shared" ref="QP9:RC9" ca="1" si="100">QP$6</f>
        <v>S</v>
      </c>
      <c r="QQ9" s="3" t="str">
        <f t="shared" ref="QQ9:QS10" si="101">"S"</f>
        <v>S</v>
      </c>
      <c r="QR9" s="3" t="str">
        <f t="shared" si="101"/>
        <v>S</v>
      </c>
      <c r="QS9" s="3" t="str">
        <f t="shared" si="101"/>
        <v>S</v>
      </c>
      <c r="QT9" s="183" t="str">
        <f t="shared" ca="1" si="100"/>
        <v>S</v>
      </c>
      <c r="QU9" s="117" t="str">
        <f t="shared" ca="1" si="100"/>
        <v>U</v>
      </c>
      <c r="QV9" s="117" t="str">
        <f t="shared" ca="1" si="100"/>
        <v>U</v>
      </c>
      <c r="QW9" s="117" t="str">
        <f t="shared" ca="1" si="100"/>
        <v>U</v>
      </c>
      <c r="QX9" s="3" t="str">
        <f>"S"</f>
        <v>S</v>
      </c>
      <c r="QY9" s="3" t="str">
        <f>"S"</f>
        <v>S</v>
      </c>
      <c r="QZ9" s="3" t="str">
        <f>"S"</f>
        <v>S</v>
      </c>
      <c r="RA9" s="117" t="str">
        <f t="shared" ca="1" si="100"/>
        <v>S</v>
      </c>
      <c r="RB9" s="117" t="str">
        <f t="shared" ca="1" si="100"/>
        <v>S</v>
      </c>
      <c r="RC9" s="117" t="str">
        <f t="shared" ca="1" si="100"/>
        <v>S</v>
      </c>
      <c r="RD9" s="117">
        <f t="shared" si="56"/>
        <v>2</v>
      </c>
      <c r="RE9" s="117">
        <f t="shared" si="56"/>
        <v>3.0000000000000004</v>
      </c>
      <c r="RF9" s="117">
        <f t="shared" si="56"/>
        <v>0.18750000000000003</v>
      </c>
      <c r="RG9" s="117">
        <f t="shared" si="56"/>
        <v>0.3125</v>
      </c>
      <c r="RH9" s="117">
        <f t="shared" si="56"/>
        <v>0.18750000000000003</v>
      </c>
      <c r="RI9" s="117">
        <f t="shared" si="56"/>
        <v>2.0000000000000001E-4</v>
      </c>
      <c r="RJ9" s="117" t="str">
        <f t="shared" ref="RJ9:RQ10" si="102">RJ$6</f>
        <v>S</v>
      </c>
      <c r="RK9" s="117" t="str">
        <f t="shared" si="102"/>
        <v>S</v>
      </c>
      <c r="RL9" s="117" t="str">
        <f t="shared" si="102"/>
        <v>S</v>
      </c>
      <c r="RM9" s="117" t="str">
        <f t="shared" si="102"/>
        <v>S</v>
      </c>
      <c r="RN9" s="117" t="str">
        <f t="shared" si="102"/>
        <v>S</v>
      </c>
      <c r="RO9" s="117" t="str">
        <f t="shared" si="102"/>
        <v>S</v>
      </c>
      <c r="RP9" s="117" t="str">
        <f t="shared" ca="1" si="102"/>
        <v>S</v>
      </c>
      <c r="RQ9" s="117" t="str">
        <f t="shared" ca="1" si="102"/>
        <v>S</v>
      </c>
      <c r="RR9" s="117" t="str">
        <f t="shared" ref="RR9:RZ9" ca="1" si="103">RR$6</f>
        <v>S</v>
      </c>
      <c r="RS9" s="117" t="str">
        <f t="shared" ca="1" si="103"/>
        <v>S</v>
      </c>
      <c r="RT9" s="117" t="str">
        <f t="shared" ca="1" si="103"/>
        <v>S</v>
      </c>
      <c r="RU9" s="117" t="str">
        <f t="shared" ca="1" si="103"/>
        <v>S</v>
      </c>
      <c r="RV9" s="3" t="str">
        <f>"S"</f>
        <v>S</v>
      </c>
      <c r="RW9" s="3" t="str">
        <f>"S"</f>
        <v>S</v>
      </c>
      <c r="RX9" s="117" t="str">
        <f t="shared" ca="1" si="103"/>
        <v>S</v>
      </c>
      <c r="RY9" s="117" t="str">
        <f t="shared" ca="1" si="103"/>
        <v>S</v>
      </c>
      <c r="RZ9" s="117" t="str">
        <f t="shared" ca="1" si="103"/>
        <v>S</v>
      </c>
      <c r="SA9" s="117">
        <f t="shared" si="73"/>
        <v>3.0000000000000004</v>
      </c>
      <c r="SB9" s="117">
        <f t="shared" si="73"/>
        <v>0.16999999999999998</v>
      </c>
      <c r="SC9" s="117">
        <f t="shared" si="73"/>
        <v>1.41</v>
      </c>
      <c r="SD9" s="117">
        <f t="shared" si="73"/>
        <v>0.27300000000000002</v>
      </c>
      <c r="SE9" s="117">
        <f t="shared" si="73"/>
        <v>0.27</v>
      </c>
      <c r="SF9" s="117">
        <f t="shared" si="73"/>
        <v>0.1</v>
      </c>
      <c r="SG9" s="117">
        <f t="shared" si="73"/>
        <v>9.4629999999999992</v>
      </c>
      <c r="SH9" s="117">
        <f t="shared" si="73"/>
        <v>8.4947435596928661E-2</v>
      </c>
      <c r="SI9" s="117">
        <f t="shared" si="73"/>
        <v>4.0999999999999996</v>
      </c>
      <c r="SJ9" s="117" t="str">
        <f t="shared" si="73"/>
        <v>S</v>
      </c>
      <c r="SK9" s="117" t="str">
        <f t="shared" si="73"/>
        <v>S</v>
      </c>
      <c r="SL9" s="117" t="str">
        <f t="shared" si="73"/>
        <v>S</v>
      </c>
      <c r="SM9" s="117" t="str">
        <f t="shared" si="73"/>
        <v>S</v>
      </c>
      <c r="SN9" s="117" t="str">
        <f t="shared" si="73"/>
        <v>S</v>
      </c>
      <c r="SO9" s="117" t="str">
        <f t="shared" si="73"/>
        <v>S</v>
      </c>
      <c r="SP9" s="117" t="str">
        <f t="shared" ca="1" si="73"/>
        <v>S</v>
      </c>
      <c r="SQ9" s="117" t="str">
        <f t="shared" ca="1" si="73"/>
        <v>S</v>
      </c>
      <c r="SR9" s="117" t="str">
        <f>SR$6</f>
        <v>S</v>
      </c>
      <c r="SS9" s="117">
        <f t="shared" si="73"/>
        <v>1.5000000000000002</v>
      </c>
      <c r="ST9" s="117">
        <f t="shared" si="73"/>
        <v>1.5000000000000002</v>
      </c>
      <c r="SU9" s="117">
        <f t="shared" si="73"/>
        <v>0.5</v>
      </c>
      <c r="SV9" s="117">
        <f t="shared" si="73"/>
        <v>0.5</v>
      </c>
      <c r="SW9" s="117" t="str">
        <f t="shared" ca="1" si="73"/>
        <v>S</v>
      </c>
      <c r="SX9" s="117" t="str">
        <f t="shared" ca="1" si="73"/>
        <v>S</v>
      </c>
      <c r="SY9" s="117" t="str">
        <f t="shared" ca="1" si="73"/>
        <v>S</v>
      </c>
      <c r="SZ9" s="117" t="str">
        <f t="shared" ca="1" si="73"/>
        <v>S</v>
      </c>
      <c r="TA9" s="3" t="str">
        <f>"S"</f>
        <v>S</v>
      </c>
      <c r="TB9" s="3" t="str">
        <f>"S"</f>
        <v>S</v>
      </c>
      <c r="TC9" s="117" t="str">
        <f t="shared" ca="1" si="73"/>
        <v>S</v>
      </c>
      <c r="TD9" s="117" t="str">
        <f t="shared" ca="1" si="73"/>
        <v>S</v>
      </c>
      <c r="TE9" s="117" t="str">
        <f t="shared" ca="1" si="73"/>
        <v>S</v>
      </c>
      <c r="TF9" s="117">
        <f t="shared" si="73"/>
        <v>3</v>
      </c>
      <c r="TG9" s="117">
        <f t="shared" si="73"/>
        <v>5.7</v>
      </c>
      <c r="TH9" s="117">
        <f t="shared" si="73"/>
        <v>3.0000000000000004</v>
      </c>
      <c r="TI9" s="117">
        <f t="shared" si="73"/>
        <v>0.16999999999999998</v>
      </c>
      <c r="TJ9" s="117">
        <f t="shared" si="73"/>
        <v>2.33</v>
      </c>
      <c r="TK9" s="117">
        <f t="shared" si="73"/>
        <v>0.26</v>
      </c>
      <c r="TL9" s="117">
        <f t="shared" si="73"/>
        <v>0.27</v>
      </c>
      <c r="TM9" s="117">
        <f t="shared" si="73"/>
        <v>0.1</v>
      </c>
      <c r="TN9" s="117">
        <f t="shared" si="73"/>
        <v>9.4630000000000312</v>
      </c>
      <c r="TO9" s="117">
        <f t="shared" si="73"/>
        <v>1.8425437273624747</v>
      </c>
      <c r="TP9" s="117" t="str">
        <f t="shared" ca="1" si="73"/>
        <v>S</v>
      </c>
      <c r="TQ9" s="117" t="str">
        <f t="shared" ca="1" si="73"/>
        <v>S</v>
      </c>
      <c r="TR9" s="117" t="str">
        <f t="shared" ca="1" si="73"/>
        <v>S</v>
      </c>
      <c r="TS9" s="117" t="str">
        <f t="shared" ca="1" si="73"/>
        <v>S</v>
      </c>
      <c r="TT9" s="3" t="str">
        <f>"S"</f>
        <v>S</v>
      </c>
      <c r="TU9" s="3" t="str">
        <f>"S"</f>
        <v>S</v>
      </c>
      <c r="TV9" s="117" t="str">
        <f t="shared" ca="1" si="73"/>
        <v>S</v>
      </c>
      <c r="TW9" s="117" t="str">
        <f t="shared" ca="1" si="73"/>
        <v>S</v>
      </c>
      <c r="TX9" s="117" t="str">
        <f t="shared" ca="1" si="73"/>
        <v>S</v>
      </c>
      <c r="TY9" s="117">
        <f t="shared" si="73"/>
        <v>4</v>
      </c>
      <c r="TZ9" s="117">
        <f t="shared" si="73"/>
        <v>13</v>
      </c>
      <c r="UA9" s="117">
        <f t="shared" si="73"/>
        <v>4.16</v>
      </c>
      <c r="UB9" s="117">
        <f t="shared" si="73"/>
        <v>0.28000000000000003</v>
      </c>
      <c r="UC9" s="117">
        <f t="shared" si="73"/>
        <v>4.0599999999999996</v>
      </c>
      <c r="UD9" s="117">
        <f t="shared" si="73"/>
        <v>0.34499999999999992</v>
      </c>
      <c r="UE9" s="117">
        <f t="shared" si="73"/>
        <v>0.25</v>
      </c>
      <c r="UF9" s="117" t="str">
        <f t="shared" ca="1" si="73"/>
        <v>U</v>
      </c>
      <c r="UG9" s="117" t="str">
        <f t="shared" ca="1" si="73"/>
        <v>U</v>
      </c>
      <c r="UH9" s="117" t="str">
        <f t="shared" ca="1" si="73"/>
        <v>U</v>
      </c>
      <c r="UI9" s="117" t="str">
        <f t="shared" ca="1" si="73"/>
        <v>U</v>
      </c>
      <c r="UJ9" s="117" t="s">
        <v>1205</v>
      </c>
      <c r="UK9" s="3" t="str">
        <f t="shared" ref="UK9:UQ14" si="104">"S"</f>
        <v>S</v>
      </c>
      <c r="UL9" s="3" t="str">
        <f t="shared" si="104"/>
        <v>S</v>
      </c>
      <c r="UM9" s="3" t="str">
        <f t="shared" si="104"/>
        <v>S</v>
      </c>
      <c r="UN9" s="3" t="str">
        <f t="shared" si="104"/>
        <v>S</v>
      </c>
      <c r="UO9" s="3" t="str">
        <f t="shared" si="104"/>
        <v>S</v>
      </c>
      <c r="UP9" s="3" t="str">
        <f t="shared" si="104"/>
        <v>S</v>
      </c>
      <c r="UQ9" s="3" t="str">
        <f t="shared" si="104"/>
        <v>S</v>
      </c>
      <c r="UR9" s="117">
        <f t="shared" si="73"/>
        <v>1</v>
      </c>
      <c r="US9" s="117">
        <f t="shared" si="73"/>
        <v>2</v>
      </c>
      <c r="UT9" s="117">
        <f t="shared" si="73"/>
        <v>500</v>
      </c>
      <c r="UU9" s="117" t="str">
        <f t="shared" si="73"/>
        <v>S</v>
      </c>
      <c r="UV9" s="3" t="str">
        <f t="shared" ref="UV9:UZ14" si="105">"S"</f>
        <v>S</v>
      </c>
      <c r="UW9" s="3" t="str">
        <f t="shared" si="105"/>
        <v>S</v>
      </c>
      <c r="UX9" s="3" t="str">
        <f t="shared" si="105"/>
        <v>S</v>
      </c>
      <c r="UY9" s="3" t="str">
        <f t="shared" si="105"/>
        <v>S</v>
      </c>
      <c r="UZ9" s="3" t="str">
        <f t="shared" si="105"/>
        <v>S</v>
      </c>
      <c r="VA9" s="121" t="str">
        <f t="shared" ref="VA9:VH14" si="106">"S"</f>
        <v>S</v>
      </c>
      <c r="VB9" s="121" t="str">
        <f t="shared" si="106"/>
        <v>S</v>
      </c>
      <c r="VC9" s="3" t="str">
        <f>"U"</f>
        <v>U</v>
      </c>
      <c r="VD9" s="121" t="str">
        <f t="shared" si="106"/>
        <v>S</v>
      </c>
      <c r="VE9" s="121" t="str">
        <f t="shared" si="106"/>
        <v>S</v>
      </c>
      <c r="VF9" s="121" t="str">
        <f t="shared" si="106"/>
        <v>S</v>
      </c>
      <c r="VG9" s="121" t="str">
        <f t="shared" si="106"/>
        <v>S</v>
      </c>
      <c r="VH9" s="121" t="str">
        <f t="shared" si="106"/>
        <v>S</v>
      </c>
      <c r="VI9" s="117" t="str">
        <f t="shared" si="79"/>
        <v>3</v>
      </c>
      <c r="VJ9" s="117" t="str">
        <f t="shared" si="73"/>
        <v>.3</v>
      </c>
      <c r="VK9" s="117">
        <f t="shared" si="73"/>
        <v>3</v>
      </c>
      <c r="VL9" s="117" t="str">
        <f t="shared" si="73"/>
        <v>3-SEC</v>
      </c>
      <c r="VM9" s="121" t="str">
        <f>CONCATENATE($C$2,$D$2,"-BTS")</f>
        <v>3-BTS</v>
      </c>
      <c r="VN9" s="117" t="s">
        <v>938</v>
      </c>
      <c r="VO9" s="117" t="str">
        <f t="shared" si="73"/>
        <v>000000</v>
      </c>
      <c r="VP9" s="410">
        <f t="shared" si="80"/>
        <v>5</v>
      </c>
      <c r="VQ9" s="410">
        <f t="shared" si="80"/>
        <v>5</v>
      </c>
      <c r="VR9" s="410">
        <f t="shared" si="80"/>
        <v>0.125</v>
      </c>
      <c r="VS9" s="410">
        <f t="shared" si="80"/>
        <v>1.125</v>
      </c>
      <c r="VT9" s="410">
        <f t="shared" si="80"/>
        <v>3.5</v>
      </c>
      <c r="VX9" s="117" t="str">
        <f t="shared" si="81"/>
        <v>3-SEC</v>
      </c>
    </row>
    <row r="10" spans="1:597" s="3" customFormat="1" ht="14.4" hidden="1" outlineLevel="1" x14ac:dyDescent="0.3">
      <c r="A10" s="123" t="str">
        <f ca="1">IF(AND(ProductLine="Hammco",BTS_Con_Type="Bolt On",Mid_Air_Seal_Con_Type="Weld On"),"BTS-M","$User_Notes")</f>
        <v>$User_Notes</v>
      </c>
      <c r="B10" s="117" t="str">
        <f t="shared" si="82"/>
        <v>AXC</v>
      </c>
      <c r="C10" s="117">
        <f t="shared" si="85"/>
        <v>65</v>
      </c>
      <c r="D10" s="117">
        <f t="shared" si="85"/>
        <v>780</v>
      </c>
      <c r="E10" s="117">
        <f t="shared" si="85"/>
        <v>0.125</v>
      </c>
      <c r="F10" s="117">
        <f t="shared" si="85"/>
        <v>6.25E-2</v>
      </c>
      <c r="G10" s="117">
        <f t="shared" si="85"/>
        <v>777.625</v>
      </c>
      <c r="H10" s="117" t="str">
        <f t="shared" si="85"/>
        <v>MC12x10.6</v>
      </c>
      <c r="I10" s="117" t="str">
        <f t="shared" si="85"/>
        <v>AXC materials:SA-36</v>
      </c>
      <c r="J10" s="117" t="str">
        <f t="shared" si="85"/>
        <v>Galvanized</v>
      </c>
      <c r="K10" s="117" t="str">
        <f t="shared" si="85"/>
        <v>Bolt on Angle</v>
      </c>
      <c r="L10" s="117" t="str">
        <f t="shared" si="19"/>
        <v>EH\VV\VI_</v>
      </c>
      <c r="M10" s="117">
        <f t="shared" ca="1" si="85"/>
        <v>16</v>
      </c>
      <c r="N10" s="117">
        <f t="shared" ca="1" si="20"/>
        <v>48</v>
      </c>
      <c r="O10" s="117">
        <f t="shared" ca="1" si="85"/>
        <v>30</v>
      </c>
      <c r="P10" s="117" t="str">
        <f t="shared" si="85"/>
        <v>Yes - Rear HDR</v>
      </c>
      <c r="Q10" s="117">
        <f t="shared" si="85"/>
        <v>3.9999333887056512</v>
      </c>
      <c r="R10" s="117" t="str">
        <f t="shared" si="85"/>
        <v>Angle</v>
      </c>
      <c r="S10" s="117" t="str">
        <f t="shared" si="85"/>
        <v>L2x3x0.1875</v>
      </c>
      <c r="T10" s="117" t="str">
        <f t="shared" si="85"/>
        <v>Weld On</v>
      </c>
      <c r="U10" s="117" t="str">
        <f t="shared" si="21"/>
        <v>Yes</v>
      </c>
      <c r="V10" s="117" t="str">
        <f t="shared" si="85"/>
        <v>Yes</v>
      </c>
      <c r="W10" s="117">
        <f t="shared" ref="W10:CP10" si="107">W$6</f>
        <v>15</v>
      </c>
      <c r="X10" s="117">
        <f t="shared" si="107"/>
        <v>0</v>
      </c>
      <c r="Y10" s="117">
        <f t="shared" si="22"/>
        <v>0</v>
      </c>
      <c r="Z10" s="117" t="str">
        <f t="shared" si="22"/>
        <v>STD</v>
      </c>
      <c r="AA10" s="117" t="str">
        <f t="shared" si="107"/>
        <v>No</v>
      </c>
      <c r="AB10" s="117" t="str">
        <f t="shared" si="23"/>
        <v>OFF</v>
      </c>
      <c r="AC10" s="117" t="str">
        <f t="shared" si="107"/>
        <v>Yes</v>
      </c>
      <c r="AD10" s="117" t="str">
        <f t="shared" si="24"/>
        <v>AXC Weld On</v>
      </c>
      <c r="AE10" s="117" t="str">
        <f t="shared" si="24"/>
        <v>Outside</v>
      </c>
      <c r="AF10" s="117" t="str">
        <f t="shared" si="107"/>
        <v>0.5"</v>
      </c>
      <c r="AG10" s="117">
        <f t="shared" si="107"/>
        <v>278.125</v>
      </c>
      <c r="AH10" s="117">
        <f t="shared" si="107"/>
        <v>249.75</v>
      </c>
      <c r="AI10" s="117">
        <f t="shared" si="107"/>
        <v>0.5</v>
      </c>
      <c r="AJ10" s="117">
        <f t="shared" si="25"/>
        <v>4</v>
      </c>
      <c r="AK10" s="117">
        <f t="shared" si="25"/>
        <v>500</v>
      </c>
      <c r="AL10" s="117" t="str">
        <f t="shared" si="107"/>
        <v>None</v>
      </c>
      <c r="AM10" s="117" t="str">
        <f t="shared" si="107"/>
        <v>Pick from List</v>
      </c>
      <c r="AN10" s="117" t="str">
        <f t="shared" si="107"/>
        <v>None</v>
      </c>
      <c r="AO10" s="117" t="str">
        <f t="shared" si="107"/>
        <v>None</v>
      </c>
      <c r="AP10" s="117" t="str">
        <f t="shared" si="107"/>
        <v>None</v>
      </c>
      <c r="AQ10" s="117" t="str">
        <f t="shared" si="107"/>
        <v>L4x6x0.625</v>
      </c>
      <c r="AR10" s="117" t="str">
        <f t="shared" si="107"/>
        <v>Bolt on</v>
      </c>
      <c r="AS10" s="117" t="str">
        <f t="shared" si="107"/>
        <v>Yes</v>
      </c>
      <c r="AT10" s="117" t="str">
        <f t="shared" ca="1" si="107"/>
        <v>Bolt On</v>
      </c>
      <c r="AU10" s="164">
        <f t="shared" ca="1" si="26"/>
        <v>16</v>
      </c>
      <c r="AV10" s="117">
        <f t="shared" si="26"/>
        <v>0</v>
      </c>
      <c r="AW10" s="117">
        <f t="shared" si="26"/>
        <v>0</v>
      </c>
      <c r="AX10" s="117">
        <f t="shared" si="26"/>
        <v>6.25E-2</v>
      </c>
      <c r="AY10" s="164">
        <f t="shared" si="26"/>
        <v>21.915385672961552</v>
      </c>
      <c r="AZ10" s="117">
        <f t="shared" si="26"/>
        <v>1.5625</v>
      </c>
      <c r="BA10" s="117">
        <f t="shared" si="26"/>
        <v>2</v>
      </c>
      <c r="BB10" s="117">
        <f t="shared" si="26"/>
        <v>21.915385672961648</v>
      </c>
      <c r="BC10" s="117">
        <f t="shared" si="26"/>
        <v>1.5625</v>
      </c>
      <c r="BD10" s="117">
        <f t="shared" si="26"/>
        <v>2</v>
      </c>
      <c r="BE10" s="164">
        <f t="shared" si="27"/>
        <v>0.6250000000043382</v>
      </c>
      <c r="BF10" s="117">
        <f t="shared" si="27"/>
        <v>1.0937500000075919</v>
      </c>
      <c r="BG10" s="117">
        <f t="shared" si="27"/>
        <v>2</v>
      </c>
      <c r="BH10" s="117">
        <f t="shared" si="27"/>
        <v>0.62500000000430156</v>
      </c>
      <c r="BI10" s="117">
        <f t="shared" si="27"/>
        <v>1.0937500000075278</v>
      </c>
      <c r="BJ10" s="117">
        <f t="shared" si="27"/>
        <v>2</v>
      </c>
      <c r="BK10" s="117">
        <f t="shared" si="19"/>
        <v>1.9999999999999956</v>
      </c>
      <c r="BL10" s="117" t="str">
        <f t="shared" si="107"/>
        <v>Weld Bar</v>
      </c>
      <c r="BM10" s="117">
        <f t="shared" si="19"/>
        <v>0.99999999999999589</v>
      </c>
      <c r="BN10" s="117" t="str">
        <f t="shared" si="107"/>
        <v>Float Bar</v>
      </c>
      <c r="BO10" s="117">
        <f t="shared" si="19"/>
        <v>5</v>
      </c>
      <c r="BP10" s="117" t="str">
        <f t="shared" si="107"/>
        <v>MC12x10.6</v>
      </c>
      <c r="BQ10" s="117" t="str">
        <f t="shared" si="107"/>
        <v>U</v>
      </c>
      <c r="BR10" s="117" t="str">
        <f t="shared" si="107"/>
        <v>S</v>
      </c>
      <c r="BS10" s="117">
        <f t="shared" si="19"/>
        <v>31.374999284744241</v>
      </c>
      <c r="BT10" s="117">
        <f t="shared" si="19"/>
        <v>29.000000000000004</v>
      </c>
      <c r="BU10" s="117">
        <f t="shared" si="19"/>
        <v>3.9999999999999969</v>
      </c>
      <c r="BV10" s="117">
        <f t="shared" si="19"/>
        <v>0.25000000000000089</v>
      </c>
      <c r="BW10" s="117">
        <f t="shared" si="19"/>
        <v>9.9999999999269527E-6</v>
      </c>
      <c r="BX10" s="117">
        <f t="shared" si="107"/>
        <v>1</v>
      </c>
      <c r="BY10" s="117">
        <f t="shared" si="107"/>
        <v>1</v>
      </c>
      <c r="BZ10" s="117">
        <f t="shared" si="19"/>
        <v>6.2721143170279987</v>
      </c>
      <c r="CA10" s="117">
        <f t="shared" si="19"/>
        <v>360</v>
      </c>
      <c r="CB10" s="117">
        <f t="shared" si="19"/>
        <v>1.0000000000001172</v>
      </c>
      <c r="CC10" s="117">
        <f t="shared" si="19"/>
        <v>0.99999999999983746</v>
      </c>
      <c r="CD10" s="117">
        <f t="shared" si="19"/>
        <v>0</v>
      </c>
      <c r="CE10" s="117">
        <f t="shared" si="19"/>
        <v>1.5000000000000009</v>
      </c>
      <c r="CF10" s="117">
        <f t="shared" si="107"/>
        <v>1.2990381056766582</v>
      </c>
      <c r="CG10" s="117">
        <f t="shared" si="107"/>
        <v>9.9999999969219204E-6</v>
      </c>
      <c r="CH10" s="117" t="str">
        <f t="shared" si="107"/>
        <v>No</v>
      </c>
      <c r="CI10" s="117" t="str">
        <f t="shared" si="107"/>
        <v>U</v>
      </c>
      <c r="CJ10" s="117">
        <f t="shared" si="107"/>
        <v>10.6</v>
      </c>
      <c r="CK10" s="117">
        <f t="shared" si="107"/>
        <v>12.000000000000002</v>
      </c>
      <c r="CL10" s="117">
        <f t="shared" si="107"/>
        <v>0.18999999999999997</v>
      </c>
      <c r="CM10" s="117">
        <f t="shared" si="107"/>
        <v>1.5000000000000002</v>
      </c>
      <c r="CN10" s="117">
        <f t="shared" si="107"/>
        <v>0.30899999999999994</v>
      </c>
      <c r="CO10" s="117">
        <f t="shared" si="107"/>
        <v>0.25</v>
      </c>
      <c r="CP10" s="117">
        <f t="shared" si="107"/>
        <v>0.13</v>
      </c>
      <c r="CQ10" s="117">
        <f t="shared" si="28"/>
        <v>9.4629999999999992</v>
      </c>
      <c r="CR10" s="117">
        <f t="shared" si="28"/>
        <v>8.9700168853607709E-2</v>
      </c>
      <c r="CS10" s="117">
        <f t="shared" si="28"/>
        <v>10.740092274765473</v>
      </c>
      <c r="CT10" s="117">
        <f t="shared" si="28"/>
        <v>0.62995386261726427</v>
      </c>
      <c r="CU10" s="117" t="str">
        <f t="shared" si="28"/>
        <v>S</v>
      </c>
      <c r="CV10" s="117">
        <f t="shared" si="28"/>
        <v>12.000000000000002</v>
      </c>
      <c r="CW10" s="117">
        <f t="shared" si="28"/>
        <v>0.28199999999999997</v>
      </c>
      <c r="CX10" s="117">
        <f t="shared" si="28"/>
        <v>2.9419999999999997</v>
      </c>
      <c r="CY10" s="117">
        <f t="shared" si="28"/>
        <v>0.501</v>
      </c>
      <c r="CZ10" s="117">
        <f t="shared" si="28"/>
        <v>0.37999999999999995</v>
      </c>
      <c r="DA10" s="117">
        <f t="shared" si="28"/>
        <v>0.16999999999999998</v>
      </c>
      <c r="DB10" s="117">
        <f t="shared" si="28"/>
        <v>9.4629999999999992</v>
      </c>
      <c r="DC10" s="117">
        <f t="shared" si="28"/>
        <v>0.13530728481002544</v>
      </c>
      <c r="DD10" s="117">
        <f t="shared" si="28"/>
        <v>20.7</v>
      </c>
      <c r="DE10" s="117" t="str">
        <f t="shared" ref="DE10:FR10" si="108">DE$6</f>
        <v>S</v>
      </c>
      <c r="DF10" s="117" t="str">
        <f t="shared" si="108"/>
        <v>S</v>
      </c>
      <c r="DG10" s="117" t="str">
        <f t="shared" si="108"/>
        <v>S</v>
      </c>
      <c r="DH10" s="117" t="str">
        <f t="shared" si="108"/>
        <v>S</v>
      </c>
      <c r="DI10" s="117" t="str">
        <f t="shared" si="108"/>
        <v>S</v>
      </c>
      <c r="DJ10" s="117" t="str">
        <f t="shared" si="108"/>
        <v>S</v>
      </c>
      <c r="DK10" s="117" t="str">
        <f t="shared" si="108"/>
        <v>S</v>
      </c>
      <c r="DL10" s="117" t="str">
        <f t="shared" si="108"/>
        <v>S</v>
      </c>
      <c r="DM10" s="117" t="str">
        <f t="shared" si="108"/>
        <v>U</v>
      </c>
      <c r="DN10" s="117" t="str">
        <f t="shared" si="108"/>
        <v>U</v>
      </c>
      <c r="DO10" s="117" t="str">
        <f t="shared" si="108"/>
        <v>U</v>
      </c>
      <c r="DP10" s="117" t="str">
        <f t="shared" si="108"/>
        <v>U</v>
      </c>
      <c r="DQ10" s="117" t="str">
        <f t="shared" si="108"/>
        <v>S</v>
      </c>
      <c r="DR10" s="117" t="str">
        <f t="shared" si="108"/>
        <v>S</v>
      </c>
      <c r="DS10" s="117" t="str">
        <f t="shared" si="108"/>
        <v>S</v>
      </c>
      <c r="DT10" s="117" t="str">
        <f t="shared" si="108"/>
        <v>S</v>
      </c>
      <c r="DU10" s="117" t="str">
        <f t="shared" si="108"/>
        <v>S</v>
      </c>
      <c r="DV10" s="117" t="str">
        <f t="shared" si="108"/>
        <v>S</v>
      </c>
      <c r="DW10" s="117" t="str">
        <f t="shared" si="108"/>
        <v>S</v>
      </c>
      <c r="DX10" s="117" t="str">
        <f t="shared" si="108"/>
        <v>S</v>
      </c>
      <c r="DY10" s="117">
        <f t="shared" si="108"/>
        <v>29</v>
      </c>
      <c r="DZ10" s="117">
        <f t="shared" si="108"/>
        <v>0.25</v>
      </c>
      <c r="EA10" s="117">
        <f t="shared" si="108"/>
        <v>0.25</v>
      </c>
      <c r="EB10" s="117">
        <f t="shared" si="108"/>
        <v>3.9999999999999969</v>
      </c>
      <c r="EC10" s="117">
        <f t="shared" si="108"/>
        <v>1E-4</v>
      </c>
      <c r="ED10" s="117">
        <f t="shared" si="108"/>
        <v>1E-4</v>
      </c>
      <c r="EE10" s="117">
        <f t="shared" si="108"/>
        <v>0.25000000000000089</v>
      </c>
      <c r="EF10" s="117">
        <f t="shared" si="108"/>
        <v>1.5599999999999999E-2</v>
      </c>
      <c r="EG10" s="117" t="str">
        <f t="shared" ca="1" si="87"/>
        <v>U</v>
      </c>
      <c r="EH10" s="117" t="str">
        <f t="shared" ca="1" si="87"/>
        <v>S</v>
      </c>
      <c r="EI10" s="117" t="str">
        <f t="shared" ca="1" si="87"/>
        <v>U</v>
      </c>
      <c r="EJ10" s="117" t="str">
        <f t="shared" si="87"/>
        <v>S</v>
      </c>
      <c r="EK10" s="117" t="str">
        <f t="shared" ca="1" si="87"/>
        <v>U</v>
      </c>
      <c r="EL10" s="117" t="str">
        <f t="shared" ca="1" si="87"/>
        <v>S</v>
      </c>
      <c r="EM10" s="117">
        <f t="shared" si="108"/>
        <v>0.75</v>
      </c>
      <c r="EN10" s="117">
        <f t="shared" si="108"/>
        <v>0.19000000000423975</v>
      </c>
      <c r="EO10" s="117">
        <f t="shared" si="108"/>
        <v>0.62500000000001221</v>
      </c>
      <c r="EP10" s="117">
        <f t="shared" si="108"/>
        <v>1.5000000000000016</v>
      </c>
      <c r="EQ10" s="117">
        <f t="shared" si="108"/>
        <v>1.437500284744256</v>
      </c>
      <c r="ER10" s="117">
        <f t="shared" si="108"/>
        <v>0.5</v>
      </c>
      <c r="ES10" s="117" t="str">
        <f t="shared" si="88"/>
        <v>U</v>
      </c>
      <c r="ET10" s="117" t="str">
        <f t="shared" si="88"/>
        <v>U</v>
      </c>
      <c r="EU10" s="117" t="str">
        <f t="shared" si="88"/>
        <v>U</v>
      </c>
      <c r="EV10" s="117" t="str">
        <f t="shared" si="88"/>
        <v>U</v>
      </c>
      <c r="EW10" s="117" t="str">
        <f t="shared" si="88"/>
        <v>U</v>
      </c>
      <c r="EX10" s="117" t="str">
        <f t="shared" ca="1" si="30"/>
        <v>U</v>
      </c>
      <c r="EY10" s="117" t="str">
        <f t="shared" ca="1" si="30"/>
        <v>U</v>
      </c>
      <c r="EZ10" s="117" t="str">
        <f t="shared" ca="1" si="30"/>
        <v>U</v>
      </c>
      <c r="FA10" s="117" t="str">
        <f t="shared" ca="1" si="88"/>
        <v>U</v>
      </c>
      <c r="FB10" s="117" t="str">
        <f t="shared" ca="1" si="88"/>
        <v>U</v>
      </c>
      <c r="FC10" s="117" t="str">
        <f t="shared" ca="1" si="88"/>
        <v>U</v>
      </c>
      <c r="FD10" s="117" t="str">
        <f t="shared" ca="1" si="88"/>
        <v>U</v>
      </c>
      <c r="FE10" s="117" t="str">
        <f t="shared" ca="1" si="88"/>
        <v>U</v>
      </c>
      <c r="FF10" s="117" t="str">
        <f t="shared" ca="1" si="88"/>
        <v>U</v>
      </c>
      <c r="FG10" s="117">
        <f t="shared" ca="1" si="108"/>
        <v>48</v>
      </c>
      <c r="FH10" s="117" t="str">
        <f t="shared" si="108"/>
        <v>U</v>
      </c>
      <c r="FI10" s="117" t="str">
        <f t="shared" si="108"/>
        <v>S</v>
      </c>
      <c r="FJ10" s="117" t="str">
        <f t="shared" ca="1" si="108"/>
        <v>U</v>
      </c>
      <c r="FK10" s="117" t="str">
        <f t="shared" ca="1" si="108"/>
        <v>U</v>
      </c>
      <c r="FL10" s="307" t="str">
        <f t="shared" ca="1" si="108"/>
        <v>U</v>
      </c>
      <c r="FM10" s="117" t="str">
        <f t="shared" ca="1" si="33"/>
        <v>U</v>
      </c>
      <c r="FN10" s="117" t="str">
        <f t="shared" ca="1" si="33"/>
        <v>U</v>
      </c>
      <c r="FO10" s="117">
        <f t="shared" ca="1" si="33"/>
        <v>48</v>
      </c>
      <c r="FP10" s="117">
        <f t="shared" ca="1" si="33"/>
        <v>16</v>
      </c>
      <c r="FQ10" s="308" t="str">
        <f t="shared" si="108"/>
        <v>U</v>
      </c>
      <c r="FR10" s="117" t="str">
        <f t="shared" si="108"/>
        <v>U</v>
      </c>
      <c r="FS10" s="117" t="str">
        <f>FS$6</f>
        <v>S</v>
      </c>
      <c r="FT10" s="117" t="str">
        <f>FT$6</f>
        <v>S</v>
      </c>
      <c r="FU10" s="117" t="str">
        <f>FU$6</f>
        <v>U</v>
      </c>
      <c r="FV10" s="117" t="str">
        <f t="shared" ref="FV10:FW10" si="109">FV$6</f>
        <v>U</v>
      </c>
      <c r="FW10" s="117" t="str">
        <f t="shared" si="109"/>
        <v>U</v>
      </c>
      <c r="FX10" s="117" t="str">
        <f t="shared" si="36"/>
        <v>U</v>
      </c>
      <c r="FY10" s="117" t="str">
        <f t="shared" si="36"/>
        <v>U</v>
      </c>
      <c r="FZ10" s="117">
        <f t="shared" si="32"/>
        <v>27</v>
      </c>
      <c r="GA10" s="117">
        <f t="shared" si="32"/>
        <v>19</v>
      </c>
      <c r="GB10" s="117">
        <f t="shared" si="32"/>
        <v>10</v>
      </c>
      <c r="GC10" s="117">
        <f t="shared" si="32"/>
        <v>15.000000000000009</v>
      </c>
      <c r="GD10" s="117">
        <f t="shared" si="32"/>
        <v>1</v>
      </c>
      <c r="GE10" s="117">
        <f t="shared" si="32"/>
        <v>12.000000000000007</v>
      </c>
      <c r="GF10" s="117">
        <f t="shared" si="32"/>
        <v>1</v>
      </c>
      <c r="GG10" s="117">
        <f t="shared" si="32"/>
        <v>1</v>
      </c>
      <c r="GH10" s="117">
        <f t="shared" si="32"/>
        <v>12.000010000000007</v>
      </c>
      <c r="GI10" s="117" t="str">
        <f t="shared" ca="1" si="32"/>
        <v>U</v>
      </c>
      <c r="GJ10" s="117" t="str">
        <f t="shared" ca="1" si="32"/>
        <v>S</v>
      </c>
      <c r="GK10" s="117" t="str">
        <f t="shared" ca="1" si="32"/>
        <v>U</v>
      </c>
      <c r="GL10" s="117" t="str">
        <f t="shared" ca="1" si="32"/>
        <v>U</v>
      </c>
      <c r="GM10" s="117" t="str">
        <f t="shared" ca="1" si="32"/>
        <v>U</v>
      </c>
      <c r="GN10" s="117" t="str">
        <f t="shared" ca="1" si="32"/>
        <v>U</v>
      </c>
      <c r="GO10" s="117" t="str">
        <f t="shared" ca="1" si="32"/>
        <v>U</v>
      </c>
      <c r="GP10" s="117">
        <f t="shared" si="32"/>
        <v>1.0000000005663834E-5</v>
      </c>
      <c r="GQ10" s="117">
        <f t="shared" si="32"/>
        <v>5.9999999999999991</v>
      </c>
      <c r="GR10" s="117">
        <f t="shared" si="32"/>
        <v>1</v>
      </c>
      <c r="GS10" s="117">
        <f t="shared" si="32"/>
        <v>10</v>
      </c>
      <c r="GT10" s="117">
        <f t="shared" ref="GT10:IX10" si="110">GT$6</f>
        <v>15.000000000000009</v>
      </c>
      <c r="GU10" s="117">
        <f t="shared" si="110"/>
        <v>0</v>
      </c>
      <c r="GV10" s="117">
        <f t="shared" si="110"/>
        <v>6.0000000000000036</v>
      </c>
      <c r="GW10" s="117">
        <f t="shared" si="110"/>
        <v>1</v>
      </c>
      <c r="GX10" s="117">
        <f t="shared" si="110"/>
        <v>1</v>
      </c>
      <c r="GY10" s="117" t="str">
        <f t="shared" ca="1" si="110"/>
        <v>S</v>
      </c>
      <c r="GZ10" s="117">
        <f t="shared" si="110"/>
        <v>1.500010000000001</v>
      </c>
      <c r="HA10" s="117" t="str">
        <f t="shared" ca="1" si="110"/>
        <v>S</v>
      </c>
      <c r="HB10" s="117" t="str">
        <f t="shared" ca="1" si="110"/>
        <v>S</v>
      </c>
      <c r="HC10" s="117" t="str">
        <f t="shared" ca="1" si="110"/>
        <v>S</v>
      </c>
      <c r="HD10" s="117" t="str">
        <f t="shared" ca="1" si="110"/>
        <v>S</v>
      </c>
      <c r="HE10" s="117" t="str">
        <f t="shared" ca="1" si="110"/>
        <v>S</v>
      </c>
      <c r="HF10" s="208" t="str">
        <f t="shared" si="37"/>
        <v>Yes - Right Side</v>
      </c>
      <c r="HG10" s="117" t="str">
        <f t="shared" si="110"/>
        <v>S</v>
      </c>
      <c r="HH10" s="117" t="str">
        <f t="shared" si="110"/>
        <v>U</v>
      </c>
      <c r="HI10" s="117" t="str">
        <f t="shared" si="39"/>
        <v>U</v>
      </c>
      <c r="HJ10" s="117" t="str">
        <f t="shared" ca="1" si="110"/>
        <v>S</v>
      </c>
      <c r="HK10" s="117" t="str">
        <f t="shared" ca="1" si="110"/>
        <v>S</v>
      </c>
      <c r="HL10" s="117">
        <f t="shared" ca="1" si="110"/>
        <v>48</v>
      </c>
      <c r="HM10" s="117">
        <f t="shared" si="110"/>
        <v>3.9999999999999998E-6</v>
      </c>
      <c r="HN10" s="117" t="str">
        <f t="shared" ca="1" si="110"/>
        <v>S</v>
      </c>
      <c r="HO10" s="117">
        <f t="shared" ca="1" si="110"/>
        <v>18</v>
      </c>
      <c r="HP10" s="117">
        <f t="shared" ca="1" si="110"/>
        <v>48.000003999999997</v>
      </c>
      <c r="HQ10" s="117" t="str">
        <f t="shared" ca="1" si="110"/>
        <v>S</v>
      </c>
      <c r="HR10" s="117" t="str">
        <f t="shared" ca="1" si="110"/>
        <v>S</v>
      </c>
      <c r="HS10" s="117">
        <f t="shared" ca="1" si="110"/>
        <v>359.99999600000001</v>
      </c>
      <c r="HT10" s="117">
        <f t="shared" ca="1" si="110"/>
        <v>23.999968000000024</v>
      </c>
      <c r="HU10" s="117">
        <f t="shared" ca="1" si="110"/>
        <v>23.999968000000024</v>
      </c>
      <c r="HV10" s="117">
        <f t="shared" ca="1" si="110"/>
        <v>3.9999373887056513</v>
      </c>
      <c r="HW10" s="117">
        <f t="shared" ca="1" si="110"/>
        <v>24</v>
      </c>
      <c r="HX10" s="117">
        <f t="shared" si="110"/>
        <v>388.8125</v>
      </c>
      <c r="HY10" s="117">
        <f t="shared" ca="1" si="110"/>
        <v>360.00000399999999</v>
      </c>
      <c r="HZ10" s="117">
        <f t="shared" ca="1" si="43"/>
        <v>3.9999373887056513</v>
      </c>
      <c r="IA10" s="117">
        <f t="shared" ca="1" si="43"/>
        <v>24.000035999999973</v>
      </c>
      <c r="IB10" s="117" t="str">
        <f t="shared" ca="1" si="110"/>
        <v>S</v>
      </c>
      <c r="IC10" s="117" t="str">
        <f t="shared" ca="1" si="110"/>
        <v>S</v>
      </c>
      <c r="ID10" s="117">
        <f t="shared" ca="1" si="110"/>
        <v>27.999905388705674</v>
      </c>
      <c r="IE10" s="117" t="str">
        <f t="shared" ca="1" si="110"/>
        <v>S</v>
      </c>
      <c r="IF10" s="117" t="str">
        <f t="shared" ca="1" si="110"/>
        <v>S</v>
      </c>
      <c r="IG10" s="117" t="str">
        <f t="shared" ca="1" si="110"/>
        <v>S</v>
      </c>
      <c r="IH10" s="117" t="str">
        <f t="shared" ca="1" si="110"/>
        <v>S</v>
      </c>
      <c r="II10" s="117" t="str">
        <f t="shared" ca="1" si="110"/>
        <v>S</v>
      </c>
      <c r="IJ10" s="117">
        <f t="shared" ca="1" si="110"/>
        <v>23.999968000000024</v>
      </c>
      <c r="IK10" s="117">
        <f t="shared" ca="1" si="110"/>
        <v>3.9999373887056513</v>
      </c>
      <c r="IL10" s="117" t="str">
        <f t="shared" ca="1" si="110"/>
        <v>S</v>
      </c>
      <c r="IM10" s="117" t="str">
        <f t="shared" ca="1" si="110"/>
        <v>S</v>
      </c>
      <c r="IN10" s="117" t="str">
        <f t="shared" ca="1" si="110"/>
        <v>S</v>
      </c>
      <c r="IO10" s="117" t="str">
        <f t="shared" ca="1" si="110"/>
        <v>S</v>
      </c>
      <c r="IP10" s="117" t="str">
        <f t="shared" ca="1" si="110"/>
        <v>S</v>
      </c>
      <c r="IQ10" s="117" t="str">
        <f t="shared" ca="1" si="110"/>
        <v>S</v>
      </c>
      <c r="IR10" s="117" t="str">
        <f t="shared" ca="1" si="110"/>
        <v>S</v>
      </c>
      <c r="IS10" s="117" t="str">
        <f t="shared" ca="1" si="110"/>
        <v>S</v>
      </c>
      <c r="IT10" s="117" t="str">
        <f t="shared" ca="1" si="110"/>
        <v>S</v>
      </c>
      <c r="IU10" s="117" t="str">
        <f t="shared" ca="1" si="110"/>
        <v>S</v>
      </c>
      <c r="IV10" s="117" t="str">
        <f t="shared" ca="1" si="110"/>
        <v>S</v>
      </c>
      <c r="IW10" s="117" t="str">
        <f t="shared" si="110"/>
        <v>S</v>
      </c>
      <c r="IX10" s="117" t="str">
        <f t="shared" si="110"/>
        <v>U</v>
      </c>
      <c r="IY10" s="117">
        <f t="shared" ca="1" si="47"/>
        <v>1</v>
      </c>
      <c r="IZ10" s="117">
        <f t="shared" ca="1" si="47"/>
        <v>3</v>
      </c>
      <c r="JA10" s="117">
        <f t="shared" ca="1" si="47"/>
        <v>9.9999999999999995E-7</v>
      </c>
      <c r="JB10" s="117">
        <f t="shared" ca="1" si="48"/>
        <v>1.0000000000000001E-5</v>
      </c>
      <c r="JC10" s="117">
        <f t="shared" ca="1" si="48"/>
        <v>1.0000000000000001E-5</v>
      </c>
      <c r="JD10" s="117" t="str">
        <f t="shared" ca="1" si="47"/>
        <v>S</v>
      </c>
      <c r="JE10" s="117" t="str">
        <f t="shared" ca="1" si="47"/>
        <v>S</v>
      </c>
      <c r="JF10" s="117" t="str">
        <f t="shared" ca="1" si="47"/>
        <v>S</v>
      </c>
      <c r="JG10" s="117" t="str">
        <f t="shared" ca="1" si="47"/>
        <v>S</v>
      </c>
      <c r="JH10" s="117" t="str">
        <f t="shared" ca="1" si="47"/>
        <v>S</v>
      </c>
      <c r="JI10" s="117">
        <f t="shared" si="47"/>
        <v>0.1046</v>
      </c>
      <c r="JJ10" s="199">
        <f t="shared" si="49"/>
        <v>0.39290028474001548</v>
      </c>
      <c r="JK10" s="117">
        <f t="shared" si="47"/>
        <v>0.51790028474001548</v>
      </c>
      <c r="JL10" s="117">
        <f t="shared" si="47"/>
        <v>0.5</v>
      </c>
      <c r="JM10" s="117">
        <f t="shared" si="47"/>
        <v>0.375</v>
      </c>
      <c r="JN10" s="117">
        <f t="shared" si="47"/>
        <v>0.375</v>
      </c>
      <c r="JO10" s="117">
        <f t="shared" si="47"/>
        <v>11.25</v>
      </c>
      <c r="JP10" s="117" t="str">
        <f t="shared" si="50"/>
        <v>S</v>
      </c>
      <c r="JQ10" s="117" t="str">
        <f t="shared" si="50"/>
        <v>S</v>
      </c>
      <c r="JR10" s="117" t="str">
        <f t="shared" si="50"/>
        <v>S</v>
      </c>
      <c r="JS10" s="117" t="str">
        <f t="shared" si="47"/>
        <v>U</v>
      </c>
      <c r="JT10" s="117" t="str">
        <f t="shared" si="47"/>
        <v>U</v>
      </c>
      <c r="JU10" s="117" t="str">
        <f t="shared" si="51"/>
        <v>S</v>
      </c>
      <c r="JV10" s="117" t="str">
        <f t="shared" si="47"/>
        <v>S</v>
      </c>
      <c r="JW10" s="117" t="str">
        <f t="shared" si="47"/>
        <v>S</v>
      </c>
      <c r="JX10" s="117" t="str">
        <f t="shared" si="47"/>
        <v>S</v>
      </c>
      <c r="JY10" s="117" t="str">
        <f t="shared" si="47"/>
        <v>S</v>
      </c>
      <c r="JZ10" s="117" t="str">
        <f t="shared" si="47"/>
        <v>S</v>
      </c>
      <c r="KA10" s="117" t="str">
        <f t="shared" si="47"/>
        <v>S</v>
      </c>
      <c r="KB10" s="117" t="str">
        <f t="shared" si="47"/>
        <v>S</v>
      </c>
      <c r="KC10" s="117" t="str">
        <f t="shared" si="83"/>
        <v>S</v>
      </c>
      <c r="KD10" s="117" t="str">
        <f t="shared" si="83"/>
        <v>S</v>
      </c>
      <c r="KE10" s="117" t="str">
        <f t="shared" si="47"/>
        <v>S</v>
      </c>
      <c r="KF10" s="117" t="str">
        <f t="shared" si="47"/>
        <v>S</v>
      </c>
      <c r="KG10" s="117" t="str">
        <f t="shared" si="47"/>
        <v>S</v>
      </c>
      <c r="KH10" s="117" t="str">
        <f t="shared" si="47"/>
        <v>S</v>
      </c>
      <c r="KI10" s="117" t="str">
        <f t="shared" si="47"/>
        <v>S</v>
      </c>
      <c r="KJ10" s="117" t="str">
        <f t="shared" si="47"/>
        <v>S</v>
      </c>
      <c r="KK10" s="117" t="str">
        <f t="shared" si="47"/>
        <v>S</v>
      </c>
      <c r="KL10" s="117" t="str">
        <f t="shared" si="47"/>
        <v>S</v>
      </c>
      <c r="KM10" s="117" t="str">
        <f t="shared" si="47"/>
        <v>S</v>
      </c>
      <c r="KN10" s="117">
        <f t="shared" si="47"/>
        <v>1.0000000000000001E-5</v>
      </c>
      <c r="KO10" s="117" t="str">
        <f t="shared" si="47"/>
        <v>S</v>
      </c>
      <c r="KP10" s="117" t="str">
        <f t="shared" si="47"/>
        <v>S</v>
      </c>
      <c r="KQ10" s="117" t="str">
        <f t="shared" si="47"/>
        <v>S</v>
      </c>
      <c r="KR10" s="117" t="str">
        <f t="shared" si="47"/>
        <v>S</v>
      </c>
      <c r="KS10" s="117" t="str">
        <f t="shared" si="47"/>
        <v>S</v>
      </c>
      <c r="KT10" s="117" t="str">
        <f t="shared" si="47"/>
        <v>S</v>
      </c>
      <c r="KU10" s="117" t="str">
        <f t="shared" si="47"/>
        <v>S</v>
      </c>
      <c r="KV10" s="117" t="str">
        <f t="shared" si="47"/>
        <v>S</v>
      </c>
      <c r="KW10" s="117">
        <f t="shared" si="47"/>
        <v>2</v>
      </c>
      <c r="KX10" s="117">
        <f t="shared" si="47"/>
        <v>3.0000000000000004</v>
      </c>
      <c r="KY10" s="117">
        <f t="shared" si="47"/>
        <v>0.25</v>
      </c>
      <c r="KZ10" s="117">
        <f t="shared" si="47"/>
        <v>0.3125</v>
      </c>
      <c r="LA10" s="117">
        <f t="shared" si="47"/>
        <v>0.25</v>
      </c>
      <c r="LB10" s="117">
        <f t="shared" si="47"/>
        <v>2.0000000000000001E-4</v>
      </c>
      <c r="LC10" s="117" t="str">
        <f t="shared" si="47"/>
        <v>S</v>
      </c>
      <c r="LD10" s="117" t="str">
        <f t="shared" si="47"/>
        <v>S</v>
      </c>
      <c r="LE10" s="117" t="str">
        <f t="shared" si="47"/>
        <v>S</v>
      </c>
      <c r="LF10" s="117" t="str">
        <f t="shared" si="47"/>
        <v>S</v>
      </c>
      <c r="LG10" s="117" t="str">
        <f t="shared" ref="LG10:NS14" si="111">LG$6</f>
        <v>S</v>
      </c>
      <c r="LH10" s="117" t="str">
        <f t="shared" si="111"/>
        <v>S</v>
      </c>
      <c r="LI10" s="117" t="str">
        <f t="shared" si="111"/>
        <v>S</v>
      </c>
      <c r="LJ10" s="117" t="str">
        <f t="shared" si="111"/>
        <v>S</v>
      </c>
      <c r="LK10" s="117" t="str">
        <f t="shared" si="111"/>
        <v>S</v>
      </c>
      <c r="LL10" s="117" t="str">
        <f t="shared" si="111"/>
        <v>S</v>
      </c>
      <c r="LM10" s="117" t="str">
        <f t="shared" si="111"/>
        <v>S</v>
      </c>
      <c r="LN10" s="117" t="str">
        <f t="shared" si="111"/>
        <v>S</v>
      </c>
      <c r="LO10" s="117" t="str">
        <f t="shared" si="111"/>
        <v>S</v>
      </c>
      <c r="LP10" s="117" t="str">
        <f t="shared" si="111"/>
        <v>S</v>
      </c>
      <c r="LQ10" s="117">
        <f t="shared" si="52"/>
        <v>3.0000000000000004</v>
      </c>
      <c r="LR10" s="117">
        <f t="shared" si="52"/>
        <v>0.16999999999999998</v>
      </c>
      <c r="LS10" s="117">
        <f t="shared" si="52"/>
        <v>1.41</v>
      </c>
      <c r="LT10" s="117">
        <f t="shared" si="52"/>
        <v>0.27300000000000002</v>
      </c>
      <c r="LU10" s="117">
        <f t="shared" si="52"/>
        <v>0.27</v>
      </c>
      <c r="LV10" s="117">
        <f t="shared" si="52"/>
        <v>0.1</v>
      </c>
      <c r="LW10" s="117">
        <f t="shared" si="52"/>
        <v>9.4629999999999992</v>
      </c>
      <c r="LX10" s="117">
        <f t="shared" si="52"/>
        <v>8.4947435596928661E-2</v>
      </c>
      <c r="LY10" s="117">
        <f t="shared" si="52"/>
        <v>4.0999999999999996</v>
      </c>
      <c r="LZ10" s="117" t="str">
        <f t="shared" si="52"/>
        <v>S</v>
      </c>
      <c r="MA10" s="117" t="str">
        <f t="shared" si="52"/>
        <v>S</v>
      </c>
      <c r="MB10" s="117" t="str">
        <f t="shared" si="52"/>
        <v>S</v>
      </c>
      <c r="MC10" s="117" t="str">
        <f t="shared" si="52"/>
        <v>S</v>
      </c>
      <c r="MD10" s="117" t="str">
        <f t="shared" si="52"/>
        <v>S</v>
      </c>
      <c r="ME10" s="117" t="str">
        <f t="shared" si="52"/>
        <v>S</v>
      </c>
      <c r="MF10" s="117" t="str">
        <f t="shared" si="52"/>
        <v>S</v>
      </c>
      <c r="MG10" s="117" t="str">
        <f t="shared" si="52"/>
        <v>S</v>
      </c>
      <c r="MH10" s="117" t="str">
        <f t="shared" si="52"/>
        <v>S</v>
      </c>
      <c r="MI10" s="117" t="str">
        <f t="shared" si="52"/>
        <v>S</v>
      </c>
      <c r="MJ10" s="117" t="str">
        <f t="shared" ref="MJ10:MJ14" si="112">MJ$6</f>
        <v>S</v>
      </c>
      <c r="MK10" s="117" t="str">
        <f t="shared" ref="MK10:ML14" si="113">MK$6</f>
        <v>S</v>
      </c>
      <c r="ML10" s="117" t="str">
        <f t="shared" si="113"/>
        <v>S</v>
      </c>
      <c r="MM10" s="117" t="str">
        <f t="shared" si="52"/>
        <v>S</v>
      </c>
      <c r="MN10" s="117" t="str">
        <f t="shared" si="52"/>
        <v>S</v>
      </c>
      <c r="MO10" s="117" t="str">
        <f t="shared" si="52"/>
        <v>S</v>
      </c>
      <c r="MP10" s="117" t="str">
        <f t="shared" si="52"/>
        <v>S</v>
      </c>
      <c r="MQ10" s="117" t="str">
        <f t="shared" si="52"/>
        <v>S</v>
      </c>
      <c r="MR10" s="117" t="str">
        <f t="shared" si="52"/>
        <v>S</v>
      </c>
      <c r="MS10" s="117" t="str">
        <f t="shared" si="52"/>
        <v>S</v>
      </c>
      <c r="MT10" s="117" t="str">
        <f t="shared" si="52"/>
        <v>S</v>
      </c>
      <c r="MU10" s="117" t="str">
        <f t="shared" si="52"/>
        <v>S</v>
      </c>
      <c r="MV10" s="117" t="str">
        <f t="shared" si="52"/>
        <v>S</v>
      </c>
      <c r="MW10" s="117" t="str">
        <f t="shared" si="52"/>
        <v>S</v>
      </c>
      <c r="MX10" s="117" t="str">
        <f t="shared" si="52"/>
        <v>S</v>
      </c>
      <c r="MY10" s="117" t="str">
        <f t="shared" si="52"/>
        <v>S</v>
      </c>
      <c r="MZ10" s="117" t="str">
        <f t="shared" si="52"/>
        <v>S</v>
      </c>
      <c r="NA10" s="117" t="str">
        <f t="shared" si="52"/>
        <v>S</v>
      </c>
      <c r="NB10" s="117" t="str">
        <f t="shared" si="52"/>
        <v>S</v>
      </c>
      <c r="NC10" s="117" t="str">
        <f t="shared" si="52"/>
        <v>S</v>
      </c>
      <c r="ND10" s="117" t="str">
        <f t="shared" ref="ND10:ND14" si="114">ND$6</f>
        <v>S</v>
      </c>
      <c r="NE10" s="117">
        <f t="shared" si="95"/>
        <v>0</v>
      </c>
      <c r="NF10" s="117">
        <f t="shared" si="52"/>
        <v>1.0000000000000001E-5</v>
      </c>
      <c r="NG10" s="117" t="str">
        <f t="shared" si="52"/>
        <v>S</v>
      </c>
      <c r="NH10" s="117" t="str">
        <f t="shared" si="52"/>
        <v>S</v>
      </c>
      <c r="NI10" s="117" t="str">
        <f t="shared" si="52"/>
        <v>S</v>
      </c>
      <c r="NJ10" s="117" t="str">
        <f t="shared" si="52"/>
        <v>S</v>
      </c>
      <c r="NK10" s="117" t="str">
        <f t="shared" si="52"/>
        <v>S</v>
      </c>
      <c r="NL10" s="117" t="str">
        <f t="shared" si="52"/>
        <v>S</v>
      </c>
      <c r="NM10" s="117" t="str">
        <f t="shared" si="52"/>
        <v>S</v>
      </c>
      <c r="NN10" s="117" t="str">
        <f t="shared" si="52"/>
        <v>S</v>
      </c>
      <c r="NO10" s="117">
        <f t="shared" si="52"/>
        <v>4</v>
      </c>
      <c r="NP10" s="117">
        <f t="shared" si="52"/>
        <v>6.0000000000000009</v>
      </c>
      <c r="NQ10" s="117">
        <f t="shared" si="52"/>
        <v>0.625</v>
      </c>
      <c r="NR10" s="117">
        <f t="shared" si="52"/>
        <v>0.5</v>
      </c>
      <c r="NS10" s="117">
        <f t="shared" si="52"/>
        <v>0.5</v>
      </c>
      <c r="NT10" s="117">
        <f t="shared" si="52"/>
        <v>0.12520000000000001</v>
      </c>
      <c r="NU10" s="265" t="str">
        <f t="shared" si="55"/>
        <v>S</v>
      </c>
      <c r="NV10" s="117" t="str">
        <f t="shared" ref="NV10:QY10" si="115">NV$6</f>
        <v>S</v>
      </c>
      <c r="NW10" s="117" t="str">
        <f t="shared" si="115"/>
        <v>S</v>
      </c>
      <c r="NX10" s="117" t="str">
        <f t="shared" si="115"/>
        <v>S</v>
      </c>
      <c r="NY10" s="117" t="str">
        <f t="shared" si="115"/>
        <v>S</v>
      </c>
      <c r="NZ10" s="117" t="str">
        <f t="shared" si="115"/>
        <v>S</v>
      </c>
      <c r="OA10" s="117" t="str">
        <f t="shared" si="115"/>
        <v>S</v>
      </c>
      <c r="OB10" s="117" t="str">
        <f t="shared" si="115"/>
        <v>S</v>
      </c>
      <c r="OC10" s="117" t="str">
        <f t="shared" si="115"/>
        <v>S</v>
      </c>
      <c r="OD10" s="117" t="str">
        <f t="shared" si="115"/>
        <v>S</v>
      </c>
      <c r="OE10" s="117">
        <f t="shared" si="115"/>
        <v>3.0000000000000004</v>
      </c>
      <c r="OF10" s="117">
        <f t="shared" si="115"/>
        <v>0.16999999999999998</v>
      </c>
      <c r="OG10" s="117">
        <f t="shared" si="115"/>
        <v>1.41</v>
      </c>
      <c r="OH10" s="117">
        <f t="shared" si="115"/>
        <v>0.27300000000000002</v>
      </c>
      <c r="OI10" s="117">
        <f t="shared" si="115"/>
        <v>0.27</v>
      </c>
      <c r="OJ10" s="117">
        <f t="shared" si="115"/>
        <v>0.1</v>
      </c>
      <c r="OK10" s="117">
        <f t="shared" si="115"/>
        <v>9.4629999999999992</v>
      </c>
      <c r="OL10" s="117">
        <f t="shared" si="115"/>
        <v>8.4947435596928661E-2</v>
      </c>
      <c r="OM10" s="117">
        <f t="shared" si="115"/>
        <v>4.0999999999999996</v>
      </c>
      <c r="ON10" s="265" t="str">
        <f t="shared" si="58"/>
        <v>S</v>
      </c>
      <c r="OO10" s="117" t="str">
        <f t="shared" ca="1" si="115"/>
        <v>S</v>
      </c>
      <c r="OP10" s="117" t="str">
        <f t="shared" ca="1" si="115"/>
        <v>S</v>
      </c>
      <c r="OQ10" s="117" t="str">
        <f t="shared" ca="1" si="115"/>
        <v>S</v>
      </c>
      <c r="OR10" s="117" t="str">
        <f t="shared" ca="1" si="115"/>
        <v>S</v>
      </c>
      <c r="OS10" s="117" t="str">
        <f t="shared" ca="1" si="115"/>
        <v>S</v>
      </c>
      <c r="OT10" s="117" t="str">
        <f t="shared" ca="1" si="115"/>
        <v>S</v>
      </c>
      <c r="OU10" s="117">
        <f t="shared" si="115"/>
        <v>22.352885682963269</v>
      </c>
      <c r="OV10" s="117">
        <f t="shared" si="115"/>
        <v>1.5625</v>
      </c>
      <c r="OW10" s="117">
        <f t="shared" si="115"/>
        <v>2</v>
      </c>
      <c r="OX10" s="117">
        <f t="shared" ca="1" si="115"/>
        <v>1.0000000000000001E-5</v>
      </c>
      <c r="OY10" s="117" t="str">
        <f t="shared" ca="1" si="115"/>
        <v>S</v>
      </c>
      <c r="OZ10" s="117" t="str">
        <f t="shared" ca="1" si="115"/>
        <v>S</v>
      </c>
      <c r="PA10" s="117" t="str">
        <f t="shared" ca="1" si="115"/>
        <v>S</v>
      </c>
      <c r="PB10" s="117" t="str">
        <f t="shared" ca="1" si="115"/>
        <v>S</v>
      </c>
      <c r="PC10" s="117">
        <f t="shared" si="115"/>
        <v>1.0000006859324079E-6</v>
      </c>
      <c r="PD10" s="117">
        <f t="shared" si="115"/>
        <v>1.0000000313816476E-6</v>
      </c>
      <c r="PE10" s="117">
        <f t="shared" si="61"/>
        <v>9.9999936016657661E-7</v>
      </c>
      <c r="PF10" s="117">
        <f t="shared" si="61"/>
        <v>9.9999997677932015E-7</v>
      </c>
      <c r="PG10" s="117" t="str">
        <f t="shared" si="115"/>
        <v>S</v>
      </c>
      <c r="PH10" s="117" t="str">
        <f t="shared" si="115"/>
        <v>S</v>
      </c>
      <c r="PI10" s="117" t="str">
        <f t="shared" si="115"/>
        <v>S</v>
      </c>
      <c r="PJ10" s="117" t="str">
        <f t="shared" si="115"/>
        <v>S</v>
      </c>
      <c r="PK10" s="117" t="str">
        <f t="shared" si="115"/>
        <v>Teflon, 2.5 x 2.5</v>
      </c>
      <c r="PL10" s="117" t="str">
        <f t="shared" si="115"/>
        <v>Teflon, 2.5 x 2.5</v>
      </c>
      <c r="PM10" s="117">
        <f t="shared" si="115"/>
        <v>0</v>
      </c>
      <c r="PN10" s="117" t="str">
        <f t="shared" si="115"/>
        <v>Teflon, 2.5 x 2.5</v>
      </c>
      <c r="PO10" s="117" t="str">
        <f t="shared" si="115"/>
        <v>Teflon, 2.5 x 2.5</v>
      </c>
      <c r="PP10" s="117">
        <f t="shared" si="115"/>
        <v>0</v>
      </c>
      <c r="PQ10" s="117">
        <f t="shared" si="115"/>
        <v>0.125</v>
      </c>
      <c r="PR10" s="117">
        <f t="shared" si="115"/>
        <v>0.125</v>
      </c>
      <c r="PS10" s="117">
        <f t="shared" si="115"/>
        <v>0.125</v>
      </c>
      <c r="PT10" s="117">
        <f t="shared" si="115"/>
        <v>0.125</v>
      </c>
      <c r="PU10" s="117" t="str">
        <f t="shared" si="115"/>
        <v>S</v>
      </c>
      <c r="PV10" s="117" t="str">
        <f t="shared" si="115"/>
        <v>S</v>
      </c>
      <c r="PW10" s="117" t="str">
        <f t="shared" si="115"/>
        <v>S</v>
      </c>
      <c r="PX10" s="117" t="str">
        <f t="shared" si="115"/>
        <v>S</v>
      </c>
      <c r="PY10" s="117" t="str">
        <f t="shared" si="115"/>
        <v>S</v>
      </c>
      <c r="PZ10" s="117" t="str">
        <f t="shared" si="115"/>
        <v>S</v>
      </c>
      <c r="QA10" s="117" t="str">
        <f t="shared" si="115"/>
        <v>S</v>
      </c>
      <c r="QB10" s="117" t="str">
        <f t="shared" si="115"/>
        <v>S</v>
      </c>
      <c r="QC10" s="160" t="str">
        <f ca="1">IF(QTY_of_BTS&lt;=1,"S",BTS_Bolt_on_Plate_State)</f>
        <v>S</v>
      </c>
      <c r="QD10" s="117" t="str">
        <f t="shared" si="115"/>
        <v>S</v>
      </c>
      <c r="QE10" s="117" t="str">
        <f t="shared" ca="1" si="115"/>
        <v>S</v>
      </c>
      <c r="QF10" s="117">
        <f t="shared" ca="1" si="115"/>
        <v>3</v>
      </c>
      <c r="QG10" s="117">
        <f t="shared" ca="1" si="115"/>
        <v>1.5</v>
      </c>
      <c r="QH10" s="117">
        <f t="shared" ca="1" si="115"/>
        <v>1</v>
      </c>
      <c r="QI10" s="117">
        <f t="shared" ca="1" si="115"/>
        <v>3</v>
      </c>
      <c r="QJ10" s="117" t="str">
        <f t="shared" ca="1" si="115"/>
        <v>S</v>
      </c>
      <c r="QK10" s="117" t="str">
        <f t="shared" si="115"/>
        <v>S</v>
      </c>
      <c r="QL10" s="117" t="str">
        <f t="shared" si="115"/>
        <v>S</v>
      </c>
      <c r="QM10" s="117" t="str">
        <f t="shared" si="115"/>
        <v>S</v>
      </c>
      <c r="QN10" s="160" t="str">
        <f ca="1">IF(QTY_of_BTS&lt;=1,"S",BTS_Rod_State)</f>
        <v>S</v>
      </c>
      <c r="QO10" s="117" t="str">
        <f t="shared" si="115"/>
        <v>S</v>
      </c>
      <c r="QP10" s="117" t="str">
        <f t="shared" ca="1" si="115"/>
        <v>S</v>
      </c>
      <c r="QQ10" s="3" t="str">
        <f t="shared" si="101"/>
        <v>S</v>
      </c>
      <c r="QR10" s="3" t="str">
        <f t="shared" si="101"/>
        <v>S</v>
      </c>
      <c r="QS10" s="3" t="str">
        <f t="shared" si="101"/>
        <v>S</v>
      </c>
      <c r="QT10" s="183" t="str">
        <f t="shared" ca="1" si="115"/>
        <v>S</v>
      </c>
      <c r="QU10" s="117" t="str">
        <f t="shared" ca="1" si="115"/>
        <v>U</v>
      </c>
      <c r="QV10" s="117" t="str">
        <f t="shared" ca="1" si="115"/>
        <v>U</v>
      </c>
      <c r="QW10" s="117" t="str">
        <f t="shared" ca="1" si="115"/>
        <v>U</v>
      </c>
      <c r="QX10" s="160" t="str">
        <f ca="1">IF(OR(BTS_Angle_State="S",AND(QTY_of_BTS&lt;=1,BTS_Angle_State="U")),"S","U")</f>
        <v>U</v>
      </c>
      <c r="QY10" s="117" t="str">
        <f t="shared" ca="1" si="115"/>
        <v>S</v>
      </c>
      <c r="QZ10" s="117" t="str">
        <f t="shared" ref="QZ10:RI10" ca="1" si="116">QZ$6</f>
        <v>S</v>
      </c>
      <c r="RA10" s="117" t="str">
        <f t="shared" ca="1" si="116"/>
        <v>S</v>
      </c>
      <c r="RB10" s="117" t="str">
        <f t="shared" ca="1" si="116"/>
        <v>S</v>
      </c>
      <c r="RC10" s="117" t="str">
        <f t="shared" ca="1" si="116"/>
        <v>S</v>
      </c>
      <c r="RD10" s="117">
        <f t="shared" si="116"/>
        <v>2</v>
      </c>
      <c r="RE10" s="117">
        <f t="shared" si="116"/>
        <v>3.0000000000000004</v>
      </c>
      <c r="RF10" s="117">
        <f t="shared" si="116"/>
        <v>0.18750000000000003</v>
      </c>
      <c r="RG10" s="117">
        <f t="shared" si="116"/>
        <v>0.3125</v>
      </c>
      <c r="RH10" s="117">
        <f t="shared" si="116"/>
        <v>0.18750000000000003</v>
      </c>
      <c r="RI10" s="117">
        <f t="shared" si="116"/>
        <v>2.0000000000000001E-4</v>
      </c>
      <c r="RJ10" s="117" t="str">
        <f t="shared" si="102"/>
        <v>S</v>
      </c>
      <c r="RK10" s="117" t="str">
        <f t="shared" si="102"/>
        <v>S</v>
      </c>
      <c r="RL10" s="117" t="str">
        <f t="shared" si="102"/>
        <v>S</v>
      </c>
      <c r="RM10" s="117" t="str">
        <f t="shared" si="102"/>
        <v>S</v>
      </c>
      <c r="RN10" s="117" t="str">
        <f t="shared" si="102"/>
        <v>S</v>
      </c>
      <c r="RO10" s="117" t="str">
        <f t="shared" si="102"/>
        <v>S</v>
      </c>
      <c r="RP10" s="117" t="str">
        <f t="shared" ca="1" si="102"/>
        <v>S</v>
      </c>
      <c r="RQ10" s="117" t="str">
        <f t="shared" ca="1" si="102"/>
        <v>S</v>
      </c>
      <c r="RR10" s="117" t="str">
        <f t="shared" ref="RI10:VP14" ca="1" si="117">RR$6</f>
        <v>S</v>
      </c>
      <c r="RS10" s="117" t="str">
        <f t="shared" ca="1" si="117"/>
        <v>S</v>
      </c>
      <c r="RT10" s="117" t="str">
        <f t="shared" ca="1" si="117"/>
        <v>S</v>
      </c>
      <c r="RU10" s="117" t="str">
        <f t="shared" ca="1" si="117"/>
        <v>S</v>
      </c>
      <c r="RV10" s="160" t="str">
        <f ca="1">IF(OR(BTS_CChannel_State="S",AND(QTY_of_BTS&lt;=1,BTS_CChannel_State="U")),"S","U")</f>
        <v>S</v>
      </c>
      <c r="RW10" s="117" t="str">
        <f t="shared" ref="RW10" ca="1" si="118">RW$6</f>
        <v>S</v>
      </c>
      <c r="RX10" s="117" t="str">
        <f t="shared" ca="1" si="117"/>
        <v>S</v>
      </c>
      <c r="RY10" s="117" t="str">
        <f t="shared" ca="1" si="117"/>
        <v>S</v>
      </c>
      <c r="RZ10" s="117" t="str">
        <f t="shared" ca="1" si="117"/>
        <v>S</v>
      </c>
      <c r="SA10" s="117">
        <f t="shared" si="73"/>
        <v>3.0000000000000004</v>
      </c>
      <c r="SB10" s="117">
        <f t="shared" si="73"/>
        <v>0.16999999999999998</v>
      </c>
      <c r="SC10" s="117">
        <f t="shared" si="73"/>
        <v>1.41</v>
      </c>
      <c r="SD10" s="117">
        <f t="shared" si="73"/>
        <v>0.27300000000000002</v>
      </c>
      <c r="SE10" s="117">
        <f t="shared" si="73"/>
        <v>0.27</v>
      </c>
      <c r="SF10" s="117">
        <f t="shared" si="73"/>
        <v>0.1</v>
      </c>
      <c r="SG10" s="117">
        <f t="shared" si="73"/>
        <v>9.4629999999999992</v>
      </c>
      <c r="SH10" s="117">
        <f t="shared" si="73"/>
        <v>8.4947435596928661E-2</v>
      </c>
      <c r="SI10" s="117">
        <f t="shared" si="73"/>
        <v>4.0999999999999996</v>
      </c>
      <c r="SJ10" s="117" t="str">
        <f t="shared" si="117"/>
        <v>S</v>
      </c>
      <c r="SK10" s="117" t="str">
        <f t="shared" si="117"/>
        <v>S</v>
      </c>
      <c r="SL10" s="117" t="str">
        <f t="shared" si="117"/>
        <v>S</v>
      </c>
      <c r="SM10" s="117" t="str">
        <f t="shared" si="117"/>
        <v>S</v>
      </c>
      <c r="SN10" s="117" t="str">
        <f t="shared" si="117"/>
        <v>S</v>
      </c>
      <c r="SO10" s="117" t="str">
        <f t="shared" si="117"/>
        <v>S</v>
      </c>
      <c r="SP10" s="117" t="str">
        <f t="shared" ca="1" si="117"/>
        <v>S</v>
      </c>
      <c r="SQ10" s="117" t="str">
        <f t="shared" ca="1" si="117"/>
        <v>S</v>
      </c>
      <c r="SR10" s="117" t="str">
        <f>SR$6</f>
        <v>S</v>
      </c>
      <c r="SS10" s="117">
        <f t="shared" ref="SS10:SV12" si="119">SS$6</f>
        <v>1.5000000000000002</v>
      </c>
      <c r="ST10" s="117">
        <f t="shared" si="119"/>
        <v>1.5000000000000002</v>
      </c>
      <c r="SU10" s="117">
        <f t="shared" si="119"/>
        <v>0.5</v>
      </c>
      <c r="SV10" s="117">
        <f t="shared" si="119"/>
        <v>0.5</v>
      </c>
      <c r="SW10" s="117" t="str">
        <f t="shared" ca="1" si="117"/>
        <v>S</v>
      </c>
      <c r="SX10" s="117" t="str">
        <f t="shared" ca="1" si="117"/>
        <v>S</v>
      </c>
      <c r="SY10" s="117" t="str">
        <f t="shared" ca="1" si="117"/>
        <v>S</v>
      </c>
      <c r="SZ10" s="117" t="str">
        <f t="shared" ca="1" si="117"/>
        <v>S</v>
      </c>
      <c r="TA10" s="160" t="str">
        <f ca="1">IF(OR(BTS_SSection_State="S",AND(QTY_of_BTS&lt;=1,BTS_SSection_State="U")),"S","U")</f>
        <v>S</v>
      </c>
      <c r="TB10" s="117" t="str">
        <f t="shared" ca="1" si="117"/>
        <v>S</v>
      </c>
      <c r="TC10" s="117" t="str">
        <f t="shared" ca="1" si="117"/>
        <v>S</v>
      </c>
      <c r="TD10" s="117" t="str">
        <f t="shared" ca="1" si="117"/>
        <v>S</v>
      </c>
      <c r="TE10" s="117" t="str">
        <f t="shared" ca="1" si="117"/>
        <v>S</v>
      </c>
      <c r="TF10" s="117">
        <f t="shared" si="73"/>
        <v>3</v>
      </c>
      <c r="TG10" s="117">
        <f t="shared" si="73"/>
        <v>5.7</v>
      </c>
      <c r="TH10" s="117">
        <f t="shared" si="73"/>
        <v>3.0000000000000004</v>
      </c>
      <c r="TI10" s="117">
        <f t="shared" si="73"/>
        <v>0.16999999999999998</v>
      </c>
      <c r="TJ10" s="117">
        <f t="shared" si="73"/>
        <v>2.33</v>
      </c>
      <c r="TK10" s="117">
        <f t="shared" si="73"/>
        <v>0.26</v>
      </c>
      <c r="TL10" s="117">
        <f t="shared" si="73"/>
        <v>0.27</v>
      </c>
      <c r="TM10" s="117">
        <f t="shared" si="73"/>
        <v>0.1</v>
      </c>
      <c r="TN10" s="117">
        <f t="shared" si="73"/>
        <v>9.4630000000000312</v>
      </c>
      <c r="TO10" s="117">
        <f t="shared" si="73"/>
        <v>1.8425437273624747</v>
      </c>
      <c r="TP10" s="117" t="str">
        <f t="shared" ca="1" si="117"/>
        <v>S</v>
      </c>
      <c r="TQ10" s="117" t="str">
        <f t="shared" ca="1" si="117"/>
        <v>S</v>
      </c>
      <c r="TR10" s="117" t="str">
        <f t="shared" ca="1" si="117"/>
        <v>S</v>
      </c>
      <c r="TS10" s="117" t="str">
        <f t="shared" ca="1" si="117"/>
        <v>S</v>
      </c>
      <c r="TT10" s="160" t="str">
        <f ca="1">IF(OR(BTS_WSection_State="S",AND(QTY_of_BTS&lt;=1,BTS_WSection_State="U")),"S","U")</f>
        <v>S</v>
      </c>
      <c r="TU10" s="117" t="str">
        <f t="shared" ref="TU10" ca="1" si="120">TU$6</f>
        <v>S</v>
      </c>
      <c r="TV10" s="117" t="str">
        <f t="shared" ca="1" si="117"/>
        <v>S</v>
      </c>
      <c r="TW10" s="117" t="str">
        <f t="shared" ca="1" si="117"/>
        <v>S</v>
      </c>
      <c r="TX10" s="117" t="str">
        <f t="shared" ca="1" si="117"/>
        <v>S</v>
      </c>
      <c r="TY10" s="117">
        <f t="shared" si="73"/>
        <v>4</v>
      </c>
      <c r="TZ10" s="117">
        <f t="shared" si="73"/>
        <v>13</v>
      </c>
      <c r="UA10" s="117">
        <f t="shared" si="73"/>
        <v>4.16</v>
      </c>
      <c r="UB10" s="117">
        <f t="shared" si="73"/>
        <v>0.28000000000000003</v>
      </c>
      <c r="UC10" s="117">
        <f t="shared" si="73"/>
        <v>4.0599999999999996</v>
      </c>
      <c r="UD10" s="117">
        <f t="shared" si="73"/>
        <v>0.34499999999999992</v>
      </c>
      <c r="UE10" s="117">
        <f t="shared" si="73"/>
        <v>0.25</v>
      </c>
      <c r="UF10" s="117" t="str">
        <f t="shared" ca="1" si="117"/>
        <v>U</v>
      </c>
      <c r="UG10" s="117" t="str">
        <f t="shared" ca="1" si="117"/>
        <v>U</v>
      </c>
      <c r="UH10" s="117" t="str">
        <f t="shared" ca="1" si="117"/>
        <v>U</v>
      </c>
      <c r="UI10" s="117" t="str">
        <f t="shared" ca="1" si="117"/>
        <v>U</v>
      </c>
      <c r="UJ10" s="117"/>
      <c r="UK10" s="117" t="str">
        <f t="shared" si="117"/>
        <v>U</v>
      </c>
      <c r="UL10" s="117" t="str">
        <f t="shared" si="117"/>
        <v>U</v>
      </c>
      <c r="UM10" s="117" t="str">
        <f t="shared" si="117"/>
        <v>S</v>
      </c>
      <c r="UN10" s="117" t="str">
        <f t="shared" si="117"/>
        <v>S</v>
      </c>
      <c r="UO10" s="117" t="str">
        <f t="shared" si="117"/>
        <v>S</v>
      </c>
      <c r="UP10" s="117" t="str">
        <f t="shared" si="117"/>
        <v>S</v>
      </c>
      <c r="UQ10" s="117" t="str">
        <f t="shared" ref="UQ10" si="121">UQ$6</f>
        <v>S</v>
      </c>
      <c r="UR10" s="117">
        <f t="shared" si="73"/>
        <v>1</v>
      </c>
      <c r="US10" s="117">
        <f t="shared" si="73"/>
        <v>2</v>
      </c>
      <c r="UT10" s="117">
        <f t="shared" si="73"/>
        <v>500</v>
      </c>
      <c r="UU10" s="117" t="str">
        <f t="shared" si="73"/>
        <v>S</v>
      </c>
      <c r="UV10" s="117" t="str">
        <f t="shared" si="117"/>
        <v>S</v>
      </c>
      <c r="UW10" s="117" t="str">
        <f t="shared" ref="UW10:UZ10" si="122">UW$6</f>
        <v>S</v>
      </c>
      <c r="UX10" s="117" t="str">
        <f t="shared" si="122"/>
        <v>S</v>
      </c>
      <c r="UY10" s="117" t="str">
        <f t="shared" si="122"/>
        <v>S</v>
      </c>
      <c r="UZ10" s="117" t="str">
        <f t="shared" si="122"/>
        <v>S</v>
      </c>
      <c r="VA10" s="121" t="str">
        <f t="shared" si="106"/>
        <v>S</v>
      </c>
      <c r="VB10" s="121" t="str">
        <f t="shared" si="106"/>
        <v>S</v>
      </c>
      <c r="VC10" s="121" t="str">
        <f t="shared" si="106"/>
        <v>S</v>
      </c>
      <c r="VD10" s="3" t="str">
        <f>"U"</f>
        <v>U</v>
      </c>
      <c r="VE10" s="121" t="str">
        <f t="shared" si="106"/>
        <v>S</v>
      </c>
      <c r="VF10" s="121" t="str">
        <f t="shared" si="106"/>
        <v>S</v>
      </c>
      <c r="VG10" s="121" t="str">
        <f t="shared" si="106"/>
        <v>S</v>
      </c>
      <c r="VH10" s="121" t="str">
        <f t="shared" si="106"/>
        <v>S</v>
      </c>
      <c r="VI10" s="117" t="str">
        <f t="shared" si="79"/>
        <v>3</v>
      </c>
      <c r="VJ10" s="117" t="str">
        <f t="shared" si="73"/>
        <v>.3</v>
      </c>
      <c r="VK10" s="117">
        <f t="shared" si="73"/>
        <v>3</v>
      </c>
      <c r="VL10" s="117" t="str">
        <f t="shared" si="73"/>
        <v>3-SEC</v>
      </c>
      <c r="VM10" s="121" t="str">
        <f>CONCATENATE($C$2,$D$2,"-BTS-M")</f>
        <v>3-BTS-M</v>
      </c>
      <c r="VN10" s="117" t="s">
        <v>1016</v>
      </c>
      <c r="VO10" s="117" t="str">
        <f t="shared" si="73"/>
        <v>000000</v>
      </c>
      <c r="VP10" s="410">
        <f t="shared" si="80"/>
        <v>5</v>
      </c>
      <c r="VQ10" s="410">
        <f t="shared" si="80"/>
        <v>5</v>
      </c>
      <c r="VR10" s="410">
        <f t="shared" si="80"/>
        <v>0.125</v>
      </c>
      <c r="VS10" s="410">
        <f t="shared" si="80"/>
        <v>1.125</v>
      </c>
      <c r="VT10" s="410">
        <f t="shared" si="80"/>
        <v>3.5</v>
      </c>
      <c r="VX10" s="117" t="str">
        <f t="shared" si="81"/>
        <v>3-SEC</v>
      </c>
    </row>
    <row r="11" spans="1:597" s="3" customFormat="1" ht="14.4" hidden="1" outlineLevel="1" x14ac:dyDescent="0.3">
      <c r="A11" s="123" t="str">
        <f>IF(OR(ProductLine="AXC",AW11=0),"$User_Notes","HS-FB")</f>
        <v>$User_Notes</v>
      </c>
      <c r="B11" s="117" t="str">
        <f t="shared" si="82"/>
        <v>AXC</v>
      </c>
      <c r="C11" s="117">
        <f t="shared" si="85"/>
        <v>65</v>
      </c>
      <c r="D11" s="117">
        <f t="shared" si="85"/>
        <v>780</v>
      </c>
      <c r="E11" s="117">
        <f t="shared" si="85"/>
        <v>0.125</v>
      </c>
      <c r="F11" s="117">
        <f t="shared" si="85"/>
        <v>6.25E-2</v>
      </c>
      <c r="G11" s="117">
        <f t="shared" si="85"/>
        <v>777.625</v>
      </c>
      <c r="H11" s="117" t="str">
        <f t="shared" si="85"/>
        <v>MC12x10.6</v>
      </c>
      <c r="I11" s="117" t="str">
        <f t="shared" si="85"/>
        <v>AXC materials:SA-36</v>
      </c>
      <c r="J11" s="117" t="str">
        <f t="shared" si="85"/>
        <v>Galvanized</v>
      </c>
      <c r="K11" s="117" t="str">
        <f t="shared" si="85"/>
        <v>Bolt on Angle</v>
      </c>
      <c r="L11" s="117" t="str">
        <f t="shared" si="19"/>
        <v>EH\VV\VI_</v>
      </c>
      <c r="M11" s="117">
        <f t="shared" ca="1" si="85"/>
        <v>16</v>
      </c>
      <c r="N11" s="117">
        <f t="shared" ca="1" si="20"/>
        <v>48</v>
      </c>
      <c r="O11" s="117">
        <f t="shared" ca="1" si="85"/>
        <v>30</v>
      </c>
      <c r="P11" s="117" t="str">
        <f t="shared" si="85"/>
        <v>Yes - Rear HDR</v>
      </c>
      <c r="Q11" s="117">
        <f t="shared" si="85"/>
        <v>3.9999333887056512</v>
      </c>
      <c r="R11" s="117" t="str">
        <f t="shared" si="85"/>
        <v>Angle</v>
      </c>
      <c r="S11" s="117" t="str">
        <f t="shared" si="85"/>
        <v>L2x3x0.1875</v>
      </c>
      <c r="T11" s="117" t="str">
        <f t="shared" si="85"/>
        <v>Weld On</v>
      </c>
      <c r="U11" s="117" t="str">
        <f t="shared" si="21"/>
        <v>Yes</v>
      </c>
      <c r="V11" s="117" t="str">
        <f t="shared" si="85"/>
        <v>Yes</v>
      </c>
      <c r="W11" s="117">
        <f t="shared" si="85"/>
        <v>15</v>
      </c>
      <c r="X11" s="117">
        <f t="shared" si="85"/>
        <v>0</v>
      </c>
      <c r="Y11" s="117">
        <f t="shared" si="22"/>
        <v>0</v>
      </c>
      <c r="Z11" s="117" t="str">
        <f t="shared" si="22"/>
        <v>STD</v>
      </c>
      <c r="AA11" s="117" t="str">
        <f t="shared" si="85"/>
        <v>No</v>
      </c>
      <c r="AB11" s="117" t="str">
        <f t="shared" si="23"/>
        <v>OFF</v>
      </c>
      <c r="AC11" s="117" t="str">
        <f t="shared" si="85"/>
        <v>Yes</v>
      </c>
      <c r="AD11" s="117" t="str">
        <f t="shared" si="24"/>
        <v>AXC Weld On</v>
      </c>
      <c r="AE11" s="117" t="str">
        <f t="shared" si="24"/>
        <v>Outside</v>
      </c>
      <c r="AF11" s="117" t="str">
        <f t="shared" si="85"/>
        <v>0.5"</v>
      </c>
      <c r="AG11" s="117">
        <f t="shared" si="85"/>
        <v>278.125</v>
      </c>
      <c r="AH11" s="117">
        <f t="shared" si="85"/>
        <v>249.75</v>
      </c>
      <c r="AI11" s="117">
        <f t="shared" si="85"/>
        <v>0.5</v>
      </c>
      <c r="AJ11" s="117">
        <f t="shared" si="25"/>
        <v>4</v>
      </c>
      <c r="AK11" s="117">
        <f t="shared" si="25"/>
        <v>500</v>
      </c>
      <c r="AL11" s="117" t="str">
        <f t="shared" si="85"/>
        <v>None</v>
      </c>
      <c r="AM11" s="117" t="str">
        <f t="shared" si="85"/>
        <v>Pick from List</v>
      </c>
      <c r="AN11" s="117" t="str">
        <f t="shared" si="85"/>
        <v>None</v>
      </c>
      <c r="AO11" s="117" t="str">
        <f t="shared" si="85"/>
        <v>None</v>
      </c>
      <c r="AP11" s="117" t="str">
        <f t="shared" si="85"/>
        <v>None</v>
      </c>
      <c r="AQ11" s="117" t="str">
        <f t="shared" si="85"/>
        <v>L4x6x0.625</v>
      </c>
      <c r="AR11" s="117" t="str">
        <f t="shared" si="85"/>
        <v>Bolt on</v>
      </c>
      <c r="AS11" s="117" t="str">
        <f t="shared" si="85"/>
        <v>Yes</v>
      </c>
      <c r="AT11" s="117" t="str">
        <f t="shared" ca="1" si="85"/>
        <v>Bolt On</v>
      </c>
      <c r="AU11" s="164">
        <f t="shared" ca="1" si="26"/>
        <v>16</v>
      </c>
      <c r="AV11" s="117">
        <f t="shared" si="26"/>
        <v>0</v>
      </c>
      <c r="AW11" s="117">
        <f t="shared" si="26"/>
        <v>0</v>
      </c>
      <c r="AX11" s="117">
        <f t="shared" si="26"/>
        <v>6.25E-2</v>
      </c>
      <c r="AY11" s="164">
        <f t="shared" si="26"/>
        <v>21.915385672961552</v>
      </c>
      <c r="AZ11" s="117">
        <f t="shared" si="26"/>
        <v>1.5625</v>
      </c>
      <c r="BA11" s="117">
        <f t="shared" si="26"/>
        <v>2</v>
      </c>
      <c r="BB11" s="117">
        <f t="shared" si="26"/>
        <v>21.915385672961648</v>
      </c>
      <c r="BC11" s="117">
        <f t="shared" si="26"/>
        <v>1.5625</v>
      </c>
      <c r="BD11" s="117">
        <f t="shared" si="26"/>
        <v>2</v>
      </c>
      <c r="BE11" s="164">
        <f t="shared" si="27"/>
        <v>0.6250000000043382</v>
      </c>
      <c r="BF11" s="117">
        <f t="shared" si="27"/>
        <v>1.0937500000075919</v>
      </c>
      <c r="BG11" s="117">
        <f t="shared" si="27"/>
        <v>2</v>
      </c>
      <c r="BH11" s="117">
        <f t="shared" si="27"/>
        <v>0.62500000000430156</v>
      </c>
      <c r="BI11" s="117">
        <f t="shared" si="27"/>
        <v>1.0937500000075278</v>
      </c>
      <c r="BJ11" s="117">
        <f t="shared" si="27"/>
        <v>2</v>
      </c>
      <c r="BK11" s="117">
        <f t="shared" si="19"/>
        <v>1.9999999999999956</v>
      </c>
      <c r="BL11" s="117" t="str">
        <f t="shared" si="85"/>
        <v>Weld Bar</v>
      </c>
      <c r="BM11" s="117">
        <f t="shared" si="19"/>
        <v>0.99999999999999589</v>
      </c>
      <c r="BN11" s="117" t="str">
        <f t="shared" si="85"/>
        <v>Float Bar</v>
      </c>
      <c r="BO11" s="117">
        <f t="shared" si="19"/>
        <v>5</v>
      </c>
      <c r="BP11" s="117" t="str">
        <f t="shared" si="85"/>
        <v>MC12x10.6</v>
      </c>
      <c r="BQ11" s="117" t="str">
        <f t="shared" si="85"/>
        <v>U</v>
      </c>
      <c r="BR11" s="117" t="str">
        <f t="shared" si="85"/>
        <v>S</v>
      </c>
      <c r="BS11" s="117">
        <f t="shared" si="19"/>
        <v>31.374999284744241</v>
      </c>
      <c r="BT11" s="117">
        <f t="shared" si="19"/>
        <v>29.000000000000004</v>
      </c>
      <c r="BU11" s="117">
        <f t="shared" si="19"/>
        <v>3.9999999999999969</v>
      </c>
      <c r="BV11" s="117">
        <f t="shared" si="19"/>
        <v>0.25000000000000089</v>
      </c>
      <c r="BW11" s="117">
        <f t="shared" si="19"/>
        <v>9.9999999999269527E-6</v>
      </c>
      <c r="BX11" s="117">
        <f t="shared" si="85"/>
        <v>1</v>
      </c>
      <c r="BY11" s="117">
        <f t="shared" si="85"/>
        <v>1</v>
      </c>
      <c r="BZ11" s="117">
        <f t="shared" si="19"/>
        <v>6.2721143170279987</v>
      </c>
      <c r="CA11" s="117">
        <f t="shared" si="19"/>
        <v>360</v>
      </c>
      <c r="CB11" s="117">
        <f t="shared" si="19"/>
        <v>1.0000000000001172</v>
      </c>
      <c r="CC11" s="117">
        <f t="shared" si="19"/>
        <v>0.99999999999983746</v>
      </c>
      <c r="CD11" s="117">
        <f t="shared" si="19"/>
        <v>0</v>
      </c>
      <c r="CE11" s="117">
        <f t="shared" si="19"/>
        <v>1.5000000000000009</v>
      </c>
      <c r="CF11" s="117">
        <f t="shared" si="85"/>
        <v>1.2990381056766582</v>
      </c>
      <c r="CG11" s="117">
        <f t="shared" si="85"/>
        <v>9.9999999969219204E-6</v>
      </c>
      <c r="CH11" s="117" t="str">
        <f t="shared" si="85"/>
        <v>No</v>
      </c>
      <c r="CI11" s="117" t="str">
        <f t="shared" si="85"/>
        <v>U</v>
      </c>
      <c r="CJ11" s="117">
        <f t="shared" si="85"/>
        <v>10.6</v>
      </c>
      <c r="CK11" s="117">
        <f t="shared" si="85"/>
        <v>12.000000000000002</v>
      </c>
      <c r="CL11" s="117">
        <f t="shared" si="85"/>
        <v>0.18999999999999997</v>
      </c>
      <c r="CM11" s="117">
        <f t="shared" si="85"/>
        <v>1.5000000000000002</v>
      </c>
      <c r="CN11" s="117">
        <f t="shared" si="85"/>
        <v>0.30899999999999994</v>
      </c>
      <c r="CO11" s="117">
        <f t="shared" si="85"/>
        <v>0.25</v>
      </c>
      <c r="CP11" s="117">
        <f t="shared" si="85"/>
        <v>0.13</v>
      </c>
      <c r="CQ11" s="117">
        <f t="shared" si="28"/>
        <v>9.4629999999999992</v>
      </c>
      <c r="CR11" s="117">
        <f t="shared" si="28"/>
        <v>8.9700168853607709E-2</v>
      </c>
      <c r="CS11" s="117">
        <f t="shared" si="28"/>
        <v>10.740092274765473</v>
      </c>
      <c r="CT11" s="117">
        <f t="shared" si="28"/>
        <v>0.62995386261726427</v>
      </c>
      <c r="CU11" s="117" t="str">
        <f t="shared" si="28"/>
        <v>S</v>
      </c>
      <c r="CV11" s="117">
        <f t="shared" si="28"/>
        <v>12.000000000000002</v>
      </c>
      <c r="CW11" s="117">
        <f t="shared" si="28"/>
        <v>0.28199999999999997</v>
      </c>
      <c r="CX11" s="117">
        <f t="shared" si="28"/>
        <v>2.9419999999999997</v>
      </c>
      <c r="CY11" s="117">
        <f t="shared" si="28"/>
        <v>0.501</v>
      </c>
      <c r="CZ11" s="117">
        <f t="shared" si="28"/>
        <v>0.37999999999999995</v>
      </c>
      <c r="DA11" s="117">
        <f t="shared" si="28"/>
        <v>0.16999999999999998</v>
      </c>
      <c r="DB11" s="117">
        <f t="shared" si="28"/>
        <v>9.4629999999999992</v>
      </c>
      <c r="DC11" s="117">
        <f t="shared" si="28"/>
        <v>0.13530728481002544</v>
      </c>
      <c r="DD11" s="117">
        <f t="shared" si="28"/>
        <v>20.7</v>
      </c>
      <c r="DE11" s="117" t="str">
        <f t="shared" si="28"/>
        <v>S</v>
      </c>
      <c r="DF11" s="117" t="str">
        <f t="shared" si="28"/>
        <v>S</v>
      </c>
      <c r="DG11" s="117" t="str">
        <f t="shared" si="28"/>
        <v>S</v>
      </c>
      <c r="DH11" s="117" t="str">
        <f t="shared" si="28"/>
        <v>S</v>
      </c>
      <c r="DI11" s="117" t="str">
        <f t="shared" si="28"/>
        <v>S</v>
      </c>
      <c r="DJ11" s="117" t="str">
        <f t="shared" si="28"/>
        <v>S</v>
      </c>
      <c r="DK11" s="117" t="str">
        <f t="shared" si="28"/>
        <v>S</v>
      </c>
      <c r="DL11" s="117" t="str">
        <f t="shared" si="28"/>
        <v>S</v>
      </c>
      <c r="DM11" s="117" t="str">
        <f t="shared" si="28"/>
        <v>U</v>
      </c>
      <c r="DN11" s="117" t="str">
        <f t="shared" si="28"/>
        <v>U</v>
      </c>
      <c r="DO11" s="117" t="str">
        <f t="shared" si="28"/>
        <v>U</v>
      </c>
      <c r="DP11" s="117" t="str">
        <f t="shared" si="28"/>
        <v>U</v>
      </c>
      <c r="DQ11" s="3" t="str">
        <f t="shared" si="86"/>
        <v>S</v>
      </c>
      <c r="DR11" s="3" t="str">
        <f t="shared" si="86"/>
        <v>S</v>
      </c>
      <c r="DS11" s="3" t="str">
        <f t="shared" si="86"/>
        <v>S</v>
      </c>
      <c r="DT11" s="3" t="str">
        <f t="shared" si="86"/>
        <v>S</v>
      </c>
      <c r="DU11" s="3" t="str">
        <f t="shared" si="86"/>
        <v>S</v>
      </c>
      <c r="DV11" s="3" t="str">
        <f t="shared" si="86"/>
        <v>S</v>
      </c>
      <c r="DW11" s="3" t="str">
        <f t="shared" si="86"/>
        <v>S</v>
      </c>
      <c r="DX11" s="3" t="str">
        <f t="shared" si="86"/>
        <v>S</v>
      </c>
      <c r="DY11" s="117">
        <f t="shared" si="28"/>
        <v>29</v>
      </c>
      <c r="DZ11" s="117">
        <f t="shared" si="28"/>
        <v>0.25</v>
      </c>
      <c r="EA11" s="117">
        <f t="shared" si="28"/>
        <v>0.25</v>
      </c>
      <c r="EB11" s="117">
        <f t="shared" si="28"/>
        <v>3.9999999999999969</v>
      </c>
      <c r="EC11" s="117">
        <f t="shared" si="28"/>
        <v>1E-4</v>
      </c>
      <c r="ED11" s="117">
        <f t="shared" si="28"/>
        <v>1E-4</v>
      </c>
      <c r="EE11" s="117">
        <f t="shared" si="28"/>
        <v>0.25000000000000089</v>
      </c>
      <c r="EF11" s="117">
        <f t="shared" si="28"/>
        <v>1.5599999999999999E-2</v>
      </c>
      <c r="EG11" s="117" t="str">
        <f t="shared" ca="1" si="87"/>
        <v>U</v>
      </c>
      <c r="EH11" s="117" t="str">
        <f t="shared" ca="1" si="87"/>
        <v>S</v>
      </c>
      <c r="EI11" s="117" t="str">
        <f t="shared" ca="1" si="87"/>
        <v>U</v>
      </c>
      <c r="EJ11" s="117" t="str">
        <f t="shared" si="87"/>
        <v>S</v>
      </c>
      <c r="EK11" s="117" t="str">
        <f t="shared" ca="1" si="87"/>
        <v>U</v>
      </c>
      <c r="EL11" s="117" t="str">
        <f t="shared" ca="1" si="87"/>
        <v>S</v>
      </c>
      <c r="EM11" s="117">
        <f t="shared" si="28"/>
        <v>0.75</v>
      </c>
      <c r="EN11" s="117">
        <f t="shared" si="28"/>
        <v>0.19000000000423975</v>
      </c>
      <c r="EO11" s="117">
        <f t="shared" si="28"/>
        <v>0.62500000000001221</v>
      </c>
      <c r="EP11" s="117">
        <f t="shared" si="28"/>
        <v>1.5000000000000016</v>
      </c>
      <c r="EQ11" s="117">
        <f t="shared" si="28"/>
        <v>1.437500284744256</v>
      </c>
      <c r="ER11" s="117">
        <f t="shared" si="28"/>
        <v>0.5</v>
      </c>
      <c r="ES11" s="117" t="str">
        <f t="shared" si="88"/>
        <v>U</v>
      </c>
      <c r="ET11" s="117" t="str">
        <f t="shared" si="88"/>
        <v>U</v>
      </c>
      <c r="EU11" s="117" t="str">
        <f t="shared" si="88"/>
        <v>U</v>
      </c>
      <c r="EV11" s="117" t="str">
        <f t="shared" si="88"/>
        <v>U</v>
      </c>
      <c r="EW11" s="117" t="str">
        <f t="shared" si="88"/>
        <v>U</v>
      </c>
      <c r="EX11" s="117" t="str">
        <f t="shared" ca="1" si="30"/>
        <v>U</v>
      </c>
      <c r="EY11" s="117" t="str">
        <f t="shared" ca="1" si="30"/>
        <v>U</v>
      </c>
      <c r="EZ11" s="117" t="str">
        <f t="shared" ca="1" si="30"/>
        <v>U</v>
      </c>
      <c r="FA11" s="117" t="str">
        <f t="shared" ca="1" si="88"/>
        <v>U</v>
      </c>
      <c r="FB11" s="117" t="str">
        <f t="shared" ca="1" si="88"/>
        <v>U</v>
      </c>
      <c r="FC11" s="117" t="str">
        <f t="shared" ca="1" si="88"/>
        <v>U</v>
      </c>
      <c r="FD11" s="117" t="str">
        <f t="shared" ca="1" si="88"/>
        <v>U</v>
      </c>
      <c r="FE11" s="117" t="str">
        <f t="shared" ca="1" si="88"/>
        <v>U</v>
      </c>
      <c r="FF11" s="117" t="str">
        <f t="shared" ca="1" si="88"/>
        <v>U</v>
      </c>
      <c r="FG11" s="117">
        <f t="shared" ref="FG11:IK14" ca="1" si="123">FG$6</f>
        <v>48</v>
      </c>
      <c r="FH11" s="117" t="str">
        <f t="shared" si="123"/>
        <v>U</v>
      </c>
      <c r="FI11" s="117" t="str">
        <f t="shared" si="123"/>
        <v>S</v>
      </c>
      <c r="FJ11" s="3" t="str">
        <f t="shared" si="89"/>
        <v>S</v>
      </c>
      <c r="FK11" s="3" t="str">
        <f t="shared" si="89"/>
        <v>S</v>
      </c>
      <c r="FL11" s="309" t="str">
        <f t="shared" si="89"/>
        <v>S</v>
      </c>
      <c r="FM11" s="117" t="str">
        <f t="shared" ca="1" si="33"/>
        <v>U</v>
      </c>
      <c r="FN11" s="117" t="str">
        <f t="shared" ca="1" si="33"/>
        <v>U</v>
      </c>
      <c r="FO11" s="117">
        <f t="shared" ca="1" si="33"/>
        <v>48</v>
      </c>
      <c r="FP11" s="117">
        <f t="shared" ca="1" si="33"/>
        <v>16</v>
      </c>
      <c r="FQ11" s="310" t="str">
        <f t="shared" si="89"/>
        <v>S</v>
      </c>
      <c r="FR11" s="3" t="str">
        <f t="shared" si="89"/>
        <v>S</v>
      </c>
      <c r="FS11" s="3" t="str">
        <f t="shared" si="89"/>
        <v>S</v>
      </c>
      <c r="FT11" s="3" t="str">
        <f t="shared" si="89"/>
        <v>S</v>
      </c>
      <c r="FU11" s="3" t="str">
        <f t="shared" si="89"/>
        <v>S</v>
      </c>
      <c r="FV11" s="3" t="str">
        <f t="shared" si="89"/>
        <v>S</v>
      </c>
      <c r="FW11" s="3" t="str">
        <f t="shared" si="89"/>
        <v>S</v>
      </c>
      <c r="FX11" s="117" t="str">
        <f t="shared" si="36"/>
        <v>U</v>
      </c>
      <c r="FY11" s="117" t="str">
        <f t="shared" si="36"/>
        <v>U</v>
      </c>
      <c r="FZ11" s="117">
        <f t="shared" si="32"/>
        <v>27</v>
      </c>
      <c r="GA11" s="117">
        <f t="shared" si="123"/>
        <v>19</v>
      </c>
      <c r="GB11" s="117">
        <f t="shared" si="123"/>
        <v>10</v>
      </c>
      <c r="GC11" s="117">
        <f t="shared" si="123"/>
        <v>15.000000000000009</v>
      </c>
      <c r="GD11" s="117">
        <f t="shared" si="123"/>
        <v>1</v>
      </c>
      <c r="GE11" s="117">
        <f t="shared" si="123"/>
        <v>12.000000000000007</v>
      </c>
      <c r="GF11" s="117">
        <f t="shared" si="123"/>
        <v>1</v>
      </c>
      <c r="GG11" s="117">
        <f t="shared" si="123"/>
        <v>1</v>
      </c>
      <c r="GH11" s="117">
        <f t="shared" si="123"/>
        <v>12.000010000000007</v>
      </c>
      <c r="GI11" s="117" t="str">
        <f t="shared" ca="1" si="32"/>
        <v>U</v>
      </c>
      <c r="GJ11" s="117" t="str">
        <f t="shared" ca="1" si="32"/>
        <v>S</v>
      </c>
      <c r="GK11" s="117" t="str">
        <f t="shared" ca="1" si="32"/>
        <v>U</v>
      </c>
      <c r="GL11" s="117" t="str">
        <f t="shared" ca="1" si="32"/>
        <v>U</v>
      </c>
      <c r="GM11" s="117" t="str">
        <f t="shared" ca="1" si="32"/>
        <v>U</v>
      </c>
      <c r="GN11" s="117" t="str">
        <f t="shared" ca="1" si="32"/>
        <v>U</v>
      </c>
      <c r="GO11" s="117" t="str">
        <f t="shared" ca="1" si="32"/>
        <v>U</v>
      </c>
      <c r="GP11" s="117">
        <f t="shared" si="32"/>
        <v>1.0000000005663834E-5</v>
      </c>
      <c r="GQ11" s="117">
        <f t="shared" si="32"/>
        <v>5.9999999999999991</v>
      </c>
      <c r="GR11" s="117">
        <f t="shared" si="123"/>
        <v>1</v>
      </c>
      <c r="GS11" s="117">
        <f t="shared" si="123"/>
        <v>10</v>
      </c>
      <c r="GT11" s="117">
        <f t="shared" si="123"/>
        <v>15.000000000000009</v>
      </c>
      <c r="GU11" s="117">
        <f t="shared" si="123"/>
        <v>0</v>
      </c>
      <c r="GV11" s="117">
        <f t="shared" si="123"/>
        <v>6.0000000000000036</v>
      </c>
      <c r="GW11" s="117">
        <f t="shared" si="123"/>
        <v>1</v>
      </c>
      <c r="GX11" s="117">
        <f t="shared" si="123"/>
        <v>1</v>
      </c>
      <c r="GY11" s="117" t="str">
        <f t="shared" ca="1" si="32"/>
        <v>S</v>
      </c>
      <c r="GZ11" s="117">
        <f t="shared" si="123"/>
        <v>1.500010000000001</v>
      </c>
      <c r="HA11" s="117" t="str">
        <f t="shared" ca="1" si="32"/>
        <v>S</v>
      </c>
      <c r="HB11" s="117" t="str">
        <f t="shared" ca="1" si="32"/>
        <v>S</v>
      </c>
      <c r="HC11" s="117" t="str">
        <f t="shared" ca="1" si="123"/>
        <v>S</v>
      </c>
      <c r="HD11" s="117" t="str">
        <f t="shared" ca="1" si="123"/>
        <v>S</v>
      </c>
      <c r="HE11" s="117" t="str">
        <f t="shared" ca="1" si="123"/>
        <v>S</v>
      </c>
      <c r="HF11" s="208" t="str">
        <f t="shared" si="37"/>
        <v>Yes - Right Side</v>
      </c>
      <c r="HG11" s="117" t="str">
        <f t="shared" si="123"/>
        <v>S</v>
      </c>
      <c r="HH11" s="117" t="str">
        <f t="shared" si="123"/>
        <v>U</v>
      </c>
      <c r="HI11" s="117" t="str">
        <f t="shared" si="39"/>
        <v>U</v>
      </c>
      <c r="HJ11" s="3" t="str">
        <f t="shared" si="40"/>
        <v>S</v>
      </c>
      <c r="HK11" s="3" t="str">
        <f t="shared" si="40"/>
        <v>S</v>
      </c>
      <c r="HL11" s="117">
        <f t="shared" ca="1" si="123"/>
        <v>48</v>
      </c>
      <c r="HM11" s="117">
        <f t="shared" si="123"/>
        <v>3.9999999999999998E-6</v>
      </c>
      <c r="HN11" s="3" t="str">
        <f t="shared" si="41"/>
        <v>S</v>
      </c>
      <c r="HO11" s="117">
        <f t="shared" ca="1" si="123"/>
        <v>18</v>
      </c>
      <c r="HP11" s="117">
        <f t="shared" ca="1" si="123"/>
        <v>48.000003999999997</v>
      </c>
      <c r="HQ11" s="3" t="str">
        <f t="shared" si="42"/>
        <v>S</v>
      </c>
      <c r="HR11" s="3" t="str">
        <f t="shared" si="42"/>
        <v>S</v>
      </c>
      <c r="HS11" s="117">
        <f t="shared" ca="1" si="123"/>
        <v>359.99999600000001</v>
      </c>
      <c r="HT11" s="117">
        <f t="shared" ca="1" si="123"/>
        <v>23.999968000000024</v>
      </c>
      <c r="HU11" s="117">
        <f t="shared" ca="1" si="123"/>
        <v>23.999968000000024</v>
      </c>
      <c r="HV11" s="117">
        <f t="shared" ca="1" si="123"/>
        <v>3.9999373887056513</v>
      </c>
      <c r="HW11" s="117">
        <f t="shared" ca="1" si="123"/>
        <v>24</v>
      </c>
      <c r="HX11" s="117">
        <f t="shared" si="123"/>
        <v>388.8125</v>
      </c>
      <c r="HY11" s="117">
        <f t="shared" ca="1" si="123"/>
        <v>360.00000399999999</v>
      </c>
      <c r="HZ11" s="117">
        <f t="shared" ca="1" si="43"/>
        <v>3.9999373887056513</v>
      </c>
      <c r="IA11" s="117">
        <f t="shared" ca="1" si="43"/>
        <v>24.000035999999973</v>
      </c>
      <c r="IB11" s="3" t="str">
        <f t="shared" si="44"/>
        <v>S</v>
      </c>
      <c r="IC11" s="3" t="str">
        <f t="shared" si="44"/>
        <v>S</v>
      </c>
      <c r="ID11" s="117">
        <f t="shared" ca="1" si="123"/>
        <v>27.999905388705674</v>
      </c>
      <c r="IE11" s="3" t="str">
        <f t="shared" si="45"/>
        <v>S</v>
      </c>
      <c r="IF11" s="3" t="str">
        <f t="shared" si="45"/>
        <v>S</v>
      </c>
      <c r="IG11" s="3" t="str">
        <f t="shared" si="45"/>
        <v>S</v>
      </c>
      <c r="IH11" s="3" t="str">
        <f t="shared" si="45"/>
        <v>S</v>
      </c>
      <c r="II11" s="3" t="str">
        <f t="shared" si="45"/>
        <v>S</v>
      </c>
      <c r="IJ11" s="117">
        <f t="shared" ca="1" si="123"/>
        <v>23.999968000000024</v>
      </c>
      <c r="IK11" s="117">
        <f t="shared" ca="1" si="123"/>
        <v>3.9999373887056513</v>
      </c>
      <c r="IL11" s="3" t="str">
        <f t="shared" si="46"/>
        <v>S</v>
      </c>
      <c r="IM11" s="3" t="str">
        <f t="shared" si="46"/>
        <v>S</v>
      </c>
      <c r="IN11" s="3" t="str">
        <f t="shared" si="46"/>
        <v>S</v>
      </c>
      <c r="IO11" s="3" t="str">
        <f t="shared" si="46"/>
        <v>S</v>
      </c>
      <c r="IP11" s="3" t="str">
        <f t="shared" si="46"/>
        <v>S</v>
      </c>
      <c r="IQ11" s="3" t="str">
        <f t="shared" si="46"/>
        <v>S</v>
      </c>
      <c r="IR11" s="3" t="str">
        <f t="shared" si="46"/>
        <v>S</v>
      </c>
      <c r="IS11" s="3" t="str">
        <f t="shared" si="46"/>
        <v>S</v>
      </c>
      <c r="IT11" s="3" t="str">
        <f t="shared" si="46"/>
        <v>S</v>
      </c>
      <c r="IU11" s="3" t="str">
        <f t="shared" si="46"/>
        <v>S</v>
      </c>
      <c r="IV11" s="3" t="str">
        <f t="shared" si="46"/>
        <v>S</v>
      </c>
      <c r="IW11" s="3" t="str">
        <f t="shared" si="46"/>
        <v>S</v>
      </c>
      <c r="IX11" s="3" t="str">
        <f t="shared" si="46"/>
        <v>S</v>
      </c>
      <c r="IY11" s="117">
        <f t="shared" ca="1" si="47"/>
        <v>1</v>
      </c>
      <c r="IZ11" s="117">
        <f t="shared" ca="1" si="47"/>
        <v>3</v>
      </c>
      <c r="JA11" s="117">
        <f t="shared" ca="1" si="47"/>
        <v>9.9999999999999995E-7</v>
      </c>
      <c r="JB11" s="117">
        <f t="shared" ca="1" si="48"/>
        <v>1.0000000000000001E-5</v>
      </c>
      <c r="JC11" s="117">
        <f t="shared" ca="1" si="48"/>
        <v>1.0000000000000001E-5</v>
      </c>
      <c r="JD11" s="117" t="str">
        <f t="shared" ca="1" si="47"/>
        <v>S</v>
      </c>
      <c r="JE11" s="117" t="str">
        <f t="shared" ca="1" si="47"/>
        <v>S</v>
      </c>
      <c r="JF11" s="117" t="str">
        <f t="shared" ca="1" si="47"/>
        <v>S</v>
      </c>
      <c r="JG11" s="117" t="str">
        <f t="shared" ca="1" si="47"/>
        <v>S</v>
      </c>
      <c r="JH11" s="117" t="str">
        <f t="shared" ca="1" si="47"/>
        <v>S</v>
      </c>
      <c r="JI11" s="117">
        <f t="shared" ref="JI11:JN13" si="124">JI$6</f>
        <v>0.1046</v>
      </c>
      <c r="JJ11" s="199">
        <f t="shared" si="49"/>
        <v>0.39290028474001548</v>
      </c>
      <c r="JK11" s="117">
        <f t="shared" si="124"/>
        <v>0.51790028474001548</v>
      </c>
      <c r="JL11" s="117">
        <f t="shared" si="124"/>
        <v>0.5</v>
      </c>
      <c r="JM11" s="117">
        <f t="shared" si="124"/>
        <v>0.375</v>
      </c>
      <c r="JN11" s="117">
        <f t="shared" si="124"/>
        <v>0.375</v>
      </c>
      <c r="JO11" s="117">
        <f t="shared" si="47"/>
        <v>11.25</v>
      </c>
      <c r="JP11" s="117" t="str">
        <f t="shared" si="50"/>
        <v>S</v>
      </c>
      <c r="JQ11" s="117" t="str">
        <f t="shared" si="50"/>
        <v>S</v>
      </c>
      <c r="JR11" s="117" t="str">
        <f t="shared" si="50"/>
        <v>S</v>
      </c>
      <c r="JS11" s="117" t="str">
        <f t="shared" si="47"/>
        <v>U</v>
      </c>
      <c r="JT11" s="117" t="str">
        <f t="shared" si="47"/>
        <v>U</v>
      </c>
      <c r="JU11" s="117" t="str">
        <f t="shared" si="51"/>
        <v>S</v>
      </c>
      <c r="JV11" s="3" t="str">
        <f t="shared" si="90"/>
        <v>S</v>
      </c>
      <c r="JW11" s="3" t="str">
        <f t="shared" si="90"/>
        <v>S</v>
      </c>
      <c r="JX11" s="3" t="str">
        <f t="shared" si="90"/>
        <v>S</v>
      </c>
      <c r="JY11" s="3" t="str">
        <f t="shared" si="90"/>
        <v>S</v>
      </c>
      <c r="JZ11" s="3" t="str">
        <f t="shared" si="90"/>
        <v>S</v>
      </c>
      <c r="KA11" s="3" t="str">
        <f t="shared" si="90"/>
        <v>S</v>
      </c>
      <c r="KB11" s="3" t="str">
        <f t="shared" si="90"/>
        <v>S</v>
      </c>
      <c r="KC11" s="3" t="str">
        <f t="shared" si="90"/>
        <v>S</v>
      </c>
      <c r="KD11" s="3" t="str">
        <f t="shared" si="90"/>
        <v>S</v>
      </c>
      <c r="KE11" s="3" t="str">
        <f t="shared" si="90"/>
        <v>S</v>
      </c>
      <c r="KF11" s="3" t="str">
        <f t="shared" si="90"/>
        <v>S</v>
      </c>
      <c r="KG11" s="3" t="str">
        <f t="shared" si="90"/>
        <v>S</v>
      </c>
      <c r="KH11" s="3" t="str">
        <f t="shared" si="90"/>
        <v>S</v>
      </c>
      <c r="KI11" s="3" t="str">
        <f t="shared" si="90"/>
        <v>S</v>
      </c>
      <c r="KJ11" s="3" t="str">
        <f t="shared" si="90"/>
        <v>S</v>
      </c>
      <c r="KK11" s="3" t="str">
        <f t="shared" si="90"/>
        <v>S</v>
      </c>
      <c r="KL11" s="3" t="str">
        <f t="shared" si="90"/>
        <v>S</v>
      </c>
      <c r="KM11" s="3" t="str">
        <f t="shared" si="90"/>
        <v>S</v>
      </c>
      <c r="KN11" s="117">
        <f t="shared" si="47"/>
        <v>1.0000000000000001E-5</v>
      </c>
      <c r="KO11" s="3" t="str">
        <f t="shared" si="91"/>
        <v>S</v>
      </c>
      <c r="KP11" s="117" t="str">
        <f t="shared" si="47"/>
        <v>S</v>
      </c>
      <c r="KQ11" s="117" t="str">
        <f t="shared" si="47"/>
        <v>S</v>
      </c>
      <c r="KR11" s="117" t="str">
        <f t="shared" si="47"/>
        <v>S</v>
      </c>
      <c r="KS11" s="117" t="str">
        <f t="shared" si="47"/>
        <v>S</v>
      </c>
      <c r="KT11" s="117" t="str">
        <f t="shared" si="47"/>
        <v>S</v>
      </c>
      <c r="KU11" s="117" t="str">
        <f t="shared" si="47"/>
        <v>S</v>
      </c>
      <c r="KV11" s="117" t="str">
        <f t="shared" si="47"/>
        <v>S</v>
      </c>
      <c r="KW11" s="117">
        <f t="shared" si="47"/>
        <v>2</v>
      </c>
      <c r="KX11" s="117">
        <f t="shared" si="47"/>
        <v>3.0000000000000004</v>
      </c>
      <c r="KY11" s="117">
        <f t="shared" si="47"/>
        <v>0.25</v>
      </c>
      <c r="KZ11" s="117">
        <f t="shared" si="47"/>
        <v>0.3125</v>
      </c>
      <c r="LA11" s="117">
        <f t="shared" si="47"/>
        <v>0.25</v>
      </c>
      <c r="LB11" s="117">
        <f t="shared" si="47"/>
        <v>2.0000000000000001E-4</v>
      </c>
      <c r="LC11" s="117" t="str">
        <f t="shared" si="47"/>
        <v>S</v>
      </c>
      <c r="LD11" s="3" t="str">
        <f t="shared" si="92"/>
        <v>S</v>
      </c>
      <c r="LE11" s="117" t="str">
        <f t="shared" si="47"/>
        <v>S</v>
      </c>
      <c r="LF11" s="117" t="str">
        <f t="shared" si="47"/>
        <v>S</v>
      </c>
      <c r="LG11" s="117" t="str">
        <f t="shared" si="111"/>
        <v>S</v>
      </c>
      <c r="LH11" s="117" t="str">
        <f t="shared" si="111"/>
        <v>S</v>
      </c>
      <c r="LI11" s="117" t="str">
        <f t="shared" si="111"/>
        <v>S</v>
      </c>
      <c r="LJ11" s="117" t="str">
        <f t="shared" si="111"/>
        <v>S</v>
      </c>
      <c r="LK11" s="117" t="str">
        <f t="shared" si="111"/>
        <v>S</v>
      </c>
      <c r="LL11" s="117" t="str">
        <f t="shared" si="111"/>
        <v>S</v>
      </c>
      <c r="LM11" s="117" t="str">
        <f t="shared" si="111"/>
        <v>S</v>
      </c>
      <c r="LN11" s="117" t="str">
        <f t="shared" si="111"/>
        <v>S</v>
      </c>
      <c r="LO11" s="117" t="str">
        <f t="shared" si="111"/>
        <v>S</v>
      </c>
      <c r="LP11" s="117" t="str">
        <f t="shared" si="111"/>
        <v>S</v>
      </c>
      <c r="LQ11" s="117">
        <f t="shared" si="111"/>
        <v>3.0000000000000004</v>
      </c>
      <c r="LR11" s="117">
        <f t="shared" si="111"/>
        <v>0.16999999999999998</v>
      </c>
      <c r="LS11" s="117">
        <f t="shared" si="111"/>
        <v>1.41</v>
      </c>
      <c r="LT11" s="117">
        <f t="shared" si="111"/>
        <v>0.27300000000000002</v>
      </c>
      <c r="LU11" s="117">
        <f t="shared" si="111"/>
        <v>0.27</v>
      </c>
      <c r="LV11" s="117">
        <f t="shared" si="111"/>
        <v>0.1</v>
      </c>
      <c r="LW11" s="117">
        <f t="shared" si="111"/>
        <v>9.4629999999999992</v>
      </c>
      <c r="LX11" s="117">
        <f t="shared" si="111"/>
        <v>8.4947435596928661E-2</v>
      </c>
      <c r="LY11" s="117">
        <f t="shared" si="111"/>
        <v>4.0999999999999996</v>
      </c>
      <c r="LZ11" s="117" t="str">
        <f t="shared" si="111"/>
        <v>S</v>
      </c>
      <c r="MA11" s="117" t="str">
        <f t="shared" si="111"/>
        <v>S</v>
      </c>
      <c r="MB11" s="117" t="str">
        <f t="shared" si="111"/>
        <v>S</v>
      </c>
      <c r="MC11" s="117" t="str">
        <f t="shared" si="111"/>
        <v>S</v>
      </c>
      <c r="MD11" s="117" t="str">
        <f t="shared" si="52"/>
        <v>S</v>
      </c>
      <c r="ME11" s="117" t="str">
        <f t="shared" si="111"/>
        <v>S</v>
      </c>
      <c r="MF11" s="117" t="str">
        <f t="shared" si="111"/>
        <v>S</v>
      </c>
      <c r="MG11" s="117" t="str">
        <f t="shared" si="111"/>
        <v>S</v>
      </c>
      <c r="MH11" s="117" t="str">
        <f t="shared" si="111"/>
        <v>S</v>
      </c>
      <c r="MI11" s="117" t="str">
        <f t="shared" si="111"/>
        <v>S</v>
      </c>
      <c r="MJ11" s="117" t="str">
        <f t="shared" si="112"/>
        <v>S</v>
      </c>
      <c r="MK11" s="117" t="str">
        <f t="shared" si="113"/>
        <v>S</v>
      </c>
      <c r="ML11" s="117" t="str">
        <f t="shared" si="113"/>
        <v>S</v>
      </c>
      <c r="MM11" s="117" t="str">
        <f t="shared" si="111"/>
        <v>S</v>
      </c>
      <c r="MN11" s="117" t="str">
        <f t="shared" si="111"/>
        <v>S</v>
      </c>
      <c r="MO11" s="117" t="str">
        <f t="shared" si="111"/>
        <v>S</v>
      </c>
      <c r="MP11" s="117" t="str">
        <f t="shared" si="111"/>
        <v>S</v>
      </c>
      <c r="MQ11" s="117" t="str">
        <f t="shared" si="111"/>
        <v>S</v>
      </c>
      <c r="MR11" s="117" t="str">
        <f>MR$6</f>
        <v>S</v>
      </c>
      <c r="MS11" s="117" t="str">
        <f t="shared" si="111"/>
        <v>S</v>
      </c>
      <c r="MT11" s="117" t="str">
        <f t="shared" si="111"/>
        <v>S</v>
      </c>
      <c r="MU11" s="117" t="str">
        <f t="shared" si="111"/>
        <v>S</v>
      </c>
      <c r="MV11" s="117" t="str">
        <f t="shared" si="111"/>
        <v>S</v>
      </c>
      <c r="MW11" s="117" t="str">
        <f t="shared" si="111"/>
        <v>S</v>
      </c>
      <c r="MX11" s="117" t="str">
        <f t="shared" si="111"/>
        <v>S</v>
      </c>
      <c r="MY11" s="117" t="str">
        <f t="shared" si="111"/>
        <v>S</v>
      </c>
      <c r="MZ11" s="117" t="str">
        <f t="shared" si="111"/>
        <v>S</v>
      </c>
      <c r="NA11" s="117" t="str">
        <f t="shared" si="111"/>
        <v>S</v>
      </c>
      <c r="NB11" s="117" t="str">
        <f t="shared" si="111"/>
        <v>S</v>
      </c>
      <c r="NC11" s="117" t="str">
        <f t="shared" si="111"/>
        <v>S</v>
      </c>
      <c r="ND11" s="117" t="str">
        <f t="shared" si="114"/>
        <v>S</v>
      </c>
      <c r="NE11" s="117">
        <f t="shared" si="95"/>
        <v>0</v>
      </c>
      <c r="NF11" s="117">
        <f t="shared" si="111"/>
        <v>1.0000000000000001E-5</v>
      </c>
      <c r="NG11" s="117" t="str">
        <f t="shared" si="111"/>
        <v>S</v>
      </c>
      <c r="NH11" s="117" t="str">
        <f t="shared" si="111"/>
        <v>S</v>
      </c>
      <c r="NI11" s="117" t="str">
        <f t="shared" si="111"/>
        <v>S</v>
      </c>
      <c r="NJ11" s="117" t="str">
        <f t="shared" si="111"/>
        <v>S</v>
      </c>
      <c r="NK11" s="117" t="str">
        <f t="shared" si="111"/>
        <v>S</v>
      </c>
      <c r="NL11" s="117" t="str">
        <f t="shared" si="111"/>
        <v>S</v>
      </c>
      <c r="NM11" s="117" t="str">
        <f t="shared" si="111"/>
        <v>S</v>
      </c>
      <c r="NN11" s="117" t="str">
        <f t="shared" si="111"/>
        <v>S</v>
      </c>
      <c r="NO11" s="117">
        <f t="shared" si="111"/>
        <v>4</v>
      </c>
      <c r="NP11" s="117">
        <f t="shared" si="111"/>
        <v>6.0000000000000009</v>
      </c>
      <c r="NQ11" s="117">
        <f t="shared" si="111"/>
        <v>0.625</v>
      </c>
      <c r="NR11" s="117">
        <f t="shared" si="111"/>
        <v>0.5</v>
      </c>
      <c r="NS11" s="117">
        <f t="shared" si="111"/>
        <v>0.5</v>
      </c>
      <c r="NT11" s="117">
        <f t="shared" si="52"/>
        <v>0.12520000000000001</v>
      </c>
      <c r="NU11" s="265" t="str">
        <f t="shared" si="55"/>
        <v>S</v>
      </c>
      <c r="NV11" s="117" t="str">
        <f t="shared" si="56"/>
        <v>S</v>
      </c>
      <c r="NW11" s="117" t="str">
        <f t="shared" si="56"/>
        <v>S</v>
      </c>
      <c r="NX11" s="117" t="str">
        <f t="shared" si="56"/>
        <v>S</v>
      </c>
      <c r="NY11" s="117" t="str">
        <f t="shared" si="56"/>
        <v>S</v>
      </c>
      <c r="NZ11" s="117" t="str">
        <f t="shared" si="57"/>
        <v>S</v>
      </c>
      <c r="OA11" s="117" t="str">
        <f t="shared" si="57"/>
        <v>S</v>
      </c>
      <c r="OB11" s="117" t="str">
        <f t="shared" si="57"/>
        <v>S</v>
      </c>
      <c r="OC11" s="117" t="str">
        <f t="shared" si="56"/>
        <v>S</v>
      </c>
      <c r="OD11" s="117" t="str">
        <f t="shared" si="56"/>
        <v>S</v>
      </c>
      <c r="OE11" s="117">
        <f t="shared" si="56"/>
        <v>3.0000000000000004</v>
      </c>
      <c r="OF11" s="117">
        <f t="shared" si="56"/>
        <v>0.16999999999999998</v>
      </c>
      <c r="OG11" s="117">
        <f t="shared" si="56"/>
        <v>1.41</v>
      </c>
      <c r="OH11" s="117">
        <f t="shared" si="56"/>
        <v>0.27300000000000002</v>
      </c>
      <c r="OI11" s="117">
        <f t="shared" si="56"/>
        <v>0.27</v>
      </c>
      <c r="OJ11" s="117">
        <f t="shared" si="56"/>
        <v>0.1</v>
      </c>
      <c r="OK11" s="117">
        <f t="shared" si="56"/>
        <v>9.4629999999999992</v>
      </c>
      <c r="OL11" s="117">
        <f t="shared" si="56"/>
        <v>8.4947435596928661E-2</v>
      </c>
      <c r="OM11" s="117">
        <f t="shared" si="56"/>
        <v>4.0999999999999996</v>
      </c>
      <c r="ON11" s="265" t="str">
        <f t="shared" si="58"/>
        <v>S</v>
      </c>
      <c r="OO11" s="3" t="str">
        <f t="shared" si="98"/>
        <v>S</v>
      </c>
      <c r="OP11" s="3" t="str">
        <f t="shared" si="98"/>
        <v>S</v>
      </c>
      <c r="OQ11" s="3" t="str">
        <f t="shared" si="98"/>
        <v>S</v>
      </c>
      <c r="OR11" s="3" t="str">
        <f t="shared" si="98"/>
        <v>S</v>
      </c>
      <c r="OS11" s="3" t="str">
        <f t="shared" si="98"/>
        <v>S</v>
      </c>
      <c r="OT11" s="3" t="str">
        <f t="shared" si="98"/>
        <v>S</v>
      </c>
      <c r="OU11" s="117">
        <f t="shared" si="56"/>
        <v>22.352885682963269</v>
      </c>
      <c r="OV11" s="117">
        <f t="shared" si="56"/>
        <v>1.5625</v>
      </c>
      <c r="OW11" s="117">
        <f t="shared" si="56"/>
        <v>2</v>
      </c>
      <c r="OX11" s="117">
        <f t="shared" ca="1" si="56"/>
        <v>1.0000000000000001E-5</v>
      </c>
      <c r="OY11" s="3" t="str">
        <f t="shared" ref="OY11:PB14" si="125">"S"</f>
        <v>S</v>
      </c>
      <c r="OZ11" s="3" t="str">
        <f t="shared" si="125"/>
        <v>S</v>
      </c>
      <c r="PA11" s="3" t="str">
        <f t="shared" si="125"/>
        <v>S</v>
      </c>
      <c r="PB11" s="3" t="str">
        <f t="shared" si="125"/>
        <v>S</v>
      </c>
      <c r="PC11" s="117">
        <f t="shared" si="60"/>
        <v>1.0000006859324079E-6</v>
      </c>
      <c r="PD11" s="117">
        <f t="shared" si="60"/>
        <v>1.0000000313816476E-6</v>
      </c>
      <c r="PE11" s="117">
        <f t="shared" si="61"/>
        <v>9.9999936016657661E-7</v>
      </c>
      <c r="PF11" s="117">
        <f t="shared" si="61"/>
        <v>9.9999997677932015E-7</v>
      </c>
      <c r="PG11" s="3" t="str">
        <f t="shared" si="99"/>
        <v>S</v>
      </c>
      <c r="PH11" s="3" t="str">
        <f t="shared" si="99"/>
        <v>S</v>
      </c>
      <c r="PI11" s="3" t="str">
        <f t="shared" si="99"/>
        <v>S</v>
      </c>
      <c r="PJ11" s="3" t="str">
        <f t="shared" si="99"/>
        <v>S</v>
      </c>
      <c r="PK11" s="117" t="str">
        <f t="shared" si="56"/>
        <v>Teflon, 2.5 x 2.5</v>
      </c>
      <c r="PL11" s="117" t="str">
        <f t="shared" si="56"/>
        <v>Teflon, 2.5 x 2.5</v>
      </c>
      <c r="PM11" s="117">
        <f t="shared" si="62"/>
        <v>0</v>
      </c>
      <c r="PN11" s="117" t="str">
        <f t="shared" si="56"/>
        <v>Teflon, 2.5 x 2.5</v>
      </c>
      <c r="PO11" s="117" t="str">
        <f t="shared" si="56"/>
        <v>Teflon, 2.5 x 2.5</v>
      </c>
      <c r="PP11" s="117">
        <f t="shared" si="63"/>
        <v>0</v>
      </c>
      <c r="PQ11" s="117">
        <f t="shared" si="56"/>
        <v>0.125</v>
      </c>
      <c r="PR11" s="117">
        <f t="shared" si="56"/>
        <v>0.125</v>
      </c>
      <c r="PS11" s="117">
        <f t="shared" si="64"/>
        <v>0.125</v>
      </c>
      <c r="PT11" s="117">
        <f t="shared" si="64"/>
        <v>0.125</v>
      </c>
      <c r="PU11" s="3" t="str">
        <f t="shared" ref="PU11:QE14" si="126">"S"</f>
        <v>S</v>
      </c>
      <c r="PV11" s="3" t="str">
        <f t="shared" si="126"/>
        <v>S</v>
      </c>
      <c r="PW11" s="3" t="str">
        <f t="shared" si="126"/>
        <v>S</v>
      </c>
      <c r="PX11" s="3" t="str">
        <f t="shared" si="126"/>
        <v>S</v>
      </c>
      <c r="PY11" s="3" t="str">
        <f t="shared" si="126"/>
        <v>S</v>
      </c>
      <c r="PZ11" s="3" t="str">
        <f t="shared" si="126"/>
        <v>S</v>
      </c>
      <c r="QA11" s="3" t="str">
        <f t="shared" si="126"/>
        <v>S</v>
      </c>
      <c r="QB11" s="3" t="str">
        <f t="shared" si="126"/>
        <v>S</v>
      </c>
      <c r="QC11" s="3" t="str">
        <f t="shared" si="126"/>
        <v>S</v>
      </c>
      <c r="QD11" s="3" t="str">
        <f t="shared" si="126"/>
        <v>S</v>
      </c>
      <c r="QE11" s="3" t="str">
        <f t="shared" si="126"/>
        <v>S</v>
      </c>
      <c r="QF11" s="117">
        <f t="shared" ca="1" si="56"/>
        <v>3</v>
      </c>
      <c r="QG11" s="117">
        <f t="shared" ca="1" si="56"/>
        <v>1.5</v>
      </c>
      <c r="QH11" s="117">
        <f t="shared" ca="1" si="56"/>
        <v>1</v>
      </c>
      <c r="QI11" s="117">
        <f t="shared" ca="1" si="56"/>
        <v>3</v>
      </c>
      <c r="QJ11" s="117" t="str">
        <f t="shared" ca="1" si="56"/>
        <v>S</v>
      </c>
      <c r="QK11" s="3" t="str">
        <f t="shared" ref="QK11:RC14" si="127">"S"</f>
        <v>S</v>
      </c>
      <c r="QL11" s="3" t="str">
        <f t="shared" si="127"/>
        <v>S</v>
      </c>
      <c r="QM11" s="3" t="str">
        <f t="shared" si="127"/>
        <v>S</v>
      </c>
      <c r="QN11" s="3" t="str">
        <f t="shared" si="127"/>
        <v>S</v>
      </c>
      <c r="QO11" s="3" t="str">
        <f t="shared" si="127"/>
        <v>S</v>
      </c>
      <c r="QP11" s="3" t="str">
        <f t="shared" si="127"/>
        <v>S</v>
      </c>
      <c r="QQ11" s="3" t="str">
        <f t="shared" si="127"/>
        <v>S</v>
      </c>
      <c r="QR11" s="3" t="str">
        <f t="shared" si="127"/>
        <v>S</v>
      </c>
      <c r="QS11" s="3" t="str">
        <f t="shared" si="127"/>
        <v>S</v>
      </c>
      <c r="QT11" s="182" t="str">
        <f t="shared" si="127"/>
        <v>S</v>
      </c>
      <c r="QU11" s="3" t="str">
        <f t="shared" si="127"/>
        <v>S</v>
      </c>
      <c r="QV11" s="3" t="str">
        <f t="shared" si="127"/>
        <v>S</v>
      </c>
      <c r="QW11" s="3" t="str">
        <f t="shared" si="127"/>
        <v>S</v>
      </c>
      <c r="QX11" s="3" t="str">
        <f t="shared" si="127"/>
        <v>S</v>
      </c>
      <c r="QY11" s="3" t="str">
        <f t="shared" si="127"/>
        <v>S</v>
      </c>
      <c r="QZ11" s="3" t="str">
        <f t="shared" si="127"/>
        <v>S</v>
      </c>
      <c r="RA11" s="3" t="str">
        <f t="shared" si="127"/>
        <v>S</v>
      </c>
      <c r="RB11" s="3" t="str">
        <f t="shared" si="127"/>
        <v>S</v>
      </c>
      <c r="RC11" s="3" t="str">
        <f t="shared" si="127"/>
        <v>S</v>
      </c>
      <c r="RD11" s="117">
        <f t="shared" si="56"/>
        <v>2</v>
      </c>
      <c r="RE11" s="117">
        <f t="shared" si="56"/>
        <v>3.0000000000000004</v>
      </c>
      <c r="RF11" s="117">
        <f t="shared" si="56"/>
        <v>0.18750000000000003</v>
      </c>
      <c r="RG11" s="117">
        <f t="shared" si="56"/>
        <v>0.3125</v>
      </c>
      <c r="RH11" s="117">
        <f t="shared" si="56"/>
        <v>0.18750000000000003</v>
      </c>
      <c r="RI11" s="117">
        <f t="shared" si="117"/>
        <v>2.0000000000000001E-4</v>
      </c>
      <c r="RJ11" s="3" t="str">
        <f t="shared" ref="RJ11:RQ14" si="128">"S"</f>
        <v>S</v>
      </c>
      <c r="RK11" s="3" t="str">
        <f t="shared" si="128"/>
        <v>S</v>
      </c>
      <c r="RL11" s="3" t="str">
        <f t="shared" si="128"/>
        <v>S</v>
      </c>
      <c r="RM11" s="3" t="str">
        <f t="shared" si="128"/>
        <v>S</v>
      </c>
      <c r="RN11" s="3" t="str">
        <f t="shared" si="128"/>
        <v>S</v>
      </c>
      <c r="RO11" s="3" t="str">
        <f t="shared" si="128"/>
        <v>S</v>
      </c>
      <c r="RP11" s="3" t="str">
        <f t="shared" si="128"/>
        <v>S</v>
      </c>
      <c r="RQ11" s="3" t="str">
        <f t="shared" si="128"/>
        <v>S</v>
      </c>
      <c r="RR11" s="3" t="str">
        <f t="shared" ref="RR11:RZ14" si="129">"S"</f>
        <v>S</v>
      </c>
      <c r="RS11" s="3" t="str">
        <f t="shared" si="129"/>
        <v>S</v>
      </c>
      <c r="RT11" s="3" t="str">
        <f t="shared" si="129"/>
        <v>S</v>
      </c>
      <c r="RU11" s="3" t="str">
        <f t="shared" si="129"/>
        <v>S</v>
      </c>
      <c r="RV11" s="3" t="str">
        <f t="shared" si="129"/>
        <v>S</v>
      </c>
      <c r="RW11" s="3" t="str">
        <f t="shared" si="129"/>
        <v>S</v>
      </c>
      <c r="RX11" s="3" t="str">
        <f t="shared" si="129"/>
        <v>S</v>
      </c>
      <c r="RY11" s="3" t="str">
        <f t="shared" si="129"/>
        <v>S</v>
      </c>
      <c r="RZ11" s="3" t="str">
        <f t="shared" si="129"/>
        <v>S</v>
      </c>
      <c r="SA11" s="117">
        <f t="shared" si="117"/>
        <v>3.0000000000000004</v>
      </c>
      <c r="SB11" s="117">
        <f t="shared" si="117"/>
        <v>0.16999999999999998</v>
      </c>
      <c r="SC11" s="117">
        <f t="shared" si="117"/>
        <v>1.41</v>
      </c>
      <c r="SD11" s="117">
        <f t="shared" si="117"/>
        <v>0.27300000000000002</v>
      </c>
      <c r="SE11" s="117">
        <f t="shared" si="117"/>
        <v>0.27</v>
      </c>
      <c r="SF11" s="117">
        <f t="shared" si="117"/>
        <v>0.1</v>
      </c>
      <c r="SG11" s="117">
        <f t="shared" si="117"/>
        <v>9.4629999999999992</v>
      </c>
      <c r="SH11" s="117">
        <f t="shared" si="117"/>
        <v>8.4947435596928661E-2</v>
      </c>
      <c r="SI11" s="117">
        <f t="shared" si="117"/>
        <v>4.0999999999999996</v>
      </c>
      <c r="SJ11" s="3" t="str">
        <f t="shared" ref="SJ11:TE14" si="130">"S"</f>
        <v>S</v>
      </c>
      <c r="SK11" s="3" t="str">
        <f t="shared" si="130"/>
        <v>S</v>
      </c>
      <c r="SL11" s="3" t="str">
        <f t="shared" si="130"/>
        <v>S</v>
      </c>
      <c r="SM11" s="3" t="str">
        <f t="shared" si="130"/>
        <v>S</v>
      </c>
      <c r="SN11" s="3" t="str">
        <f t="shared" si="130"/>
        <v>S</v>
      </c>
      <c r="SO11" s="3" t="str">
        <f t="shared" si="130"/>
        <v>S</v>
      </c>
      <c r="SP11" s="3" t="str">
        <f t="shared" si="130"/>
        <v>S</v>
      </c>
      <c r="SQ11" s="3" t="str">
        <f t="shared" si="130"/>
        <v>S</v>
      </c>
      <c r="SR11" s="3" t="str">
        <f t="shared" si="130"/>
        <v>S</v>
      </c>
      <c r="SS11" s="117">
        <f t="shared" si="117"/>
        <v>1.5000000000000002</v>
      </c>
      <c r="ST11" s="117">
        <f t="shared" si="119"/>
        <v>1.5000000000000002</v>
      </c>
      <c r="SU11" s="117">
        <f t="shared" si="119"/>
        <v>0.5</v>
      </c>
      <c r="SV11" s="117">
        <f t="shared" si="119"/>
        <v>0.5</v>
      </c>
      <c r="SW11" s="3" t="str">
        <f t="shared" si="130"/>
        <v>S</v>
      </c>
      <c r="SX11" s="3" t="str">
        <f t="shared" si="130"/>
        <v>S</v>
      </c>
      <c r="SY11" s="3" t="str">
        <f t="shared" si="130"/>
        <v>S</v>
      </c>
      <c r="SZ11" s="3" t="str">
        <f t="shared" si="130"/>
        <v>S</v>
      </c>
      <c r="TA11" s="3" t="str">
        <f t="shared" si="130"/>
        <v>S</v>
      </c>
      <c r="TB11" s="3" t="str">
        <f t="shared" si="130"/>
        <v>S</v>
      </c>
      <c r="TC11" s="3" t="str">
        <f t="shared" si="130"/>
        <v>S</v>
      </c>
      <c r="TD11" s="3" t="str">
        <f t="shared" si="130"/>
        <v>S</v>
      </c>
      <c r="TE11" s="3" t="str">
        <f t="shared" si="130"/>
        <v>S</v>
      </c>
      <c r="TF11" s="117">
        <f t="shared" si="117"/>
        <v>3</v>
      </c>
      <c r="TG11" s="117">
        <f t="shared" si="117"/>
        <v>5.7</v>
      </c>
      <c r="TH11" s="117">
        <f t="shared" si="117"/>
        <v>3.0000000000000004</v>
      </c>
      <c r="TI11" s="117">
        <f t="shared" si="117"/>
        <v>0.16999999999999998</v>
      </c>
      <c r="TJ11" s="117">
        <f t="shared" si="117"/>
        <v>2.33</v>
      </c>
      <c r="TK11" s="117">
        <f t="shared" si="117"/>
        <v>0.26</v>
      </c>
      <c r="TL11" s="117">
        <f t="shared" si="117"/>
        <v>0.27</v>
      </c>
      <c r="TM11" s="117">
        <f t="shared" si="117"/>
        <v>0.1</v>
      </c>
      <c r="TN11" s="117">
        <f t="shared" si="117"/>
        <v>9.4630000000000312</v>
      </c>
      <c r="TO11" s="117">
        <f t="shared" si="117"/>
        <v>1.8425437273624747</v>
      </c>
      <c r="TP11" s="3" t="str">
        <f t="shared" ref="TP11:TX14" si="131">"S"</f>
        <v>S</v>
      </c>
      <c r="TQ11" s="3" t="str">
        <f t="shared" si="131"/>
        <v>S</v>
      </c>
      <c r="TR11" s="3" t="str">
        <f t="shared" si="131"/>
        <v>S</v>
      </c>
      <c r="TS11" s="3" t="str">
        <f t="shared" si="131"/>
        <v>S</v>
      </c>
      <c r="TT11" s="3" t="str">
        <f t="shared" si="131"/>
        <v>S</v>
      </c>
      <c r="TU11" s="3" t="str">
        <f t="shared" si="131"/>
        <v>S</v>
      </c>
      <c r="TV11" s="3" t="str">
        <f t="shared" si="131"/>
        <v>S</v>
      </c>
      <c r="TW11" s="3" t="str">
        <f t="shared" si="131"/>
        <v>S</v>
      </c>
      <c r="TX11" s="3" t="str">
        <f t="shared" si="131"/>
        <v>S</v>
      </c>
      <c r="TY11" s="117">
        <f t="shared" si="117"/>
        <v>4</v>
      </c>
      <c r="TZ11" s="117">
        <f t="shared" si="117"/>
        <v>13</v>
      </c>
      <c r="UA11" s="117">
        <f t="shared" si="117"/>
        <v>4.16</v>
      </c>
      <c r="UB11" s="117">
        <f t="shared" si="117"/>
        <v>0.28000000000000003</v>
      </c>
      <c r="UC11" s="117">
        <f t="shared" si="117"/>
        <v>4.0599999999999996</v>
      </c>
      <c r="UD11" s="117">
        <f t="shared" si="117"/>
        <v>0.34499999999999992</v>
      </c>
      <c r="UE11" s="117">
        <f t="shared" si="117"/>
        <v>0.25</v>
      </c>
      <c r="UF11" s="3" t="str">
        <f t="shared" ref="UF11:UI14" si="132">"S"</f>
        <v>S</v>
      </c>
      <c r="UG11" s="3" t="str">
        <f t="shared" si="132"/>
        <v>S</v>
      </c>
      <c r="UH11" s="3" t="str">
        <f t="shared" si="132"/>
        <v>S</v>
      </c>
      <c r="UI11" s="3" t="str">
        <f t="shared" si="132"/>
        <v>S</v>
      </c>
      <c r="UJ11" s="117"/>
      <c r="UK11" s="3" t="str">
        <f t="shared" si="104"/>
        <v>S</v>
      </c>
      <c r="UL11" s="3" t="str">
        <f t="shared" si="104"/>
        <v>S</v>
      </c>
      <c r="UM11" s="3" t="str">
        <f t="shared" si="104"/>
        <v>S</v>
      </c>
      <c r="UN11" s="3" t="str">
        <f t="shared" si="104"/>
        <v>S</v>
      </c>
      <c r="UO11" s="3" t="str">
        <f t="shared" si="104"/>
        <v>S</v>
      </c>
      <c r="UP11" s="3" t="str">
        <f t="shared" si="104"/>
        <v>S</v>
      </c>
      <c r="UQ11" s="3" t="str">
        <f t="shared" si="104"/>
        <v>S</v>
      </c>
      <c r="UR11" s="117">
        <f t="shared" si="73"/>
        <v>1</v>
      </c>
      <c r="US11" s="117">
        <f t="shared" si="117"/>
        <v>2</v>
      </c>
      <c r="UT11" s="117">
        <f t="shared" si="117"/>
        <v>500</v>
      </c>
      <c r="UU11" s="117" t="str">
        <f t="shared" si="117"/>
        <v>S</v>
      </c>
      <c r="UV11" s="3" t="str">
        <f t="shared" si="105"/>
        <v>S</v>
      </c>
      <c r="UW11" s="3" t="str">
        <f t="shared" si="105"/>
        <v>S</v>
      </c>
      <c r="UX11" s="3" t="str">
        <f t="shared" si="105"/>
        <v>S</v>
      </c>
      <c r="UY11" s="3" t="str">
        <f t="shared" si="105"/>
        <v>S</v>
      </c>
      <c r="UZ11" s="3" t="str">
        <f t="shared" si="105"/>
        <v>S</v>
      </c>
      <c r="VA11" s="121" t="str">
        <f t="shared" si="106"/>
        <v>S</v>
      </c>
      <c r="VB11" s="121" t="str">
        <f t="shared" si="106"/>
        <v>S</v>
      </c>
      <c r="VC11" s="121" t="str">
        <f t="shared" si="106"/>
        <v>S</v>
      </c>
      <c r="VD11" s="121" t="str">
        <f t="shared" si="106"/>
        <v>S</v>
      </c>
      <c r="VE11" s="3" t="str">
        <f>"U"</f>
        <v>U</v>
      </c>
      <c r="VF11" s="121" t="str">
        <f t="shared" si="106"/>
        <v>S</v>
      </c>
      <c r="VG11" s="121" t="str">
        <f t="shared" si="106"/>
        <v>S</v>
      </c>
      <c r="VH11" s="121" t="str">
        <f t="shared" si="106"/>
        <v>S</v>
      </c>
      <c r="VI11" s="117" t="str">
        <f t="shared" si="79"/>
        <v>3</v>
      </c>
      <c r="VJ11" s="117" t="str">
        <f t="shared" si="117"/>
        <v>.3</v>
      </c>
      <c r="VK11" s="117">
        <f t="shared" si="117"/>
        <v>3</v>
      </c>
      <c r="VL11" s="117" t="str">
        <f t="shared" si="117"/>
        <v>3-SEC</v>
      </c>
      <c r="VM11" s="122" t="str">
        <f>CONCATENATE($C$2,$D$2,IF(ISNUMBER(FIND("FRONT",VN11,1)),"-HS-FB","-HS-B"))</f>
        <v>3-HS-B</v>
      </c>
      <c r="VN11" s="122" t="str">
        <f>IF(OR(ROUND(Tube_Slope_Angle,1)=360,ROUND(Tube_Slope_Angle,1)=0),"HEADER SUPPORT, SIDE B","HEADER SUPPORT, FRONT SIDE B")</f>
        <v>HEADER SUPPORT, SIDE B</v>
      </c>
      <c r="VO11" s="117" t="str">
        <f t="shared" si="117"/>
        <v>000000</v>
      </c>
      <c r="VP11" s="410">
        <f t="shared" si="117"/>
        <v>5</v>
      </c>
      <c r="VQ11" s="410">
        <f t="shared" si="80"/>
        <v>5</v>
      </c>
      <c r="VR11" s="410">
        <f t="shared" si="80"/>
        <v>0.125</v>
      </c>
      <c r="VS11" s="410">
        <f t="shared" si="80"/>
        <v>1.125</v>
      </c>
      <c r="VT11" s="410">
        <f t="shared" si="80"/>
        <v>3.5</v>
      </c>
      <c r="VX11" s="117" t="str">
        <f t="shared" si="81"/>
        <v>3-SEC</v>
      </c>
    </row>
    <row r="12" spans="1:597" s="3" customFormat="1" ht="14.4" hidden="1" outlineLevel="1" x14ac:dyDescent="0.3">
      <c r="A12" s="123" t="str">
        <f>IF(OR(ProductLine="AXC",AW12=0),"$User_Notes","HS-FA")</f>
        <v>$User_Notes</v>
      </c>
      <c r="B12" s="117" t="str">
        <f t="shared" si="82"/>
        <v>AXC</v>
      </c>
      <c r="C12" s="117">
        <f t="shared" si="85"/>
        <v>65</v>
      </c>
      <c r="D12" s="117">
        <f t="shared" si="85"/>
        <v>780</v>
      </c>
      <c r="E12" s="117">
        <f t="shared" si="85"/>
        <v>0.125</v>
      </c>
      <c r="F12" s="117">
        <f t="shared" si="85"/>
        <v>6.25E-2</v>
      </c>
      <c r="G12" s="117">
        <f t="shared" si="85"/>
        <v>777.625</v>
      </c>
      <c r="H12" s="117" t="str">
        <f t="shared" si="85"/>
        <v>MC12x10.6</v>
      </c>
      <c r="I12" s="117" t="str">
        <f t="shared" si="85"/>
        <v>AXC materials:SA-36</v>
      </c>
      <c r="J12" s="117" t="str">
        <f t="shared" si="85"/>
        <v>Galvanized</v>
      </c>
      <c r="K12" s="117" t="str">
        <f t="shared" si="85"/>
        <v>Bolt on Angle</v>
      </c>
      <c r="L12" s="117" t="str">
        <f t="shared" si="19"/>
        <v>EH\VV\VI_</v>
      </c>
      <c r="M12" s="117">
        <f t="shared" ca="1" si="85"/>
        <v>16</v>
      </c>
      <c r="N12" s="117">
        <f t="shared" ca="1" si="20"/>
        <v>48</v>
      </c>
      <c r="O12" s="117">
        <f t="shared" ca="1" si="85"/>
        <v>30</v>
      </c>
      <c r="P12" s="117" t="str">
        <f t="shared" si="85"/>
        <v>Yes - Rear HDR</v>
      </c>
      <c r="Q12" s="117">
        <f t="shared" si="85"/>
        <v>3.9999333887056512</v>
      </c>
      <c r="R12" s="117" t="str">
        <f t="shared" si="85"/>
        <v>Angle</v>
      </c>
      <c r="S12" s="117" t="str">
        <f t="shared" si="85"/>
        <v>L2x3x0.1875</v>
      </c>
      <c r="T12" s="117" t="str">
        <f t="shared" si="85"/>
        <v>Weld On</v>
      </c>
      <c r="U12" s="117" t="str">
        <f t="shared" si="21"/>
        <v>Yes</v>
      </c>
      <c r="V12" s="117" t="str">
        <f t="shared" si="85"/>
        <v>Yes</v>
      </c>
      <c r="W12" s="117">
        <f t="shared" si="85"/>
        <v>15</v>
      </c>
      <c r="X12" s="117">
        <f t="shared" si="85"/>
        <v>0</v>
      </c>
      <c r="Y12" s="117">
        <f t="shared" si="22"/>
        <v>0</v>
      </c>
      <c r="Z12" s="117" t="str">
        <f t="shared" si="22"/>
        <v>STD</v>
      </c>
      <c r="AA12" s="117" t="str">
        <f t="shared" si="85"/>
        <v>No</v>
      </c>
      <c r="AB12" s="117" t="str">
        <f t="shared" si="23"/>
        <v>OFF</v>
      </c>
      <c r="AC12" s="117" t="str">
        <f t="shared" si="85"/>
        <v>Yes</v>
      </c>
      <c r="AD12" s="117" t="str">
        <f t="shared" si="24"/>
        <v>AXC Weld On</v>
      </c>
      <c r="AE12" s="117" t="str">
        <f t="shared" si="24"/>
        <v>Outside</v>
      </c>
      <c r="AF12" s="117" t="str">
        <f t="shared" si="85"/>
        <v>0.5"</v>
      </c>
      <c r="AG12" s="117">
        <f t="shared" si="85"/>
        <v>278.125</v>
      </c>
      <c r="AH12" s="117">
        <f t="shared" si="85"/>
        <v>249.75</v>
      </c>
      <c r="AI12" s="117">
        <f t="shared" si="85"/>
        <v>0.5</v>
      </c>
      <c r="AJ12" s="117">
        <f t="shared" si="25"/>
        <v>4</v>
      </c>
      <c r="AK12" s="117">
        <f t="shared" si="25"/>
        <v>500</v>
      </c>
      <c r="AL12" s="117" t="str">
        <f t="shared" si="85"/>
        <v>None</v>
      </c>
      <c r="AM12" s="117" t="str">
        <f t="shared" si="85"/>
        <v>Pick from List</v>
      </c>
      <c r="AN12" s="117" t="str">
        <f t="shared" si="85"/>
        <v>None</v>
      </c>
      <c r="AO12" s="117" t="str">
        <f t="shared" si="85"/>
        <v>None</v>
      </c>
      <c r="AP12" s="117" t="str">
        <f t="shared" si="85"/>
        <v>None</v>
      </c>
      <c r="AQ12" s="117" t="str">
        <f t="shared" si="85"/>
        <v>L4x6x0.625</v>
      </c>
      <c r="AR12" s="117" t="str">
        <f t="shared" si="85"/>
        <v>Bolt on</v>
      </c>
      <c r="AS12" s="117" t="str">
        <f t="shared" si="85"/>
        <v>Yes</v>
      </c>
      <c r="AT12" s="117" t="str">
        <f t="shared" ca="1" si="85"/>
        <v>Bolt On</v>
      </c>
      <c r="AU12" s="164">
        <f t="shared" ca="1" si="26"/>
        <v>16</v>
      </c>
      <c r="AV12" s="117">
        <f t="shared" si="26"/>
        <v>0</v>
      </c>
      <c r="AW12" s="117">
        <f t="shared" si="26"/>
        <v>0</v>
      </c>
      <c r="AX12" s="117">
        <f t="shared" si="26"/>
        <v>6.25E-2</v>
      </c>
      <c r="AY12" s="164">
        <f t="shared" si="26"/>
        <v>21.915385672961552</v>
      </c>
      <c r="AZ12" s="117">
        <f t="shared" si="26"/>
        <v>1.5625</v>
      </c>
      <c r="BA12" s="117">
        <f t="shared" si="26"/>
        <v>2</v>
      </c>
      <c r="BB12" s="117">
        <f t="shared" si="26"/>
        <v>21.915385672961648</v>
      </c>
      <c r="BC12" s="117">
        <f t="shared" si="26"/>
        <v>1.5625</v>
      </c>
      <c r="BD12" s="117">
        <f t="shared" si="26"/>
        <v>2</v>
      </c>
      <c r="BE12" s="164">
        <f t="shared" si="27"/>
        <v>0.6250000000043382</v>
      </c>
      <c r="BF12" s="117">
        <f t="shared" si="27"/>
        <v>1.0937500000075919</v>
      </c>
      <c r="BG12" s="117">
        <f t="shared" si="27"/>
        <v>2</v>
      </c>
      <c r="BH12" s="117">
        <f t="shared" si="27"/>
        <v>0.62500000000430156</v>
      </c>
      <c r="BI12" s="117">
        <f t="shared" si="27"/>
        <v>1.0937500000075278</v>
      </c>
      <c r="BJ12" s="117">
        <f t="shared" si="27"/>
        <v>2</v>
      </c>
      <c r="BK12" s="117">
        <f t="shared" si="19"/>
        <v>1.9999999999999956</v>
      </c>
      <c r="BL12" s="117" t="str">
        <f t="shared" si="85"/>
        <v>Weld Bar</v>
      </c>
      <c r="BM12" s="117">
        <f t="shared" si="19"/>
        <v>0.99999999999999589</v>
      </c>
      <c r="BN12" s="117" t="str">
        <f t="shared" si="85"/>
        <v>Float Bar</v>
      </c>
      <c r="BO12" s="117">
        <f t="shared" si="19"/>
        <v>5</v>
      </c>
      <c r="BP12" s="117" t="str">
        <f t="shared" si="85"/>
        <v>MC12x10.6</v>
      </c>
      <c r="BQ12" s="117" t="str">
        <f t="shared" si="85"/>
        <v>U</v>
      </c>
      <c r="BR12" s="117" t="str">
        <f t="shared" si="85"/>
        <v>S</v>
      </c>
      <c r="BS12" s="117">
        <f t="shared" si="19"/>
        <v>31.374999284744241</v>
      </c>
      <c r="BT12" s="117">
        <f t="shared" si="19"/>
        <v>29.000000000000004</v>
      </c>
      <c r="BU12" s="117">
        <f t="shared" si="19"/>
        <v>3.9999999999999969</v>
      </c>
      <c r="BV12" s="117">
        <f t="shared" si="19"/>
        <v>0.25000000000000089</v>
      </c>
      <c r="BW12" s="117">
        <f t="shared" si="19"/>
        <v>9.9999999999269527E-6</v>
      </c>
      <c r="BX12" s="117">
        <f t="shared" si="85"/>
        <v>1</v>
      </c>
      <c r="BY12" s="117">
        <f t="shared" si="85"/>
        <v>1</v>
      </c>
      <c r="BZ12" s="117">
        <f t="shared" si="19"/>
        <v>6.2721143170279987</v>
      </c>
      <c r="CA12" s="117">
        <f t="shared" si="19"/>
        <v>360</v>
      </c>
      <c r="CB12" s="117">
        <f t="shared" si="19"/>
        <v>1.0000000000001172</v>
      </c>
      <c r="CC12" s="117">
        <f t="shared" si="19"/>
        <v>0.99999999999983746</v>
      </c>
      <c r="CD12" s="117">
        <f t="shared" si="19"/>
        <v>0</v>
      </c>
      <c r="CE12" s="117">
        <f t="shared" si="19"/>
        <v>1.5000000000000009</v>
      </c>
      <c r="CF12" s="117">
        <f t="shared" si="85"/>
        <v>1.2990381056766582</v>
      </c>
      <c r="CG12" s="117">
        <f t="shared" si="85"/>
        <v>9.9999999969219204E-6</v>
      </c>
      <c r="CH12" s="117" t="str">
        <f t="shared" si="85"/>
        <v>No</v>
      </c>
      <c r="CI12" s="117" t="str">
        <f t="shared" si="85"/>
        <v>U</v>
      </c>
      <c r="CJ12" s="117">
        <f t="shared" si="85"/>
        <v>10.6</v>
      </c>
      <c r="CK12" s="117">
        <f t="shared" si="85"/>
        <v>12.000000000000002</v>
      </c>
      <c r="CL12" s="117">
        <f t="shared" si="85"/>
        <v>0.18999999999999997</v>
      </c>
      <c r="CM12" s="117">
        <f t="shared" si="85"/>
        <v>1.5000000000000002</v>
      </c>
      <c r="CN12" s="117">
        <f t="shared" si="85"/>
        <v>0.30899999999999994</v>
      </c>
      <c r="CO12" s="117">
        <f t="shared" si="85"/>
        <v>0.25</v>
      </c>
      <c r="CP12" s="117">
        <f t="shared" si="85"/>
        <v>0.13</v>
      </c>
      <c r="CQ12" s="117">
        <f t="shared" ref="CQ12:ER12" si="133">CQ$6</f>
        <v>9.4629999999999992</v>
      </c>
      <c r="CR12" s="117">
        <f t="shared" si="133"/>
        <v>8.9700168853607709E-2</v>
      </c>
      <c r="CS12" s="117">
        <f t="shared" si="133"/>
        <v>10.740092274765473</v>
      </c>
      <c r="CT12" s="117">
        <f t="shared" si="133"/>
        <v>0.62995386261726427</v>
      </c>
      <c r="CU12" s="117" t="str">
        <f t="shared" si="133"/>
        <v>S</v>
      </c>
      <c r="CV12" s="117">
        <f t="shared" si="133"/>
        <v>12.000000000000002</v>
      </c>
      <c r="CW12" s="117">
        <f t="shared" si="133"/>
        <v>0.28199999999999997</v>
      </c>
      <c r="CX12" s="117">
        <f t="shared" si="133"/>
        <v>2.9419999999999997</v>
      </c>
      <c r="CY12" s="117">
        <f t="shared" si="133"/>
        <v>0.501</v>
      </c>
      <c r="CZ12" s="117">
        <f t="shared" si="133"/>
        <v>0.37999999999999995</v>
      </c>
      <c r="DA12" s="117">
        <f t="shared" si="133"/>
        <v>0.16999999999999998</v>
      </c>
      <c r="DB12" s="117">
        <f t="shared" si="133"/>
        <v>9.4629999999999992</v>
      </c>
      <c r="DC12" s="117">
        <f t="shared" si="133"/>
        <v>0.13530728481002544</v>
      </c>
      <c r="DD12" s="117">
        <f t="shared" si="133"/>
        <v>20.7</v>
      </c>
      <c r="DE12" s="117" t="str">
        <f t="shared" si="133"/>
        <v>S</v>
      </c>
      <c r="DF12" s="117" t="str">
        <f t="shared" si="133"/>
        <v>S</v>
      </c>
      <c r="DG12" s="117" t="str">
        <f t="shared" si="133"/>
        <v>S</v>
      </c>
      <c r="DH12" s="117" t="str">
        <f t="shared" si="133"/>
        <v>S</v>
      </c>
      <c r="DI12" s="117" t="str">
        <f t="shared" si="133"/>
        <v>S</v>
      </c>
      <c r="DJ12" s="117" t="str">
        <f t="shared" si="133"/>
        <v>S</v>
      </c>
      <c r="DK12" s="117" t="str">
        <f t="shared" si="133"/>
        <v>S</v>
      </c>
      <c r="DL12" s="117" t="str">
        <f t="shared" si="133"/>
        <v>S</v>
      </c>
      <c r="DM12" s="117" t="str">
        <f t="shared" si="133"/>
        <v>U</v>
      </c>
      <c r="DN12" s="117" t="str">
        <f t="shared" si="133"/>
        <v>U</v>
      </c>
      <c r="DO12" s="117" t="str">
        <f t="shared" si="133"/>
        <v>U</v>
      </c>
      <c r="DP12" s="117" t="str">
        <f t="shared" si="133"/>
        <v>U</v>
      </c>
      <c r="DQ12" s="3" t="str">
        <f t="shared" si="86"/>
        <v>S</v>
      </c>
      <c r="DR12" s="3" t="str">
        <f t="shared" si="86"/>
        <v>S</v>
      </c>
      <c r="DS12" s="3" t="str">
        <f t="shared" si="86"/>
        <v>S</v>
      </c>
      <c r="DT12" s="3" t="str">
        <f t="shared" si="86"/>
        <v>S</v>
      </c>
      <c r="DU12" s="3" t="str">
        <f t="shared" si="86"/>
        <v>S</v>
      </c>
      <c r="DV12" s="3" t="str">
        <f t="shared" si="86"/>
        <v>S</v>
      </c>
      <c r="DW12" s="3" t="str">
        <f t="shared" si="86"/>
        <v>S</v>
      </c>
      <c r="DX12" s="3" t="str">
        <f t="shared" si="86"/>
        <v>S</v>
      </c>
      <c r="DY12" s="117">
        <f t="shared" si="133"/>
        <v>29</v>
      </c>
      <c r="DZ12" s="117">
        <f t="shared" si="133"/>
        <v>0.25</v>
      </c>
      <c r="EA12" s="117">
        <f t="shared" si="133"/>
        <v>0.25</v>
      </c>
      <c r="EB12" s="117">
        <f t="shared" si="133"/>
        <v>3.9999999999999969</v>
      </c>
      <c r="EC12" s="117">
        <f t="shared" si="133"/>
        <v>1E-4</v>
      </c>
      <c r="ED12" s="117">
        <f t="shared" si="133"/>
        <v>1E-4</v>
      </c>
      <c r="EE12" s="117">
        <f t="shared" si="133"/>
        <v>0.25000000000000089</v>
      </c>
      <c r="EF12" s="117">
        <f t="shared" si="133"/>
        <v>1.5599999999999999E-2</v>
      </c>
      <c r="EG12" s="117" t="str">
        <f t="shared" ca="1" si="87"/>
        <v>U</v>
      </c>
      <c r="EH12" s="117" t="str">
        <f t="shared" ca="1" si="87"/>
        <v>S</v>
      </c>
      <c r="EI12" s="117" t="str">
        <f t="shared" ca="1" si="87"/>
        <v>U</v>
      </c>
      <c r="EJ12" s="117" t="str">
        <f t="shared" si="87"/>
        <v>S</v>
      </c>
      <c r="EK12" s="117" t="str">
        <f t="shared" ca="1" si="87"/>
        <v>U</v>
      </c>
      <c r="EL12" s="117" t="str">
        <f t="shared" ca="1" si="87"/>
        <v>S</v>
      </c>
      <c r="EM12" s="117">
        <f t="shared" si="133"/>
        <v>0.75</v>
      </c>
      <c r="EN12" s="117">
        <f t="shared" si="28"/>
        <v>0.19000000000423975</v>
      </c>
      <c r="EO12" s="117">
        <f t="shared" si="28"/>
        <v>0.62500000000001221</v>
      </c>
      <c r="EP12" s="117">
        <f t="shared" ref="EO12:EQ14" si="134">EP$6</f>
        <v>1.5000000000000016</v>
      </c>
      <c r="EQ12" s="117">
        <f t="shared" si="134"/>
        <v>1.437500284744256</v>
      </c>
      <c r="ER12" s="117">
        <f t="shared" si="133"/>
        <v>0.5</v>
      </c>
      <c r="ES12" s="117" t="str">
        <f t="shared" si="88"/>
        <v>U</v>
      </c>
      <c r="ET12" s="117" t="str">
        <f t="shared" si="88"/>
        <v>U</v>
      </c>
      <c r="EU12" s="117" t="str">
        <f t="shared" si="88"/>
        <v>U</v>
      </c>
      <c r="EV12" s="117" t="str">
        <f t="shared" si="88"/>
        <v>U</v>
      </c>
      <c r="EW12" s="117" t="str">
        <f t="shared" si="88"/>
        <v>U</v>
      </c>
      <c r="EX12" s="117" t="str">
        <f t="shared" ca="1" si="30"/>
        <v>U</v>
      </c>
      <c r="EY12" s="117" t="str">
        <f t="shared" ca="1" si="30"/>
        <v>U</v>
      </c>
      <c r="EZ12" s="117" t="str">
        <f t="shared" ca="1" si="30"/>
        <v>U</v>
      </c>
      <c r="FA12" s="117" t="str">
        <f t="shared" ca="1" si="88"/>
        <v>U</v>
      </c>
      <c r="FB12" s="117" t="str">
        <f t="shared" ca="1" si="88"/>
        <v>U</v>
      </c>
      <c r="FC12" s="117" t="str">
        <f t="shared" ca="1" si="88"/>
        <v>U</v>
      </c>
      <c r="FD12" s="117" t="str">
        <f t="shared" ca="1" si="88"/>
        <v>U</v>
      </c>
      <c r="FE12" s="117" t="str">
        <f t="shared" ca="1" si="88"/>
        <v>U</v>
      </c>
      <c r="FF12" s="117" t="str">
        <f t="shared" ca="1" si="88"/>
        <v>U</v>
      </c>
      <c r="FG12" s="117">
        <f t="shared" ca="1" si="123"/>
        <v>48</v>
      </c>
      <c r="FH12" s="117" t="str">
        <f t="shared" si="123"/>
        <v>U</v>
      </c>
      <c r="FI12" s="117" t="str">
        <f t="shared" si="123"/>
        <v>S</v>
      </c>
      <c r="FJ12" s="3" t="str">
        <f t="shared" si="89"/>
        <v>S</v>
      </c>
      <c r="FK12" s="3" t="str">
        <f t="shared" si="89"/>
        <v>S</v>
      </c>
      <c r="FL12" s="309" t="str">
        <f t="shared" si="89"/>
        <v>S</v>
      </c>
      <c r="FM12" s="117" t="str">
        <f t="shared" ca="1" si="33"/>
        <v>U</v>
      </c>
      <c r="FN12" s="117" t="str">
        <f t="shared" ca="1" si="33"/>
        <v>U</v>
      </c>
      <c r="FO12" s="117">
        <f t="shared" ca="1" si="33"/>
        <v>48</v>
      </c>
      <c r="FP12" s="117">
        <f t="shared" ca="1" si="33"/>
        <v>16</v>
      </c>
      <c r="FQ12" s="310" t="str">
        <f t="shared" si="89"/>
        <v>S</v>
      </c>
      <c r="FR12" s="3" t="str">
        <f t="shared" si="89"/>
        <v>S</v>
      </c>
      <c r="FS12" s="3" t="str">
        <f t="shared" si="89"/>
        <v>S</v>
      </c>
      <c r="FT12" s="3" t="str">
        <f t="shared" si="89"/>
        <v>S</v>
      </c>
      <c r="FU12" s="3" t="str">
        <f t="shared" si="89"/>
        <v>S</v>
      </c>
      <c r="FV12" s="3" t="str">
        <f t="shared" si="89"/>
        <v>S</v>
      </c>
      <c r="FW12" s="3" t="str">
        <f t="shared" si="89"/>
        <v>S</v>
      </c>
      <c r="FX12" s="117" t="str">
        <f t="shared" si="36"/>
        <v>U</v>
      </c>
      <c r="FY12" s="117" t="str">
        <f t="shared" si="36"/>
        <v>U</v>
      </c>
      <c r="FZ12" s="117">
        <f t="shared" si="32"/>
        <v>27</v>
      </c>
      <c r="GA12" s="117">
        <f t="shared" si="123"/>
        <v>19</v>
      </c>
      <c r="GB12" s="117">
        <f t="shared" si="123"/>
        <v>10</v>
      </c>
      <c r="GC12" s="117">
        <f t="shared" si="123"/>
        <v>15.000000000000009</v>
      </c>
      <c r="GD12" s="117">
        <f t="shared" si="123"/>
        <v>1</v>
      </c>
      <c r="GE12" s="117">
        <f t="shared" si="123"/>
        <v>12.000000000000007</v>
      </c>
      <c r="GF12" s="117">
        <f t="shared" si="123"/>
        <v>1</v>
      </c>
      <c r="GG12" s="117">
        <f t="shared" si="123"/>
        <v>1</v>
      </c>
      <c r="GH12" s="117">
        <f t="shared" si="123"/>
        <v>12.000010000000007</v>
      </c>
      <c r="GI12" s="117" t="str">
        <f t="shared" ca="1" si="32"/>
        <v>U</v>
      </c>
      <c r="GJ12" s="117" t="str">
        <f t="shared" ca="1" si="32"/>
        <v>S</v>
      </c>
      <c r="GK12" s="117" t="str">
        <f t="shared" ca="1" si="32"/>
        <v>U</v>
      </c>
      <c r="GL12" s="117" t="str">
        <f t="shared" ca="1" si="32"/>
        <v>U</v>
      </c>
      <c r="GM12" s="117" t="str">
        <f t="shared" ca="1" si="32"/>
        <v>U</v>
      </c>
      <c r="GN12" s="117" t="str">
        <f t="shared" ca="1" si="32"/>
        <v>U</v>
      </c>
      <c r="GO12" s="117" t="str">
        <f t="shared" ca="1" si="32"/>
        <v>U</v>
      </c>
      <c r="GP12" s="117">
        <f t="shared" si="32"/>
        <v>1.0000000005663834E-5</v>
      </c>
      <c r="GQ12" s="117">
        <f t="shared" si="32"/>
        <v>5.9999999999999991</v>
      </c>
      <c r="GR12" s="117">
        <f t="shared" si="123"/>
        <v>1</v>
      </c>
      <c r="GS12" s="117">
        <f t="shared" si="123"/>
        <v>10</v>
      </c>
      <c r="GT12" s="117">
        <f t="shared" si="123"/>
        <v>15.000000000000009</v>
      </c>
      <c r="GU12" s="117">
        <f t="shared" si="123"/>
        <v>0</v>
      </c>
      <c r="GV12" s="117">
        <f t="shared" si="123"/>
        <v>6.0000000000000036</v>
      </c>
      <c r="GW12" s="117">
        <f t="shared" si="123"/>
        <v>1</v>
      </c>
      <c r="GX12" s="117">
        <f t="shared" si="123"/>
        <v>1</v>
      </c>
      <c r="GY12" s="117" t="str">
        <f t="shared" ca="1" si="32"/>
        <v>S</v>
      </c>
      <c r="GZ12" s="117">
        <f t="shared" si="123"/>
        <v>1.500010000000001</v>
      </c>
      <c r="HA12" s="117" t="str">
        <f t="shared" ca="1" si="32"/>
        <v>S</v>
      </c>
      <c r="HB12" s="117" t="str">
        <f t="shared" ca="1" si="32"/>
        <v>S</v>
      </c>
      <c r="HC12" s="117" t="str">
        <f t="shared" ca="1" si="123"/>
        <v>S</v>
      </c>
      <c r="HD12" s="117" t="str">
        <f t="shared" ca="1" si="123"/>
        <v>S</v>
      </c>
      <c r="HE12" s="117" t="str">
        <f t="shared" ca="1" si="123"/>
        <v>S</v>
      </c>
      <c r="HF12" s="208" t="str">
        <f t="shared" si="37"/>
        <v>Yes - Right Side</v>
      </c>
      <c r="HG12" s="117" t="str">
        <f t="shared" si="123"/>
        <v>S</v>
      </c>
      <c r="HH12" s="117" t="str">
        <f t="shared" si="123"/>
        <v>U</v>
      </c>
      <c r="HI12" s="117" t="str">
        <f t="shared" si="39"/>
        <v>U</v>
      </c>
      <c r="HJ12" s="3" t="str">
        <f t="shared" si="40"/>
        <v>S</v>
      </c>
      <c r="HK12" s="3" t="str">
        <f t="shared" si="40"/>
        <v>S</v>
      </c>
      <c r="HL12" s="117">
        <f t="shared" ca="1" si="123"/>
        <v>48</v>
      </c>
      <c r="HM12" s="117">
        <f t="shared" si="123"/>
        <v>3.9999999999999998E-6</v>
      </c>
      <c r="HN12" s="3" t="str">
        <f t="shared" si="41"/>
        <v>S</v>
      </c>
      <c r="HO12" s="117">
        <f t="shared" ca="1" si="123"/>
        <v>18</v>
      </c>
      <c r="HP12" s="117">
        <f t="shared" ca="1" si="123"/>
        <v>48.000003999999997</v>
      </c>
      <c r="HQ12" s="3" t="str">
        <f t="shared" si="42"/>
        <v>S</v>
      </c>
      <c r="HR12" s="3" t="str">
        <f t="shared" si="42"/>
        <v>S</v>
      </c>
      <c r="HS12" s="117">
        <f t="shared" ca="1" si="123"/>
        <v>359.99999600000001</v>
      </c>
      <c r="HT12" s="117">
        <f t="shared" ca="1" si="123"/>
        <v>23.999968000000024</v>
      </c>
      <c r="HU12" s="117">
        <f t="shared" ca="1" si="123"/>
        <v>23.999968000000024</v>
      </c>
      <c r="HV12" s="117">
        <f t="shared" ca="1" si="123"/>
        <v>3.9999373887056513</v>
      </c>
      <c r="HW12" s="117">
        <f t="shared" ca="1" si="123"/>
        <v>24</v>
      </c>
      <c r="HX12" s="117">
        <f t="shared" si="123"/>
        <v>388.8125</v>
      </c>
      <c r="HY12" s="117">
        <f t="shared" ca="1" si="123"/>
        <v>360.00000399999999</v>
      </c>
      <c r="HZ12" s="117">
        <f t="shared" ca="1" si="43"/>
        <v>3.9999373887056513</v>
      </c>
      <c r="IA12" s="117">
        <f t="shared" ca="1" si="43"/>
        <v>24.000035999999973</v>
      </c>
      <c r="IB12" s="3" t="str">
        <f t="shared" si="44"/>
        <v>S</v>
      </c>
      <c r="IC12" s="3" t="str">
        <f t="shared" si="44"/>
        <v>S</v>
      </c>
      <c r="ID12" s="117">
        <f t="shared" ca="1" si="123"/>
        <v>27.999905388705674</v>
      </c>
      <c r="IE12" s="3" t="str">
        <f t="shared" si="45"/>
        <v>S</v>
      </c>
      <c r="IF12" s="3" t="str">
        <f t="shared" si="45"/>
        <v>S</v>
      </c>
      <c r="IG12" s="3" t="str">
        <f t="shared" si="45"/>
        <v>S</v>
      </c>
      <c r="IH12" s="3" t="str">
        <f t="shared" si="45"/>
        <v>S</v>
      </c>
      <c r="II12" s="3" t="str">
        <f t="shared" si="45"/>
        <v>S</v>
      </c>
      <c r="IJ12" s="117">
        <f t="shared" ca="1" si="123"/>
        <v>23.999968000000024</v>
      </c>
      <c r="IK12" s="117">
        <f t="shared" ca="1" si="123"/>
        <v>3.9999373887056513</v>
      </c>
      <c r="IL12" s="3" t="str">
        <f t="shared" si="46"/>
        <v>S</v>
      </c>
      <c r="IM12" s="3" t="str">
        <f t="shared" si="46"/>
        <v>S</v>
      </c>
      <c r="IN12" s="3" t="str">
        <f t="shared" si="46"/>
        <v>S</v>
      </c>
      <c r="IO12" s="3" t="str">
        <f t="shared" si="46"/>
        <v>S</v>
      </c>
      <c r="IP12" s="3" t="str">
        <f t="shared" si="46"/>
        <v>S</v>
      </c>
      <c r="IQ12" s="3" t="str">
        <f t="shared" si="46"/>
        <v>S</v>
      </c>
      <c r="IR12" s="3" t="str">
        <f t="shared" si="46"/>
        <v>S</v>
      </c>
      <c r="IS12" s="3" t="str">
        <f t="shared" si="46"/>
        <v>S</v>
      </c>
      <c r="IT12" s="3" t="str">
        <f t="shared" si="46"/>
        <v>S</v>
      </c>
      <c r="IU12" s="3" t="str">
        <f t="shared" si="46"/>
        <v>S</v>
      </c>
      <c r="IV12" s="3" t="str">
        <f t="shared" si="46"/>
        <v>S</v>
      </c>
      <c r="IW12" s="3" t="str">
        <f t="shared" si="46"/>
        <v>S</v>
      </c>
      <c r="IX12" s="3" t="str">
        <f t="shared" si="46"/>
        <v>S</v>
      </c>
      <c r="IY12" s="117">
        <f t="shared" ca="1" si="47"/>
        <v>1</v>
      </c>
      <c r="IZ12" s="117">
        <f t="shared" ca="1" si="47"/>
        <v>3</v>
      </c>
      <c r="JA12" s="117">
        <f t="shared" ca="1" si="47"/>
        <v>9.9999999999999995E-7</v>
      </c>
      <c r="JB12" s="117">
        <f t="shared" ca="1" si="48"/>
        <v>1.0000000000000001E-5</v>
      </c>
      <c r="JC12" s="117">
        <f t="shared" ca="1" si="48"/>
        <v>1.0000000000000001E-5</v>
      </c>
      <c r="JD12" s="117" t="str">
        <f t="shared" ca="1" si="47"/>
        <v>S</v>
      </c>
      <c r="JE12" s="117" t="str">
        <f t="shared" ca="1" si="47"/>
        <v>S</v>
      </c>
      <c r="JF12" s="117" t="str">
        <f t="shared" ca="1" si="47"/>
        <v>S</v>
      </c>
      <c r="JG12" s="117" t="str">
        <f t="shared" ca="1" si="47"/>
        <v>S</v>
      </c>
      <c r="JH12" s="117" t="str">
        <f t="shared" ca="1" si="47"/>
        <v>S</v>
      </c>
      <c r="JI12" s="117">
        <f t="shared" si="124"/>
        <v>0.1046</v>
      </c>
      <c r="JJ12" s="199">
        <f t="shared" si="49"/>
        <v>0.39290028474001548</v>
      </c>
      <c r="JK12" s="117">
        <f t="shared" si="124"/>
        <v>0.51790028474001548</v>
      </c>
      <c r="JL12" s="117">
        <f t="shared" si="124"/>
        <v>0.5</v>
      </c>
      <c r="JM12" s="117">
        <f t="shared" si="124"/>
        <v>0.375</v>
      </c>
      <c r="JN12" s="117">
        <f t="shared" si="124"/>
        <v>0.375</v>
      </c>
      <c r="JO12" s="117">
        <f t="shared" si="47"/>
        <v>11.25</v>
      </c>
      <c r="JP12" s="117" t="str">
        <f t="shared" si="50"/>
        <v>S</v>
      </c>
      <c r="JQ12" s="117" t="str">
        <f t="shared" si="50"/>
        <v>S</v>
      </c>
      <c r="JR12" s="117" t="str">
        <f t="shared" si="50"/>
        <v>S</v>
      </c>
      <c r="JS12" s="117" t="str">
        <f t="shared" si="47"/>
        <v>U</v>
      </c>
      <c r="JT12" s="117" t="str">
        <f t="shared" si="47"/>
        <v>U</v>
      </c>
      <c r="JU12" s="117" t="str">
        <f t="shared" si="51"/>
        <v>S</v>
      </c>
      <c r="JV12" s="3" t="str">
        <f t="shared" si="90"/>
        <v>S</v>
      </c>
      <c r="JW12" s="3" t="str">
        <f t="shared" si="90"/>
        <v>S</v>
      </c>
      <c r="JX12" s="3" t="str">
        <f t="shared" si="90"/>
        <v>S</v>
      </c>
      <c r="JY12" s="3" t="str">
        <f t="shared" si="90"/>
        <v>S</v>
      </c>
      <c r="JZ12" s="3" t="str">
        <f t="shared" si="90"/>
        <v>S</v>
      </c>
      <c r="KA12" s="3" t="str">
        <f t="shared" si="90"/>
        <v>S</v>
      </c>
      <c r="KB12" s="3" t="str">
        <f t="shared" si="90"/>
        <v>S</v>
      </c>
      <c r="KC12" s="3" t="str">
        <f t="shared" si="90"/>
        <v>S</v>
      </c>
      <c r="KD12" s="3" t="str">
        <f t="shared" si="90"/>
        <v>S</v>
      </c>
      <c r="KE12" s="3" t="str">
        <f t="shared" si="90"/>
        <v>S</v>
      </c>
      <c r="KF12" s="3" t="str">
        <f t="shared" si="90"/>
        <v>S</v>
      </c>
      <c r="KG12" s="3" t="str">
        <f t="shared" si="90"/>
        <v>S</v>
      </c>
      <c r="KH12" s="3" t="str">
        <f t="shared" si="90"/>
        <v>S</v>
      </c>
      <c r="KI12" s="3" t="str">
        <f t="shared" si="90"/>
        <v>S</v>
      </c>
      <c r="KJ12" s="3" t="str">
        <f t="shared" si="90"/>
        <v>S</v>
      </c>
      <c r="KK12" s="3" t="str">
        <f t="shared" si="90"/>
        <v>S</v>
      </c>
      <c r="KL12" s="3" t="str">
        <f t="shared" si="90"/>
        <v>S</v>
      </c>
      <c r="KM12" s="3" t="str">
        <f t="shared" si="90"/>
        <v>S</v>
      </c>
      <c r="KN12" s="117">
        <f t="shared" ref="KN12:LF12" si="135">KN$6</f>
        <v>1.0000000000000001E-5</v>
      </c>
      <c r="KO12" s="3" t="str">
        <f t="shared" si="91"/>
        <v>S</v>
      </c>
      <c r="KP12" s="117" t="str">
        <f t="shared" si="135"/>
        <v>S</v>
      </c>
      <c r="KQ12" s="117" t="str">
        <f t="shared" si="135"/>
        <v>S</v>
      </c>
      <c r="KR12" s="117" t="str">
        <f t="shared" si="135"/>
        <v>S</v>
      </c>
      <c r="KS12" s="117" t="str">
        <f t="shared" si="135"/>
        <v>S</v>
      </c>
      <c r="KT12" s="117" t="str">
        <f t="shared" si="135"/>
        <v>S</v>
      </c>
      <c r="KU12" s="117" t="str">
        <f t="shared" si="135"/>
        <v>S</v>
      </c>
      <c r="KV12" s="117" t="str">
        <f t="shared" si="135"/>
        <v>S</v>
      </c>
      <c r="KW12" s="117">
        <f t="shared" si="135"/>
        <v>2</v>
      </c>
      <c r="KX12" s="117">
        <f t="shared" si="135"/>
        <v>3.0000000000000004</v>
      </c>
      <c r="KY12" s="117">
        <f t="shared" si="135"/>
        <v>0.25</v>
      </c>
      <c r="KZ12" s="117">
        <f t="shared" si="135"/>
        <v>0.3125</v>
      </c>
      <c r="LA12" s="117">
        <f t="shared" si="135"/>
        <v>0.25</v>
      </c>
      <c r="LB12" s="117">
        <f t="shared" si="135"/>
        <v>2.0000000000000001E-4</v>
      </c>
      <c r="LC12" s="117" t="str">
        <f t="shared" si="135"/>
        <v>S</v>
      </c>
      <c r="LD12" s="3" t="str">
        <f t="shared" si="92"/>
        <v>S</v>
      </c>
      <c r="LE12" s="117" t="str">
        <f t="shared" si="135"/>
        <v>S</v>
      </c>
      <c r="LF12" s="117" t="str">
        <f t="shared" si="135"/>
        <v>S</v>
      </c>
      <c r="LG12" s="117" t="str">
        <f t="shared" si="111"/>
        <v>S</v>
      </c>
      <c r="LH12" s="117" t="str">
        <f t="shared" si="111"/>
        <v>S</v>
      </c>
      <c r="LI12" s="117" t="str">
        <f t="shared" si="111"/>
        <v>S</v>
      </c>
      <c r="LJ12" s="117" t="str">
        <f t="shared" si="111"/>
        <v>S</v>
      </c>
      <c r="LK12" s="117" t="str">
        <f t="shared" si="111"/>
        <v>S</v>
      </c>
      <c r="LL12" s="117" t="str">
        <f t="shared" si="111"/>
        <v>S</v>
      </c>
      <c r="LM12" s="117" t="str">
        <f t="shared" si="111"/>
        <v>S</v>
      </c>
      <c r="LN12" s="117" t="str">
        <f t="shared" si="111"/>
        <v>S</v>
      </c>
      <c r="LO12" s="117" t="str">
        <f t="shared" si="111"/>
        <v>S</v>
      </c>
      <c r="LP12" s="117" t="str">
        <f t="shared" si="111"/>
        <v>S</v>
      </c>
      <c r="LQ12" s="117">
        <f t="shared" si="111"/>
        <v>3.0000000000000004</v>
      </c>
      <c r="LR12" s="117">
        <f t="shared" si="111"/>
        <v>0.16999999999999998</v>
      </c>
      <c r="LS12" s="117">
        <f t="shared" si="111"/>
        <v>1.41</v>
      </c>
      <c r="LT12" s="117">
        <f t="shared" si="111"/>
        <v>0.27300000000000002</v>
      </c>
      <c r="LU12" s="117">
        <f t="shared" si="111"/>
        <v>0.27</v>
      </c>
      <c r="LV12" s="117">
        <f t="shared" si="111"/>
        <v>0.1</v>
      </c>
      <c r="LW12" s="117">
        <f t="shared" si="111"/>
        <v>9.4629999999999992</v>
      </c>
      <c r="LX12" s="117">
        <f t="shared" si="111"/>
        <v>8.4947435596928661E-2</v>
      </c>
      <c r="LY12" s="117">
        <f t="shared" si="111"/>
        <v>4.0999999999999996</v>
      </c>
      <c r="LZ12" s="117" t="str">
        <f t="shared" si="111"/>
        <v>S</v>
      </c>
      <c r="MA12" s="117" t="str">
        <f t="shared" si="111"/>
        <v>S</v>
      </c>
      <c r="MB12" s="117" t="str">
        <f t="shared" si="111"/>
        <v>S</v>
      </c>
      <c r="MC12" s="117" t="str">
        <f t="shared" si="111"/>
        <v>S</v>
      </c>
      <c r="MD12" s="117" t="str">
        <f t="shared" si="52"/>
        <v>S</v>
      </c>
      <c r="ME12" s="117" t="str">
        <f t="shared" si="111"/>
        <v>S</v>
      </c>
      <c r="MF12" s="117" t="str">
        <f t="shared" si="111"/>
        <v>S</v>
      </c>
      <c r="MG12" s="117" t="str">
        <f t="shared" si="111"/>
        <v>S</v>
      </c>
      <c r="MH12" s="117" t="str">
        <f t="shared" si="111"/>
        <v>S</v>
      </c>
      <c r="MI12" s="117" t="str">
        <f t="shared" si="111"/>
        <v>S</v>
      </c>
      <c r="MJ12" s="117" t="str">
        <f t="shared" si="112"/>
        <v>S</v>
      </c>
      <c r="MK12" s="117" t="str">
        <f t="shared" si="113"/>
        <v>S</v>
      </c>
      <c r="ML12" s="117" t="str">
        <f t="shared" si="113"/>
        <v>S</v>
      </c>
      <c r="MM12" s="117" t="str">
        <f t="shared" si="111"/>
        <v>S</v>
      </c>
      <c r="MN12" s="117" t="str">
        <f t="shared" si="111"/>
        <v>S</v>
      </c>
      <c r="MO12" s="117" t="str">
        <f t="shared" si="111"/>
        <v>S</v>
      </c>
      <c r="MP12" s="117" t="str">
        <f t="shared" si="111"/>
        <v>S</v>
      </c>
      <c r="MQ12" s="117" t="str">
        <f t="shared" si="111"/>
        <v>S</v>
      </c>
      <c r="MR12" s="117" t="str">
        <f>MR$6</f>
        <v>S</v>
      </c>
      <c r="MS12" s="117" t="str">
        <f t="shared" si="111"/>
        <v>S</v>
      </c>
      <c r="MT12" s="117" t="str">
        <f t="shared" si="111"/>
        <v>S</v>
      </c>
      <c r="MU12" s="117" t="str">
        <f t="shared" si="111"/>
        <v>S</v>
      </c>
      <c r="MV12" s="117" t="str">
        <f t="shared" si="111"/>
        <v>S</v>
      </c>
      <c r="MW12" s="117" t="str">
        <f t="shared" si="111"/>
        <v>S</v>
      </c>
      <c r="MX12" s="117" t="str">
        <f t="shared" si="111"/>
        <v>S</v>
      </c>
      <c r="MY12" s="117" t="str">
        <f t="shared" si="111"/>
        <v>S</v>
      </c>
      <c r="MZ12" s="117" t="str">
        <f t="shared" si="111"/>
        <v>S</v>
      </c>
      <c r="NA12" s="117" t="str">
        <f t="shared" si="111"/>
        <v>S</v>
      </c>
      <c r="NB12" s="117" t="str">
        <f t="shared" si="111"/>
        <v>S</v>
      </c>
      <c r="NC12" s="117" t="str">
        <f t="shared" si="111"/>
        <v>S</v>
      </c>
      <c r="ND12" s="117" t="str">
        <f t="shared" si="114"/>
        <v>S</v>
      </c>
      <c r="NE12" s="117">
        <f t="shared" si="95"/>
        <v>0</v>
      </c>
      <c r="NF12" s="117">
        <f t="shared" si="111"/>
        <v>1.0000000000000001E-5</v>
      </c>
      <c r="NG12" s="117" t="str">
        <f t="shared" si="111"/>
        <v>S</v>
      </c>
      <c r="NH12" s="117" t="str">
        <f t="shared" si="111"/>
        <v>S</v>
      </c>
      <c r="NI12" s="117" t="str">
        <f t="shared" si="111"/>
        <v>S</v>
      </c>
      <c r="NJ12" s="117" t="str">
        <f t="shared" si="111"/>
        <v>S</v>
      </c>
      <c r="NK12" s="117" t="str">
        <f t="shared" si="111"/>
        <v>S</v>
      </c>
      <c r="NL12" s="117" t="str">
        <f t="shared" si="111"/>
        <v>S</v>
      </c>
      <c r="NM12" s="117" t="str">
        <f t="shared" si="111"/>
        <v>S</v>
      </c>
      <c r="NN12" s="117" t="str">
        <f t="shared" si="111"/>
        <v>S</v>
      </c>
      <c r="NO12" s="117">
        <f t="shared" si="111"/>
        <v>4</v>
      </c>
      <c r="NP12" s="117">
        <f t="shared" si="111"/>
        <v>6.0000000000000009</v>
      </c>
      <c r="NQ12" s="117">
        <f t="shared" si="111"/>
        <v>0.625</v>
      </c>
      <c r="NR12" s="117">
        <f t="shared" si="111"/>
        <v>0.5</v>
      </c>
      <c r="NS12" s="117">
        <f t="shared" si="111"/>
        <v>0.5</v>
      </c>
      <c r="NT12" s="117">
        <f t="shared" si="52"/>
        <v>0.12520000000000001</v>
      </c>
      <c r="NU12" s="265" t="str">
        <f t="shared" si="55"/>
        <v>S</v>
      </c>
      <c r="NV12" s="117" t="str">
        <f t="shared" si="56"/>
        <v>S</v>
      </c>
      <c r="NW12" s="117" t="str">
        <f t="shared" si="56"/>
        <v>S</v>
      </c>
      <c r="NX12" s="117" t="str">
        <f t="shared" si="56"/>
        <v>S</v>
      </c>
      <c r="NY12" s="117" t="str">
        <f t="shared" si="56"/>
        <v>S</v>
      </c>
      <c r="NZ12" s="117" t="str">
        <f t="shared" si="57"/>
        <v>S</v>
      </c>
      <c r="OA12" s="117" t="str">
        <f t="shared" si="57"/>
        <v>S</v>
      </c>
      <c r="OB12" s="117" t="str">
        <f t="shared" si="57"/>
        <v>S</v>
      </c>
      <c r="OC12" s="117" t="str">
        <f t="shared" si="56"/>
        <v>S</v>
      </c>
      <c r="OD12" s="117" t="str">
        <f t="shared" si="56"/>
        <v>S</v>
      </c>
      <c r="OE12" s="117">
        <f t="shared" si="56"/>
        <v>3.0000000000000004</v>
      </c>
      <c r="OF12" s="117">
        <f t="shared" si="56"/>
        <v>0.16999999999999998</v>
      </c>
      <c r="OG12" s="117">
        <f t="shared" si="56"/>
        <v>1.41</v>
      </c>
      <c r="OH12" s="117">
        <f t="shared" si="56"/>
        <v>0.27300000000000002</v>
      </c>
      <c r="OI12" s="117">
        <f t="shared" si="56"/>
        <v>0.27</v>
      </c>
      <c r="OJ12" s="117">
        <f t="shared" si="56"/>
        <v>0.1</v>
      </c>
      <c r="OK12" s="117">
        <f t="shared" si="56"/>
        <v>9.4629999999999992</v>
      </c>
      <c r="OL12" s="117">
        <f t="shared" si="56"/>
        <v>8.4947435596928661E-2</v>
      </c>
      <c r="OM12" s="117">
        <f t="shared" si="56"/>
        <v>4.0999999999999996</v>
      </c>
      <c r="ON12" s="265" t="str">
        <f t="shared" si="58"/>
        <v>S</v>
      </c>
      <c r="OO12" s="3" t="str">
        <f t="shared" si="98"/>
        <v>S</v>
      </c>
      <c r="OP12" s="3" t="str">
        <f t="shared" si="98"/>
        <v>S</v>
      </c>
      <c r="OQ12" s="3" t="str">
        <f t="shared" si="98"/>
        <v>S</v>
      </c>
      <c r="OR12" s="3" t="str">
        <f t="shared" si="98"/>
        <v>S</v>
      </c>
      <c r="OS12" s="3" t="str">
        <f t="shared" si="98"/>
        <v>S</v>
      </c>
      <c r="OT12" s="3" t="str">
        <f t="shared" si="98"/>
        <v>S</v>
      </c>
      <c r="OU12" s="117">
        <f t="shared" si="56"/>
        <v>22.352885682963269</v>
      </c>
      <c r="OV12" s="117">
        <f t="shared" si="56"/>
        <v>1.5625</v>
      </c>
      <c r="OW12" s="117">
        <f t="shared" si="56"/>
        <v>2</v>
      </c>
      <c r="OX12" s="117">
        <f t="shared" ca="1" si="56"/>
        <v>1.0000000000000001E-5</v>
      </c>
      <c r="OY12" s="3" t="str">
        <f t="shared" si="125"/>
        <v>S</v>
      </c>
      <c r="OZ12" s="3" t="str">
        <f t="shared" si="125"/>
        <v>S</v>
      </c>
      <c r="PA12" s="3" t="str">
        <f t="shared" si="125"/>
        <v>S</v>
      </c>
      <c r="PB12" s="3" t="str">
        <f t="shared" si="125"/>
        <v>S</v>
      </c>
      <c r="PC12" s="117">
        <f t="shared" si="60"/>
        <v>1.0000006859324079E-6</v>
      </c>
      <c r="PD12" s="117">
        <f t="shared" si="60"/>
        <v>1.0000000313816476E-6</v>
      </c>
      <c r="PE12" s="117">
        <f t="shared" si="61"/>
        <v>9.9999936016657661E-7</v>
      </c>
      <c r="PF12" s="117">
        <f t="shared" si="61"/>
        <v>9.9999997677932015E-7</v>
      </c>
      <c r="PG12" s="3" t="str">
        <f t="shared" si="99"/>
        <v>S</v>
      </c>
      <c r="PH12" s="3" t="str">
        <f t="shared" si="99"/>
        <v>S</v>
      </c>
      <c r="PI12" s="3" t="str">
        <f t="shared" si="99"/>
        <v>S</v>
      </c>
      <c r="PJ12" s="3" t="str">
        <f t="shared" si="99"/>
        <v>S</v>
      </c>
      <c r="PK12" s="117" t="str">
        <f t="shared" si="56"/>
        <v>Teflon, 2.5 x 2.5</v>
      </c>
      <c r="PL12" s="117" t="str">
        <f t="shared" si="56"/>
        <v>Teflon, 2.5 x 2.5</v>
      </c>
      <c r="PM12" s="117">
        <f t="shared" si="62"/>
        <v>0</v>
      </c>
      <c r="PN12" s="117" t="str">
        <f t="shared" si="56"/>
        <v>Teflon, 2.5 x 2.5</v>
      </c>
      <c r="PO12" s="117" t="str">
        <f t="shared" si="56"/>
        <v>Teflon, 2.5 x 2.5</v>
      </c>
      <c r="PP12" s="117">
        <f t="shared" si="63"/>
        <v>0</v>
      </c>
      <c r="PQ12" s="117">
        <f t="shared" si="56"/>
        <v>0.125</v>
      </c>
      <c r="PR12" s="117">
        <f t="shared" si="56"/>
        <v>0.125</v>
      </c>
      <c r="PS12" s="117">
        <f t="shared" si="64"/>
        <v>0.125</v>
      </c>
      <c r="PT12" s="117">
        <f t="shared" si="64"/>
        <v>0.125</v>
      </c>
      <c r="PU12" s="3" t="str">
        <f t="shared" si="126"/>
        <v>S</v>
      </c>
      <c r="PV12" s="3" t="str">
        <f t="shared" si="126"/>
        <v>S</v>
      </c>
      <c r="PW12" s="3" t="str">
        <f t="shared" si="126"/>
        <v>S</v>
      </c>
      <c r="PX12" s="3" t="str">
        <f t="shared" si="126"/>
        <v>S</v>
      </c>
      <c r="PY12" s="3" t="str">
        <f t="shared" si="126"/>
        <v>S</v>
      </c>
      <c r="PZ12" s="3" t="str">
        <f t="shared" si="126"/>
        <v>S</v>
      </c>
      <c r="QA12" s="3" t="str">
        <f t="shared" si="126"/>
        <v>S</v>
      </c>
      <c r="QB12" s="3" t="str">
        <f t="shared" si="126"/>
        <v>S</v>
      </c>
      <c r="QC12" s="3" t="str">
        <f t="shared" si="126"/>
        <v>S</v>
      </c>
      <c r="QD12" s="3" t="str">
        <f t="shared" si="126"/>
        <v>S</v>
      </c>
      <c r="QE12" s="3" t="str">
        <f t="shared" si="126"/>
        <v>S</v>
      </c>
      <c r="QF12" s="117">
        <f t="shared" ca="1" si="56"/>
        <v>3</v>
      </c>
      <c r="QG12" s="117">
        <f t="shared" ca="1" si="56"/>
        <v>1.5</v>
      </c>
      <c r="QH12" s="117">
        <f t="shared" ca="1" si="56"/>
        <v>1</v>
      </c>
      <c r="QI12" s="117">
        <f t="shared" ca="1" si="56"/>
        <v>3</v>
      </c>
      <c r="QJ12" s="117" t="str">
        <f t="shared" ca="1" si="56"/>
        <v>S</v>
      </c>
      <c r="QK12" s="3" t="str">
        <f t="shared" si="127"/>
        <v>S</v>
      </c>
      <c r="QL12" s="3" t="str">
        <f t="shared" si="127"/>
        <v>S</v>
      </c>
      <c r="QM12" s="3" t="str">
        <f t="shared" si="127"/>
        <v>S</v>
      </c>
      <c r="QN12" s="3" t="str">
        <f t="shared" si="127"/>
        <v>S</v>
      </c>
      <c r="QO12" s="3" t="str">
        <f t="shared" si="127"/>
        <v>S</v>
      </c>
      <c r="QP12" s="3" t="str">
        <f t="shared" si="127"/>
        <v>S</v>
      </c>
      <c r="QQ12" s="3" t="str">
        <f t="shared" si="127"/>
        <v>S</v>
      </c>
      <c r="QR12" s="3" t="str">
        <f t="shared" si="127"/>
        <v>S</v>
      </c>
      <c r="QS12" s="3" t="str">
        <f t="shared" si="127"/>
        <v>S</v>
      </c>
      <c r="QT12" s="182" t="str">
        <f t="shared" si="127"/>
        <v>S</v>
      </c>
      <c r="QU12" s="3" t="str">
        <f t="shared" si="127"/>
        <v>S</v>
      </c>
      <c r="QV12" s="3" t="str">
        <f t="shared" si="127"/>
        <v>S</v>
      </c>
      <c r="QW12" s="3" t="str">
        <f t="shared" si="127"/>
        <v>S</v>
      </c>
      <c r="QX12" s="3" t="str">
        <f t="shared" si="127"/>
        <v>S</v>
      </c>
      <c r="QY12" s="3" t="str">
        <f t="shared" si="127"/>
        <v>S</v>
      </c>
      <c r="QZ12" s="3" t="str">
        <f t="shared" si="127"/>
        <v>S</v>
      </c>
      <c r="RA12" s="3" t="str">
        <f t="shared" si="127"/>
        <v>S</v>
      </c>
      <c r="RB12" s="3" t="str">
        <f t="shared" si="127"/>
        <v>S</v>
      </c>
      <c r="RC12" s="3" t="str">
        <f t="shared" si="127"/>
        <v>S</v>
      </c>
      <c r="RD12" s="117">
        <f t="shared" si="56"/>
        <v>2</v>
      </c>
      <c r="RE12" s="117">
        <f t="shared" si="56"/>
        <v>3.0000000000000004</v>
      </c>
      <c r="RF12" s="117">
        <f t="shared" si="56"/>
        <v>0.18750000000000003</v>
      </c>
      <c r="RG12" s="117">
        <f t="shared" si="56"/>
        <v>0.3125</v>
      </c>
      <c r="RH12" s="117">
        <f t="shared" ref="RH12" si="136">RH$6</f>
        <v>0.18750000000000003</v>
      </c>
      <c r="RI12" s="117">
        <f t="shared" si="117"/>
        <v>2.0000000000000001E-4</v>
      </c>
      <c r="RJ12" s="3" t="str">
        <f t="shared" si="128"/>
        <v>S</v>
      </c>
      <c r="RK12" s="3" t="str">
        <f t="shared" si="128"/>
        <v>S</v>
      </c>
      <c r="RL12" s="3" t="str">
        <f t="shared" si="128"/>
        <v>S</v>
      </c>
      <c r="RM12" s="3" t="str">
        <f t="shared" si="128"/>
        <v>S</v>
      </c>
      <c r="RN12" s="3" t="str">
        <f t="shared" si="128"/>
        <v>S</v>
      </c>
      <c r="RO12" s="3" t="str">
        <f t="shared" si="128"/>
        <v>S</v>
      </c>
      <c r="RP12" s="3" t="str">
        <f t="shared" si="128"/>
        <v>S</v>
      </c>
      <c r="RQ12" s="3" t="str">
        <f t="shared" si="128"/>
        <v>S</v>
      </c>
      <c r="RR12" s="3" t="str">
        <f t="shared" si="129"/>
        <v>S</v>
      </c>
      <c r="RS12" s="3" t="str">
        <f t="shared" si="129"/>
        <v>S</v>
      </c>
      <c r="RT12" s="3" t="str">
        <f t="shared" si="129"/>
        <v>S</v>
      </c>
      <c r="RU12" s="3" t="str">
        <f t="shared" si="129"/>
        <v>S</v>
      </c>
      <c r="RV12" s="3" t="str">
        <f t="shared" si="129"/>
        <v>S</v>
      </c>
      <c r="RW12" s="3" t="str">
        <f t="shared" si="129"/>
        <v>S</v>
      </c>
      <c r="RX12" s="3" t="str">
        <f t="shared" si="129"/>
        <v>S</v>
      </c>
      <c r="RY12" s="3" t="str">
        <f t="shared" si="129"/>
        <v>S</v>
      </c>
      <c r="RZ12" s="3" t="str">
        <f t="shared" si="129"/>
        <v>S</v>
      </c>
      <c r="SA12" s="117">
        <f t="shared" si="117"/>
        <v>3.0000000000000004</v>
      </c>
      <c r="SB12" s="117">
        <f t="shared" si="117"/>
        <v>0.16999999999999998</v>
      </c>
      <c r="SC12" s="117">
        <f t="shared" si="117"/>
        <v>1.41</v>
      </c>
      <c r="SD12" s="117">
        <f t="shared" si="117"/>
        <v>0.27300000000000002</v>
      </c>
      <c r="SE12" s="117">
        <f t="shared" si="117"/>
        <v>0.27</v>
      </c>
      <c r="SF12" s="117">
        <f t="shared" si="117"/>
        <v>0.1</v>
      </c>
      <c r="SG12" s="117">
        <f t="shared" si="117"/>
        <v>9.4629999999999992</v>
      </c>
      <c r="SH12" s="117">
        <f t="shared" si="117"/>
        <v>8.4947435596928661E-2</v>
      </c>
      <c r="SI12" s="117">
        <f t="shared" si="117"/>
        <v>4.0999999999999996</v>
      </c>
      <c r="SJ12" s="3" t="str">
        <f t="shared" si="130"/>
        <v>S</v>
      </c>
      <c r="SK12" s="3" t="str">
        <f t="shared" si="130"/>
        <v>S</v>
      </c>
      <c r="SL12" s="3" t="str">
        <f t="shared" si="130"/>
        <v>S</v>
      </c>
      <c r="SM12" s="3" t="str">
        <f t="shared" si="130"/>
        <v>S</v>
      </c>
      <c r="SN12" s="3" t="str">
        <f t="shared" si="130"/>
        <v>S</v>
      </c>
      <c r="SO12" s="3" t="str">
        <f t="shared" si="130"/>
        <v>S</v>
      </c>
      <c r="SP12" s="3" t="str">
        <f t="shared" si="130"/>
        <v>S</v>
      </c>
      <c r="SQ12" s="3" t="str">
        <f t="shared" si="130"/>
        <v>S</v>
      </c>
      <c r="SR12" s="3" t="str">
        <f t="shared" si="130"/>
        <v>S</v>
      </c>
      <c r="SS12" s="117">
        <f t="shared" si="117"/>
        <v>1.5000000000000002</v>
      </c>
      <c r="ST12" s="117">
        <f t="shared" si="119"/>
        <v>1.5000000000000002</v>
      </c>
      <c r="SU12" s="117">
        <f t="shared" si="119"/>
        <v>0.5</v>
      </c>
      <c r="SV12" s="117">
        <f t="shared" si="119"/>
        <v>0.5</v>
      </c>
      <c r="SW12" s="3" t="str">
        <f t="shared" si="130"/>
        <v>S</v>
      </c>
      <c r="SX12" s="3" t="str">
        <f t="shared" si="130"/>
        <v>S</v>
      </c>
      <c r="SY12" s="3" t="str">
        <f t="shared" si="130"/>
        <v>S</v>
      </c>
      <c r="SZ12" s="3" t="str">
        <f t="shared" si="130"/>
        <v>S</v>
      </c>
      <c r="TA12" s="3" t="str">
        <f t="shared" si="130"/>
        <v>S</v>
      </c>
      <c r="TB12" s="3" t="str">
        <f t="shared" si="130"/>
        <v>S</v>
      </c>
      <c r="TC12" s="3" t="str">
        <f t="shared" si="130"/>
        <v>S</v>
      </c>
      <c r="TD12" s="3" t="str">
        <f t="shared" si="130"/>
        <v>S</v>
      </c>
      <c r="TE12" s="3" t="str">
        <f t="shared" si="130"/>
        <v>S</v>
      </c>
      <c r="TF12" s="117">
        <f t="shared" si="117"/>
        <v>3</v>
      </c>
      <c r="TG12" s="117">
        <f t="shared" si="117"/>
        <v>5.7</v>
      </c>
      <c r="TH12" s="117">
        <f t="shared" si="117"/>
        <v>3.0000000000000004</v>
      </c>
      <c r="TI12" s="117">
        <f t="shared" si="117"/>
        <v>0.16999999999999998</v>
      </c>
      <c r="TJ12" s="117">
        <f t="shared" si="117"/>
        <v>2.33</v>
      </c>
      <c r="TK12" s="117">
        <f t="shared" si="117"/>
        <v>0.26</v>
      </c>
      <c r="TL12" s="117">
        <f t="shared" si="117"/>
        <v>0.27</v>
      </c>
      <c r="TM12" s="117">
        <f t="shared" si="117"/>
        <v>0.1</v>
      </c>
      <c r="TN12" s="117">
        <f t="shared" si="117"/>
        <v>9.4630000000000312</v>
      </c>
      <c r="TO12" s="117">
        <f t="shared" si="117"/>
        <v>1.8425437273624747</v>
      </c>
      <c r="TP12" s="3" t="str">
        <f t="shared" si="131"/>
        <v>S</v>
      </c>
      <c r="TQ12" s="3" t="str">
        <f t="shared" si="131"/>
        <v>S</v>
      </c>
      <c r="TR12" s="3" t="str">
        <f t="shared" si="131"/>
        <v>S</v>
      </c>
      <c r="TS12" s="3" t="str">
        <f t="shared" si="131"/>
        <v>S</v>
      </c>
      <c r="TT12" s="3" t="str">
        <f t="shared" si="131"/>
        <v>S</v>
      </c>
      <c r="TU12" s="3" t="str">
        <f t="shared" si="131"/>
        <v>S</v>
      </c>
      <c r="TV12" s="3" t="str">
        <f t="shared" si="131"/>
        <v>S</v>
      </c>
      <c r="TW12" s="3" t="str">
        <f t="shared" si="131"/>
        <v>S</v>
      </c>
      <c r="TX12" s="3" t="str">
        <f t="shared" si="131"/>
        <v>S</v>
      </c>
      <c r="TY12" s="117">
        <f t="shared" si="117"/>
        <v>4</v>
      </c>
      <c r="TZ12" s="117">
        <f t="shared" si="117"/>
        <v>13</v>
      </c>
      <c r="UA12" s="117">
        <f t="shared" si="117"/>
        <v>4.16</v>
      </c>
      <c r="UB12" s="117">
        <f t="shared" si="117"/>
        <v>0.28000000000000003</v>
      </c>
      <c r="UC12" s="117">
        <f t="shared" si="117"/>
        <v>4.0599999999999996</v>
      </c>
      <c r="UD12" s="117">
        <f t="shared" si="117"/>
        <v>0.34499999999999992</v>
      </c>
      <c r="UE12" s="117">
        <f t="shared" si="117"/>
        <v>0.25</v>
      </c>
      <c r="UF12" s="3" t="str">
        <f t="shared" si="132"/>
        <v>S</v>
      </c>
      <c r="UG12" s="3" t="str">
        <f t="shared" si="132"/>
        <v>S</v>
      </c>
      <c r="UH12" s="3" t="str">
        <f t="shared" si="132"/>
        <v>S</v>
      </c>
      <c r="UI12" s="3" t="str">
        <f t="shared" si="132"/>
        <v>S</v>
      </c>
      <c r="UJ12" s="117"/>
      <c r="UK12" s="3" t="str">
        <f t="shared" si="104"/>
        <v>S</v>
      </c>
      <c r="UL12" s="3" t="str">
        <f t="shared" si="104"/>
        <v>S</v>
      </c>
      <c r="UM12" s="3" t="str">
        <f t="shared" si="104"/>
        <v>S</v>
      </c>
      <c r="UN12" s="3" t="str">
        <f t="shared" si="104"/>
        <v>S</v>
      </c>
      <c r="UO12" s="3" t="str">
        <f t="shared" si="104"/>
        <v>S</v>
      </c>
      <c r="UP12" s="3" t="str">
        <f t="shared" si="104"/>
        <v>S</v>
      </c>
      <c r="UQ12" s="3" t="str">
        <f t="shared" si="104"/>
        <v>S</v>
      </c>
      <c r="UR12" s="117">
        <f t="shared" si="73"/>
        <v>1</v>
      </c>
      <c r="US12" s="117">
        <f t="shared" si="117"/>
        <v>2</v>
      </c>
      <c r="UT12" s="117">
        <f t="shared" si="117"/>
        <v>500</v>
      </c>
      <c r="UU12" s="117" t="str">
        <f t="shared" si="117"/>
        <v>S</v>
      </c>
      <c r="UV12" s="3" t="str">
        <f t="shared" si="105"/>
        <v>S</v>
      </c>
      <c r="UW12" s="3" t="str">
        <f t="shared" si="105"/>
        <v>S</v>
      </c>
      <c r="UX12" s="3" t="str">
        <f t="shared" si="105"/>
        <v>S</v>
      </c>
      <c r="UY12" s="3" t="str">
        <f t="shared" si="105"/>
        <v>S</v>
      </c>
      <c r="UZ12" s="3" t="str">
        <f t="shared" si="105"/>
        <v>S</v>
      </c>
      <c r="VA12" s="121" t="str">
        <f t="shared" si="106"/>
        <v>S</v>
      </c>
      <c r="VB12" s="121" t="str">
        <f t="shared" si="106"/>
        <v>S</v>
      </c>
      <c r="VC12" s="121" t="str">
        <f t="shared" si="106"/>
        <v>S</v>
      </c>
      <c r="VD12" s="121" t="str">
        <f t="shared" si="106"/>
        <v>S</v>
      </c>
      <c r="VE12" s="121" t="str">
        <f t="shared" si="106"/>
        <v>S</v>
      </c>
      <c r="VF12" s="3" t="str">
        <f>"U"</f>
        <v>U</v>
      </c>
      <c r="VG12" s="121" t="str">
        <f t="shared" si="106"/>
        <v>S</v>
      </c>
      <c r="VH12" s="121" t="str">
        <f t="shared" si="106"/>
        <v>S</v>
      </c>
      <c r="VI12" s="117" t="str">
        <f t="shared" si="79"/>
        <v>3</v>
      </c>
      <c r="VJ12" s="117" t="str">
        <f t="shared" si="117"/>
        <v>.3</v>
      </c>
      <c r="VK12" s="117">
        <f t="shared" si="117"/>
        <v>3</v>
      </c>
      <c r="VL12" s="117" t="str">
        <f t="shared" si="117"/>
        <v>3-SEC</v>
      </c>
      <c r="VM12" s="122" t="str">
        <f>CONCATENATE($C$2,$D$2,IF(ISNUMBER(FIND("FRONT",VN12,1)),"-HS-FA","-HS-A"))</f>
        <v>3-HS-A</v>
      </c>
      <c r="VN12" s="122" t="str">
        <f>IF(OR(ROUND(Tube_Slope_Angle,1)=360,ROUND(Tube_Slope_Angle,1)=0),"HEADER SUPPORT, SIDE A","HEADER SUPPORT, FRONT SIDE A")</f>
        <v>HEADER SUPPORT, SIDE A</v>
      </c>
      <c r="VO12" s="117" t="str">
        <f t="shared" si="117"/>
        <v>000000</v>
      </c>
      <c r="VP12" s="410">
        <f t="shared" si="80"/>
        <v>5</v>
      </c>
      <c r="VQ12" s="410">
        <f t="shared" si="80"/>
        <v>5</v>
      </c>
      <c r="VR12" s="410">
        <f t="shared" si="80"/>
        <v>0.125</v>
      </c>
      <c r="VS12" s="410">
        <f t="shared" si="80"/>
        <v>1.125</v>
      </c>
      <c r="VT12" s="410">
        <f t="shared" si="80"/>
        <v>3.5</v>
      </c>
      <c r="VX12" s="117" t="str">
        <f t="shared" si="81"/>
        <v>3-SEC</v>
      </c>
    </row>
    <row r="13" spans="1:597" s="3" customFormat="1" ht="14.4" hidden="1" outlineLevel="1" x14ac:dyDescent="0.3">
      <c r="A13" s="123" t="str">
        <f>IF(OR(ProductLine="AXC",AW13=0),"$User_Notes","HS-RB")</f>
        <v>$User_Notes</v>
      </c>
      <c r="B13" s="117" t="str">
        <f t="shared" si="82"/>
        <v>AXC</v>
      </c>
      <c r="C13" s="117">
        <f t="shared" si="85"/>
        <v>65</v>
      </c>
      <c r="D13" s="117">
        <f t="shared" si="85"/>
        <v>780</v>
      </c>
      <c r="E13" s="117">
        <f t="shared" si="85"/>
        <v>0.125</v>
      </c>
      <c r="F13" s="117">
        <f t="shared" si="85"/>
        <v>6.25E-2</v>
      </c>
      <c r="G13" s="117">
        <f t="shared" si="85"/>
        <v>777.625</v>
      </c>
      <c r="H13" s="117" t="str">
        <f t="shared" si="85"/>
        <v>MC12x10.6</v>
      </c>
      <c r="I13" s="117" t="str">
        <f t="shared" si="85"/>
        <v>AXC materials:SA-36</v>
      </c>
      <c r="J13" s="117" t="str">
        <f t="shared" si="85"/>
        <v>Galvanized</v>
      </c>
      <c r="K13" s="117" t="str">
        <f t="shared" si="85"/>
        <v>Bolt on Angle</v>
      </c>
      <c r="L13" s="117" t="str">
        <f t="shared" si="19"/>
        <v>EH\VV\VI_</v>
      </c>
      <c r="M13" s="117">
        <f t="shared" ca="1" si="85"/>
        <v>16</v>
      </c>
      <c r="N13" s="117">
        <f t="shared" ca="1" si="20"/>
        <v>48</v>
      </c>
      <c r="O13" s="117">
        <f t="shared" ca="1" si="85"/>
        <v>30</v>
      </c>
      <c r="P13" s="117" t="str">
        <f t="shared" si="85"/>
        <v>Yes - Rear HDR</v>
      </c>
      <c r="Q13" s="117">
        <f t="shared" si="85"/>
        <v>3.9999333887056512</v>
      </c>
      <c r="R13" s="117" t="str">
        <f t="shared" si="85"/>
        <v>Angle</v>
      </c>
      <c r="S13" s="117" t="str">
        <f t="shared" si="85"/>
        <v>L2x3x0.1875</v>
      </c>
      <c r="T13" s="117" t="str">
        <f t="shared" si="85"/>
        <v>Weld On</v>
      </c>
      <c r="U13" s="117" t="str">
        <f t="shared" si="21"/>
        <v>Yes</v>
      </c>
      <c r="V13" s="117" t="str">
        <f t="shared" si="85"/>
        <v>Yes</v>
      </c>
      <c r="W13" s="117">
        <f t="shared" si="85"/>
        <v>15</v>
      </c>
      <c r="X13" s="117">
        <f t="shared" si="85"/>
        <v>0</v>
      </c>
      <c r="Y13" s="117">
        <f t="shared" si="22"/>
        <v>0</v>
      </c>
      <c r="Z13" s="117" t="str">
        <f t="shared" si="22"/>
        <v>STD</v>
      </c>
      <c r="AA13" s="117" t="str">
        <f t="shared" si="85"/>
        <v>No</v>
      </c>
      <c r="AB13" s="117" t="str">
        <f t="shared" si="23"/>
        <v>OFF</v>
      </c>
      <c r="AC13" s="117" t="str">
        <f t="shared" si="85"/>
        <v>Yes</v>
      </c>
      <c r="AD13" s="117" t="str">
        <f t="shared" si="24"/>
        <v>AXC Weld On</v>
      </c>
      <c r="AE13" s="117" t="str">
        <f t="shared" si="24"/>
        <v>Outside</v>
      </c>
      <c r="AF13" s="117" t="str">
        <f t="shared" si="85"/>
        <v>0.5"</v>
      </c>
      <c r="AG13" s="117">
        <f t="shared" si="85"/>
        <v>278.125</v>
      </c>
      <c r="AH13" s="117">
        <f t="shared" si="85"/>
        <v>249.75</v>
      </c>
      <c r="AI13" s="117">
        <f t="shared" si="85"/>
        <v>0.5</v>
      </c>
      <c r="AJ13" s="117">
        <f t="shared" si="25"/>
        <v>4</v>
      </c>
      <c r="AK13" s="117">
        <f t="shared" si="25"/>
        <v>500</v>
      </c>
      <c r="AL13" s="117" t="str">
        <f t="shared" si="85"/>
        <v>None</v>
      </c>
      <c r="AM13" s="117" t="str">
        <f t="shared" si="85"/>
        <v>Pick from List</v>
      </c>
      <c r="AN13" s="117" t="str">
        <f t="shared" si="85"/>
        <v>None</v>
      </c>
      <c r="AO13" s="117" t="str">
        <f t="shared" si="85"/>
        <v>None</v>
      </c>
      <c r="AP13" s="117" t="str">
        <f t="shared" si="85"/>
        <v>None</v>
      </c>
      <c r="AQ13" s="117" t="str">
        <f t="shared" si="85"/>
        <v>L4x6x0.625</v>
      </c>
      <c r="AR13" s="117" t="str">
        <f t="shared" si="85"/>
        <v>Bolt on</v>
      </c>
      <c r="AS13" s="117" t="str">
        <f t="shared" si="85"/>
        <v>Yes</v>
      </c>
      <c r="AT13" s="117" t="str">
        <f t="shared" ca="1" si="85"/>
        <v>Bolt On</v>
      </c>
      <c r="AU13" s="164">
        <f t="shared" ca="1" si="26"/>
        <v>16</v>
      </c>
      <c r="AV13" s="117">
        <f t="shared" si="26"/>
        <v>0</v>
      </c>
      <c r="AW13" s="117">
        <f t="shared" si="26"/>
        <v>0</v>
      </c>
      <c r="AX13" s="117">
        <f t="shared" si="26"/>
        <v>6.25E-2</v>
      </c>
      <c r="AY13" s="164">
        <f t="shared" si="26"/>
        <v>21.915385672961552</v>
      </c>
      <c r="AZ13" s="117">
        <f t="shared" si="26"/>
        <v>1.5625</v>
      </c>
      <c r="BA13" s="117">
        <f t="shared" si="26"/>
        <v>2</v>
      </c>
      <c r="BB13" s="117">
        <f t="shared" si="26"/>
        <v>21.915385672961648</v>
      </c>
      <c r="BC13" s="117">
        <f t="shared" si="26"/>
        <v>1.5625</v>
      </c>
      <c r="BD13" s="117">
        <f t="shared" si="26"/>
        <v>2</v>
      </c>
      <c r="BE13" s="164">
        <f t="shared" si="27"/>
        <v>0.6250000000043382</v>
      </c>
      <c r="BF13" s="117">
        <f t="shared" si="27"/>
        <v>1.0937500000075919</v>
      </c>
      <c r="BG13" s="117">
        <f t="shared" si="27"/>
        <v>2</v>
      </c>
      <c r="BH13" s="117">
        <f t="shared" si="27"/>
        <v>0.62500000000430156</v>
      </c>
      <c r="BI13" s="117">
        <f t="shared" si="27"/>
        <v>1.0937500000075278</v>
      </c>
      <c r="BJ13" s="117">
        <f t="shared" si="27"/>
        <v>2</v>
      </c>
      <c r="BK13" s="117">
        <f t="shared" si="19"/>
        <v>1.9999999999999956</v>
      </c>
      <c r="BL13" s="117" t="str">
        <f t="shared" si="85"/>
        <v>Weld Bar</v>
      </c>
      <c r="BM13" s="117">
        <f t="shared" si="19"/>
        <v>0.99999999999999589</v>
      </c>
      <c r="BN13" s="117" t="str">
        <f t="shared" si="85"/>
        <v>Float Bar</v>
      </c>
      <c r="BO13" s="117">
        <f t="shared" si="19"/>
        <v>5</v>
      </c>
      <c r="BP13" s="117" t="str">
        <f t="shared" si="85"/>
        <v>MC12x10.6</v>
      </c>
      <c r="BQ13" s="117" t="str">
        <f t="shared" si="85"/>
        <v>U</v>
      </c>
      <c r="BR13" s="117" t="str">
        <f t="shared" si="85"/>
        <v>S</v>
      </c>
      <c r="BS13" s="117">
        <f t="shared" si="19"/>
        <v>31.374999284744241</v>
      </c>
      <c r="BT13" s="117">
        <f t="shared" si="19"/>
        <v>29.000000000000004</v>
      </c>
      <c r="BU13" s="117">
        <f t="shared" si="19"/>
        <v>3.9999999999999969</v>
      </c>
      <c r="BV13" s="117">
        <f t="shared" si="19"/>
        <v>0.25000000000000089</v>
      </c>
      <c r="BW13" s="117">
        <f t="shared" si="19"/>
        <v>9.9999999999269527E-6</v>
      </c>
      <c r="BX13" s="117">
        <f t="shared" si="85"/>
        <v>1</v>
      </c>
      <c r="BY13" s="117">
        <f t="shared" si="85"/>
        <v>1</v>
      </c>
      <c r="BZ13" s="117">
        <f t="shared" si="19"/>
        <v>6.2721143170279987</v>
      </c>
      <c r="CA13" s="117">
        <f t="shared" si="19"/>
        <v>360</v>
      </c>
      <c r="CB13" s="117">
        <f t="shared" si="19"/>
        <v>1.0000000000001172</v>
      </c>
      <c r="CC13" s="117">
        <f t="shared" si="19"/>
        <v>0.99999999999983746</v>
      </c>
      <c r="CD13" s="117">
        <f t="shared" si="19"/>
        <v>0</v>
      </c>
      <c r="CE13" s="117">
        <f t="shared" si="19"/>
        <v>1.5000000000000009</v>
      </c>
      <c r="CF13" s="117">
        <f t="shared" si="85"/>
        <v>1.2990381056766582</v>
      </c>
      <c r="CG13" s="117">
        <f t="shared" si="85"/>
        <v>9.9999999969219204E-6</v>
      </c>
      <c r="CH13" s="117" t="str">
        <f t="shared" si="85"/>
        <v>No</v>
      </c>
      <c r="CI13" s="117" t="str">
        <f t="shared" si="85"/>
        <v>U</v>
      </c>
      <c r="CJ13" s="117">
        <f t="shared" si="85"/>
        <v>10.6</v>
      </c>
      <c r="CK13" s="117">
        <f t="shared" si="85"/>
        <v>12.000000000000002</v>
      </c>
      <c r="CL13" s="117">
        <f t="shared" si="85"/>
        <v>0.18999999999999997</v>
      </c>
      <c r="CM13" s="117">
        <f t="shared" si="85"/>
        <v>1.5000000000000002</v>
      </c>
      <c r="CN13" s="117">
        <f t="shared" si="85"/>
        <v>0.30899999999999994</v>
      </c>
      <c r="CO13" s="117">
        <f t="shared" si="85"/>
        <v>0.25</v>
      </c>
      <c r="CP13" s="117">
        <f t="shared" ref="CP13:DE14" si="137">CP$6</f>
        <v>0.13</v>
      </c>
      <c r="CQ13" s="117">
        <f t="shared" si="28"/>
        <v>9.4629999999999992</v>
      </c>
      <c r="CR13" s="117">
        <f t="shared" si="28"/>
        <v>8.9700168853607709E-2</v>
      </c>
      <c r="CS13" s="117">
        <f t="shared" si="28"/>
        <v>10.740092274765473</v>
      </c>
      <c r="CT13" s="117">
        <f t="shared" si="28"/>
        <v>0.62995386261726427</v>
      </c>
      <c r="CU13" s="117" t="str">
        <f t="shared" si="28"/>
        <v>S</v>
      </c>
      <c r="CV13" s="117">
        <f t="shared" si="28"/>
        <v>12.000000000000002</v>
      </c>
      <c r="CW13" s="117">
        <f t="shared" si="28"/>
        <v>0.28199999999999997</v>
      </c>
      <c r="CX13" s="117">
        <f t="shared" si="28"/>
        <v>2.9419999999999997</v>
      </c>
      <c r="CY13" s="117">
        <f t="shared" si="28"/>
        <v>0.501</v>
      </c>
      <c r="CZ13" s="117">
        <f t="shared" si="28"/>
        <v>0.37999999999999995</v>
      </c>
      <c r="DA13" s="117">
        <f t="shared" si="28"/>
        <v>0.16999999999999998</v>
      </c>
      <c r="DB13" s="117">
        <f t="shared" si="28"/>
        <v>9.4629999999999992</v>
      </c>
      <c r="DC13" s="117">
        <f t="shared" si="28"/>
        <v>0.13530728481002544</v>
      </c>
      <c r="DD13" s="117">
        <f t="shared" si="28"/>
        <v>20.7</v>
      </c>
      <c r="DE13" s="117" t="str">
        <f t="shared" si="28"/>
        <v>S</v>
      </c>
      <c r="DF13" s="117" t="str">
        <f t="shared" si="28"/>
        <v>S</v>
      </c>
      <c r="DG13" s="117" t="str">
        <f t="shared" si="28"/>
        <v>S</v>
      </c>
      <c r="DH13" s="117" t="str">
        <f t="shared" si="28"/>
        <v>S</v>
      </c>
      <c r="DI13" s="117" t="str">
        <f t="shared" si="28"/>
        <v>S</v>
      </c>
      <c r="DJ13" s="117" t="str">
        <f t="shared" si="28"/>
        <v>S</v>
      </c>
      <c r="DK13" s="117" t="str">
        <f t="shared" si="28"/>
        <v>S</v>
      </c>
      <c r="DL13" s="117" t="str">
        <f t="shared" si="28"/>
        <v>S</v>
      </c>
      <c r="DM13" s="117" t="str">
        <f t="shared" si="28"/>
        <v>U</v>
      </c>
      <c r="DN13" s="117" t="str">
        <f t="shared" si="28"/>
        <v>U</v>
      </c>
      <c r="DO13" s="117" t="str">
        <f t="shared" si="28"/>
        <v>U</v>
      </c>
      <c r="DP13" s="117" t="str">
        <f t="shared" si="28"/>
        <v>U</v>
      </c>
      <c r="DQ13" s="3" t="str">
        <f t="shared" si="86"/>
        <v>S</v>
      </c>
      <c r="DR13" s="3" t="str">
        <f t="shared" si="86"/>
        <v>S</v>
      </c>
      <c r="DS13" s="3" t="str">
        <f t="shared" si="86"/>
        <v>S</v>
      </c>
      <c r="DT13" s="3" t="str">
        <f t="shared" si="86"/>
        <v>S</v>
      </c>
      <c r="DU13" s="3" t="str">
        <f t="shared" si="86"/>
        <v>S</v>
      </c>
      <c r="DV13" s="3" t="str">
        <f t="shared" si="86"/>
        <v>S</v>
      </c>
      <c r="DW13" s="3" t="str">
        <f t="shared" si="86"/>
        <v>S</v>
      </c>
      <c r="DX13" s="3" t="str">
        <f t="shared" si="86"/>
        <v>S</v>
      </c>
      <c r="DY13" s="117">
        <f t="shared" ref="DY13:ER14" si="138">DY$6</f>
        <v>29</v>
      </c>
      <c r="DZ13" s="117">
        <f t="shared" si="138"/>
        <v>0.25</v>
      </c>
      <c r="EA13" s="117">
        <f t="shared" si="138"/>
        <v>0.25</v>
      </c>
      <c r="EB13" s="117">
        <f t="shared" si="138"/>
        <v>3.9999999999999969</v>
      </c>
      <c r="EC13" s="117">
        <f t="shared" si="138"/>
        <v>1E-4</v>
      </c>
      <c r="ED13" s="117">
        <f t="shared" si="138"/>
        <v>1E-4</v>
      </c>
      <c r="EE13" s="117">
        <f t="shared" si="138"/>
        <v>0.25000000000000089</v>
      </c>
      <c r="EF13" s="117">
        <f t="shared" si="138"/>
        <v>1.5599999999999999E-2</v>
      </c>
      <c r="EG13" s="117" t="str">
        <f t="shared" ca="1" si="87"/>
        <v>U</v>
      </c>
      <c r="EH13" s="117" t="str">
        <f t="shared" ca="1" si="87"/>
        <v>S</v>
      </c>
      <c r="EI13" s="117" t="str">
        <f t="shared" ca="1" si="87"/>
        <v>U</v>
      </c>
      <c r="EJ13" s="117" t="str">
        <f t="shared" si="87"/>
        <v>S</v>
      </c>
      <c r="EK13" s="117" t="str">
        <f t="shared" ca="1" si="87"/>
        <v>U</v>
      </c>
      <c r="EL13" s="117" t="str">
        <f t="shared" ca="1" si="87"/>
        <v>S</v>
      </c>
      <c r="EM13" s="117">
        <f t="shared" si="138"/>
        <v>0.75</v>
      </c>
      <c r="EN13" s="117">
        <f t="shared" si="28"/>
        <v>0.19000000000423975</v>
      </c>
      <c r="EO13" s="117">
        <f t="shared" si="134"/>
        <v>0.62500000000001221</v>
      </c>
      <c r="EP13" s="117">
        <f t="shared" si="134"/>
        <v>1.5000000000000016</v>
      </c>
      <c r="EQ13" s="117">
        <f t="shared" si="134"/>
        <v>1.437500284744256</v>
      </c>
      <c r="ER13" s="117">
        <f t="shared" si="138"/>
        <v>0.5</v>
      </c>
      <c r="ES13" s="117" t="str">
        <f t="shared" si="88"/>
        <v>U</v>
      </c>
      <c r="ET13" s="117" t="str">
        <f t="shared" si="88"/>
        <v>U</v>
      </c>
      <c r="EU13" s="117" t="str">
        <f t="shared" si="88"/>
        <v>U</v>
      </c>
      <c r="EV13" s="117" t="str">
        <f t="shared" si="88"/>
        <v>U</v>
      </c>
      <c r="EW13" s="117" t="str">
        <f t="shared" si="88"/>
        <v>U</v>
      </c>
      <c r="EX13" s="117" t="str">
        <f t="shared" ca="1" si="30"/>
        <v>U</v>
      </c>
      <c r="EY13" s="117" t="str">
        <f t="shared" ca="1" si="30"/>
        <v>U</v>
      </c>
      <c r="EZ13" s="117" t="str">
        <f t="shared" ca="1" si="30"/>
        <v>U</v>
      </c>
      <c r="FA13" s="117" t="str">
        <f t="shared" ca="1" si="88"/>
        <v>U</v>
      </c>
      <c r="FB13" s="117" t="str">
        <f t="shared" ca="1" si="88"/>
        <v>U</v>
      </c>
      <c r="FC13" s="117" t="str">
        <f t="shared" ca="1" si="88"/>
        <v>U</v>
      </c>
      <c r="FD13" s="117" t="str">
        <f t="shared" ca="1" si="88"/>
        <v>U</v>
      </c>
      <c r="FE13" s="117" t="str">
        <f t="shared" ca="1" si="88"/>
        <v>U</v>
      </c>
      <c r="FF13" s="117" t="str">
        <f t="shared" ca="1" si="88"/>
        <v>U</v>
      </c>
      <c r="FG13" s="117">
        <f t="shared" ca="1" si="123"/>
        <v>48</v>
      </c>
      <c r="FH13" s="117" t="str">
        <f t="shared" si="123"/>
        <v>U</v>
      </c>
      <c r="FI13" s="117" t="str">
        <f t="shared" si="123"/>
        <v>S</v>
      </c>
      <c r="FJ13" s="3" t="str">
        <f t="shared" si="89"/>
        <v>S</v>
      </c>
      <c r="FK13" s="3" t="str">
        <f t="shared" si="89"/>
        <v>S</v>
      </c>
      <c r="FL13" s="309" t="str">
        <f t="shared" si="89"/>
        <v>S</v>
      </c>
      <c r="FM13" s="117" t="str">
        <f t="shared" ca="1" si="33"/>
        <v>U</v>
      </c>
      <c r="FN13" s="117" t="str">
        <f t="shared" ca="1" si="33"/>
        <v>U</v>
      </c>
      <c r="FO13" s="117">
        <f t="shared" ca="1" si="33"/>
        <v>48</v>
      </c>
      <c r="FP13" s="117">
        <f t="shared" ca="1" si="33"/>
        <v>16</v>
      </c>
      <c r="FQ13" s="310" t="str">
        <f t="shared" si="89"/>
        <v>S</v>
      </c>
      <c r="FR13" s="3" t="str">
        <f t="shared" si="89"/>
        <v>S</v>
      </c>
      <c r="FS13" s="3" t="str">
        <f t="shared" si="89"/>
        <v>S</v>
      </c>
      <c r="FT13" s="3" t="str">
        <f t="shared" si="89"/>
        <v>S</v>
      </c>
      <c r="FU13" s="3" t="str">
        <f t="shared" si="89"/>
        <v>S</v>
      </c>
      <c r="FV13" s="3" t="str">
        <f t="shared" si="89"/>
        <v>S</v>
      </c>
      <c r="FW13" s="3" t="str">
        <f t="shared" si="89"/>
        <v>S</v>
      </c>
      <c r="FX13" s="117" t="str">
        <f t="shared" si="36"/>
        <v>U</v>
      </c>
      <c r="FY13" s="117" t="str">
        <f t="shared" si="36"/>
        <v>U</v>
      </c>
      <c r="FZ13" s="117">
        <f t="shared" si="32"/>
        <v>27</v>
      </c>
      <c r="GA13" s="117">
        <f t="shared" si="123"/>
        <v>19</v>
      </c>
      <c r="GB13" s="117">
        <f t="shared" si="123"/>
        <v>10</v>
      </c>
      <c r="GC13" s="117">
        <f t="shared" si="123"/>
        <v>15.000000000000009</v>
      </c>
      <c r="GD13" s="117">
        <f t="shared" si="123"/>
        <v>1</v>
      </c>
      <c r="GE13" s="117">
        <f t="shared" si="123"/>
        <v>12.000000000000007</v>
      </c>
      <c r="GF13" s="117">
        <f t="shared" si="123"/>
        <v>1</v>
      </c>
      <c r="GG13" s="117">
        <f t="shared" si="123"/>
        <v>1</v>
      </c>
      <c r="GH13" s="117">
        <f t="shared" si="123"/>
        <v>12.000010000000007</v>
      </c>
      <c r="GI13" s="117" t="str">
        <f t="shared" ca="1" si="32"/>
        <v>U</v>
      </c>
      <c r="GJ13" s="117" t="str">
        <f t="shared" ca="1" si="32"/>
        <v>S</v>
      </c>
      <c r="GK13" s="117" t="str">
        <f t="shared" ca="1" si="32"/>
        <v>U</v>
      </c>
      <c r="GL13" s="117" t="str">
        <f t="shared" ca="1" si="32"/>
        <v>U</v>
      </c>
      <c r="GM13" s="117" t="str">
        <f t="shared" ca="1" si="32"/>
        <v>U</v>
      </c>
      <c r="GN13" s="117" t="str">
        <f t="shared" ca="1" si="32"/>
        <v>U</v>
      </c>
      <c r="GO13" s="117" t="str">
        <f t="shared" ca="1" si="32"/>
        <v>U</v>
      </c>
      <c r="GP13" s="117">
        <f t="shared" si="32"/>
        <v>1.0000000005663834E-5</v>
      </c>
      <c r="GQ13" s="117">
        <f t="shared" si="32"/>
        <v>5.9999999999999991</v>
      </c>
      <c r="GR13" s="117">
        <f t="shared" si="123"/>
        <v>1</v>
      </c>
      <c r="GS13" s="117">
        <f t="shared" si="123"/>
        <v>10</v>
      </c>
      <c r="GT13" s="117">
        <f t="shared" si="123"/>
        <v>15.000000000000009</v>
      </c>
      <c r="GU13" s="117">
        <f t="shared" si="123"/>
        <v>0</v>
      </c>
      <c r="GV13" s="117">
        <f t="shared" si="123"/>
        <v>6.0000000000000036</v>
      </c>
      <c r="GW13" s="117">
        <f t="shared" si="123"/>
        <v>1</v>
      </c>
      <c r="GX13" s="117">
        <f t="shared" si="123"/>
        <v>1</v>
      </c>
      <c r="GY13" s="117" t="str">
        <f t="shared" ca="1" si="32"/>
        <v>S</v>
      </c>
      <c r="GZ13" s="117">
        <f t="shared" si="123"/>
        <v>1.500010000000001</v>
      </c>
      <c r="HA13" s="117" t="str">
        <f t="shared" ca="1" si="32"/>
        <v>S</v>
      </c>
      <c r="HB13" s="117" t="str">
        <f t="shared" ca="1" si="32"/>
        <v>S</v>
      </c>
      <c r="HC13" s="117" t="str">
        <f t="shared" ca="1" si="123"/>
        <v>S</v>
      </c>
      <c r="HD13" s="117" t="str">
        <f t="shared" ca="1" si="123"/>
        <v>S</v>
      </c>
      <c r="HE13" s="117" t="str">
        <f t="shared" ca="1" si="123"/>
        <v>S</v>
      </c>
      <c r="HF13" s="208" t="str">
        <f t="shared" si="37"/>
        <v>Yes - Right Side</v>
      </c>
      <c r="HG13" s="117" t="str">
        <f t="shared" si="123"/>
        <v>S</v>
      </c>
      <c r="HH13" s="117" t="str">
        <f t="shared" si="123"/>
        <v>U</v>
      </c>
      <c r="HI13" s="117" t="str">
        <f t="shared" si="39"/>
        <v>U</v>
      </c>
      <c r="HJ13" s="3" t="str">
        <f t="shared" si="40"/>
        <v>S</v>
      </c>
      <c r="HK13" s="3" t="str">
        <f t="shared" si="40"/>
        <v>S</v>
      </c>
      <c r="HL13" s="117">
        <f t="shared" ca="1" si="123"/>
        <v>48</v>
      </c>
      <c r="HM13" s="117">
        <f t="shared" si="123"/>
        <v>3.9999999999999998E-6</v>
      </c>
      <c r="HN13" s="3" t="str">
        <f t="shared" si="41"/>
        <v>S</v>
      </c>
      <c r="HO13" s="117">
        <f t="shared" ca="1" si="123"/>
        <v>18</v>
      </c>
      <c r="HP13" s="117">
        <f t="shared" ca="1" si="123"/>
        <v>48.000003999999997</v>
      </c>
      <c r="HQ13" s="3" t="str">
        <f t="shared" si="42"/>
        <v>S</v>
      </c>
      <c r="HR13" s="3" t="str">
        <f t="shared" si="42"/>
        <v>S</v>
      </c>
      <c r="HS13" s="117">
        <f t="shared" ca="1" si="123"/>
        <v>359.99999600000001</v>
      </c>
      <c r="HT13" s="117">
        <f t="shared" ca="1" si="123"/>
        <v>23.999968000000024</v>
      </c>
      <c r="HU13" s="117">
        <f t="shared" ca="1" si="123"/>
        <v>23.999968000000024</v>
      </c>
      <c r="HV13" s="117">
        <f t="shared" ca="1" si="123"/>
        <v>3.9999373887056513</v>
      </c>
      <c r="HW13" s="117">
        <f t="shared" ca="1" si="123"/>
        <v>24</v>
      </c>
      <c r="HX13" s="117">
        <f t="shared" si="123"/>
        <v>388.8125</v>
      </c>
      <c r="HY13" s="117">
        <f t="shared" ca="1" si="123"/>
        <v>360.00000399999999</v>
      </c>
      <c r="HZ13" s="117">
        <f t="shared" ca="1" si="43"/>
        <v>3.9999373887056513</v>
      </c>
      <c r="IA13" s="117">
        <f t="shared" ca="1" si="43"/>
        <v>24.000035999999973</v>
      </c>
      <c r="IB13" s="3" t="str">
        <f t="shared" si="44"/>
        <v>S</v>
      </c>
      <c r="IC13" s="3" t="str">
        <f t="shared" si="44"/>
        <v>S</v>
      </c>
      <c r="ID13" s="117">
        <f t="shared" ca="1" si="123"/>
        <v>27.999905388705674</v>
      </c>
      <c r="IE13" s="3" t="str">
        <f t="shared" si="45"/>
        <v>S</v>
      </c>
      <c r="IF13" s="3" t="str">
        <f t="shared" si="45"/>
        <v>S</v>
      </c>
      <c r="IG13" s="3" t="str">
        <f t="shared" si="45"/>
        <v>S</v>
      </c>
      <c r="IH13" s="3" t="str">
        <f t="shared" si="45"/>
        <v>S</v>
      </c>
      <c r="II13" s="3" t="str">
        <f t="shared" si="45"/>
        <v>S</v>
      </c>
      <c r="IJ13" s="117">
        <f t="shared" ca="1" si="123"/>
        <v>23.999968000000024</v>
      </c>
      <c r="IK13" s="117">
        <f t="shared" ca="1" si="123"/>
        <v>3.9999373887056513</v>
      </c>
      <c r="IL13" s="3" t="str">
        <f t="shared" si="46"/>
        <v>S</v>
      </c>
      <c r="IM13" s="3" t="str">
        <f t="shared" si="46"/>
        <v>S</v>
      </c>
      <c r="IN13" s="3" t="str">
        <f t="shared" si="46"/>
        <v>S</v>
      </c>
      <c r="IO13" s="3" t="str">
        <f t="shared" si="46"/>
        <v>S</v>
      </c>
      <c r="IP13" s="3" t="str">
        <f t="shared" si="46"/>
        <v>S</v>
      </c>
      <c r="IQ13" s="3" t="str">
        <f t="shared" si="46"/>
        <v>S</v>
      </c>
      <c r="IR13" s="3" t="str">
        <f t="shared" si="46"/>
        <v>S</v>
      </c>
      <c r="IS13" s="3" t="str">
        <f t="shared" si="46"/>
        <v>S</v>
      </c>
      <c r="IT13" s="3" t="str">
        <f t="shared" si="46"/>
        <v>S</v>
      </c>
      <c r="IU13" s="3" t="str">
        <f t="shared" si="46"/>
        <v>S</v>
      </c>
      <c r="IV13" s="3" t="str">
        <f t="shared" si="46"/>
        <v>S</v>
      </c>
      <c r="IW13" s="3" t="str">
        <f t="shared" si="46"/>
        <v>S</v>
      </c>
      <c r="IX13" s="3" t="str">
        <f t="shared" si="46"/>
        <v>S</v>
      </c>
      <c r="IY13" s="117">
        <f t="shared" ca="1" si="47"/>
        <v>1</v>
      </c>
      <c r="IZ13" s="117">
        <f t="shared" ca="1" si="47"/>
        <v>3</v>
      </c>
      <c r="JA13" s="117">
        <f t="shared" ca="1" si="47"/>
        <v>9.9999999999999995E-7</v>
      </c>
      <c r="JB13" s="117">
        <f t="shared" ca="1" si="48"/>
        <v>1.0000000000000001E-5</v>
      </c>
      <c r="JC13" s="117">
        <f t="shared" ca="1" si="48"/>
        <v>1.0000000000000001E-5</v>
      </c>
      <c r="JD13" s="117" t="str">
        <f t="shared" ca="1" si="47"/>
        <v>S</v>
      </c>
      <c r="JE13" s="117" t="str">
        <f t="shared" ca="1" si="47"/>
        <v>S</v>
      </c>
      <c r="JF13" s="117" t="str">
        <f t="shared" ca="1" si="47"/>
        <v>S</v>
      </c>
      <c r="JG13" s="117" t="str">
        <f t="shared" ca="1" si="47"/>
        <v>S</v>
      </c>
      <c r="JH13" s="117" t="str">
        <f t="shared" ca="1" si="47"/>
        <v>S</v>
      </c>
      <c r="JI13" s="117">
        <f t="shared" si="124"/>
        <v>0.1046</v>
      </c>
      <c r="JJ13" s="199">
        <f t="shared" si="49"/>
        <v>0.39290028474001548</v>
      </c>
      <c r="JK13" s="117">
        <f t="shared" si="124"/>
        <v>0.51790028474001548</v>
      </c>
      <c r="JL13" s="117">
        <f t="shared" si="124"/>
        <v>0.5</v>
      </c>
      <c r="JM13" s="117">
        <f t="shared" si="124"/>
        <v>0.375</v>
      </c>
      <c r="JN13" s="117">
        <f t="shared" si="124"/>
        <v>0.375</v>
      </c>
      <c r="JO13" s="117">
        <f t="shared" si="47"/>
        <v>11.25</v>
      </c>
      <c r="JP13" s="117" t="str">
        <f t="shared" si="50"/>
        <v>S</v>
      </c>
      <c r="JQ13" s="117" t="str">
        <f t="shared" si="50"/>
        <v>S</v>
      </c>
      <c r="JR13" s="117" t="str">
        <f t="shared" si="50"/>
        <v>S</v>
      </c>
      <c r="JS13" s="117" t="str">
        <f t="shared" si="47"/>
        <v>U</v>
      </c>
      <c r="JT13" s="117" t="str">
        <f t="shared" si="47"/>
        <v>U</v>
      </c>
      <c r="JU13" s="117" t="str">
        <f t="shared" si="51"/>
        <v>S</v>
      </c>
      <c r="JV13" s="3" t="str">
        <f t="shared" si="90"/>
        <v>S</v>
      </c>
      <c r="JW13" s="3" t="str">
        <f t="shared" si="90"/>
        <v>S</v>
      </c>
      <c r="JX13" s="3" t="str">
        <f t="shared" si="90"/>
        <v>S</v>
      </c>
      <c r="JY13" s="3" t="str">
        <f t="shared" si="90"/>
        <v>S</v>
      </c>
      <c r="JZ13" s="3" t="str">
        <f t="shared" si="90"/>
        <v>S</v>
      </c>
      <c r="KA13" s="3" t="str">
        <f t="shared" si="90"/>
        <v>S</v>
      </c>
      <c r="KB13" s="3" t="str">
        <f t="shared" si="90"/>
        <v>S</v>
      </c>
      <c r="KC13" s="3" t="str">
        <f t="shared" si="90"/>
        <v>S</v>
      </c>
      <c r="KD13" s="3" t="str">
        <f t="shared" si="90"/>
        <v>S</v>
      </c>
      <c r="KE13" s="3" t="str">
        <f t="shared" si="90"/>
        <v>S</v>
      </c>
      <c r="KF13" s="3" t="str">
        <f t="shared" si="90"/>
        <v>S</v>
      </c>
      <c r="KG13" s="3" t="str">
        <f t="shared" si="90"/>
        <v>S</v>
      </c>
      <c r="KH13" s="3" t="str">
        <f t="shared" si="90"/>
        <v>S</v>
      </c>
      <c r="KI13" s="3" t="str">
        <f t="shared" si="90"/>
        <v>S</v>
      </c>
      <c r="KJ13" s="3" t="str">
        <f t="shared" si="90"/>
        <v>S</v>
      </c>
      <c r="KK13" s="3" t="str">
        <f t="shared" si="90"/>
        <v>S</v>
      </c>
      <c r="KL13" s="3" t="str">
        <f t="shared" si="90"/>
        <v>S</v>
      </c>
      <c r="KM13" s="3" t="str">
        <f t="shared" si="90"/>
        <v>S</v>
      </c>
      <c r="KN13" s="117">
        <f t="shared" si="47"/>
        <v>1.0000000000000001E-5</v>
      </c>
      <c r="KO13" s="3" t="str">
        <f t="shared" si="91"/>
        <v>S</v>
      </c>
      <c r="KP13" s="117" t="str">
        <f t="shared" si="47"/>
        <v>S</v>
      </c>
      <c r="KQ13" s="117" t="str">
        <f t="shared" si="47"/>
        <v>S</v>
      </c>
      <c r="KR13" s="117" t="str">
        <f t="shared" si="47"/>
        <v>S</v>
      </c>
      <c r="KS13" s="117" t="str">
        <f t="shared" si="47"/>
        <v>S</v>
      </c>
      <c r="KT13" s="117" t="str">
        <f t="shared" si="47"/>
        <v>S</v>
      </c>
      <c r="KU13" s="117" t="str">
        <f t="shared" si="47"/>
        <v>S</v>
      </c>
      <c r="KV13" s="117" t="str">
        <f t="shared" si="47"/>
        <v>S</v>
      </c>
      <c r="KW13" s="117">
        <f t="shared" si="47"/>
        <v>2</v>
      </c>
      <c r="KX13" s="117">
        <f t="shared" si="47"/>
        <v>3.0000000000000004</v>
      </c>
      <c r="KY13" s="117">
        <f t="shared" si="47"/>
        <v>0.25</v>
      </c>
      <c r="KZ13" s="117">
        <f t="shared" si="47"/>
        <v>0.3125</v>
      </c>
      <c r="LA13" s="117">
        <f t="shared" si="47"/>
        <v>0.25</v>
      </c>
      <c r="LB13" s="117">
        <f t="shared" si="47"/>
        <v>2.0000000000000001E-4</v>
      </c>
      <c r="LC13" s="117" t="str">
        <f t="shared" si="47"/>
        <v>S</v>
      </c>
      <c r="LD13" s="3" t="str">
        <f t="shared" si="92"/>
        <v>S</v>
      </c>
      <c r="LE13" s="117" t="str">
        <f t="shared" si="47"/>
        <v>S</v>
      </c>
      <c r="LF13" s="117" t="str">
        <f t="shared" si="47"/>
        <v>S</v>
      </c>
      <c r="LG13" s="117" t="str">
        <f t="shared" si="111"/>
        <v>S</v>
      </c>
      <c r="LH13" s="117" t="str">
        <f t="shared" si="111"/>
        <v>S</v>
      </c>
      <c r="LI13" s="117" t="str">
        <f t="shared" si="111"/>
        <v>S</v>
      </c>
      <c r="LJ13" s="117" t="str">
        <f t="shared" si="111"/>
        <v>S</v>
      </c>
      <c r="LK13" s="117" t="str">
        <f t="shared" si="111"/>
        <v>S</v>
      </c>
      <c r="LL13" s="117" t="str">
        <f t="shared" si="111"/>
        <v>S</v>
      </c>
      <c r="LM13" s="117" t="str">
        <f t="shared" si="111"/>
        <v>S</v>
      </c>
      <c r="LN13" s="117" t="str">
        <f t="shared" si="111"/>
        <v>S</v>
      </c>
      <c r="LO13" s="117" t="str">
        <f t="shared" si="111"/>
        <v>S</v>
      </c>
      <c r="LP13" s="117" t="str">
        <f t="shared" si="111"/>
        <v>S</v>
      </c>
      <c r="LQ13" s="117">
        <f t="shared" si="111"/>
        <v>3.0000000000000004</v>
      </c>
      <c r="LR13" s="117">
        <f t="shared" si="111"/>
        <v>0.16999999999999998</v>
      </c>
      <c r="LS13" s="117">
        <f t="shared" si="111"/>
        <v>1.41</v>
      </c>
      <c r="LT13" s="117">
        <f t="shared" si="111"/>
        <v>0.27300000000000002</v>
      </c>
      <c r="LU13" s="117">
        <f t="shared" si="111"/>
        <v>0.27</v>
      </c>
      <c r="LV13" s="117">
        <f t="shared" si="111"/>
        <v>0.1</v>
      </c>
      <c r="LW13" s="117">
        <f t="shared" si="111"/>
        <v>9.4629999999999992</v>
      </c>
      <c r="LX13" s="117">
        <f t="shared" si="111"/>
        <v>8.4947435596928661E-2</v>
      </c>
      <c r="LY13" s="117">
        <f t="shared" si="111"/>
        <v>4.0999999999999996</v>
      </c>
      <c r="LZ13" s="117" t="str">
        <f t="shared" si="111"/>
        <v>S</v>
      </c>
      <c r="MA13" s="117" t="str">
        <f t="shared" si="111"/>
        <v>S</v>
      </c>
      <c r="MB13" s="117" t="str">
        <f t="shared" si="111"/>
        <v>S</v>
      </c>
      <c r="MC13" s="117" t="str">
        <f t="shared" si="111"/>
        <v>S</v>
      </c>
      <c r="MD13" s="117" t="str">
        <f t="shared" si="52"/>
        <v>S</v>
      </c>
      <c r="ME13" s="117" t="str">
        <f t="shared" si="111"/>
        <v>S</v>
      </c>
      <c r="MF13" s="117" t="str">
        <f t="shared" si="111"/>
        <v>S</v>
      </c>
      <c r="MG13" s="117" t="str">
        <f t="shared" si="111"/>
        <v>S</v>
      </c>
      <c r="MH13" s="117" t="str">
        <f t="shared" si="111"/>
        <v>S</v>
      </c>
      <c r="MI13" s="117" t="str">
        <f t="shared" si="111"/>
        <v>S</v>
      </c>
      <c r="MJ13" s="117" t="str">
        <f t="shared" si="112"/>
        <v>S</v>
      </c>
      <c r="MK13" s="117" t="str">
        <f t="shared" si="113"/>
        <v>S</v>
      </c>
      <c r="ML13" s="117" t="str">
        <f t="shared" si="113"/>
        <v>S</v>
      </c>
      <c r="MM13" s="117" t="str">
        <f t="shared" si="111"/>
        <v>S</v>
      </c>
      <c r="MN13" s="117" t="str">
        <f t="shared" si="111"/>
        <v>S</v>
      </c>
      <c r="MO13" s="117" t="str">
        <f t="shared" si="111"/>
        <v>S</v>
      </c>
      <c r="MP13" s="117" t="str">
        <f t="shared" si="111"/>
        <v>S</v>
      </c>
      <c r="MQ13" s="117" t="str">
        <f t="shared" si="111"/>
        <v>S</v>
      </c>
      <c r="MR13" s="117" t="str">
        <f>MR$6</f>
        <v>S</v>
      </c>
      <c r="MS13" s="117" t="str">
        <f t="shared" si="111"/>
        <v>S</v>
      </c>
      <c r="MT13" s="117" t="str">
        <f t="shared" si="111"/>
        <v>S</v>
      </c>
      <c r="MU13" s="117" t="str">
        <f t="shared" si="111"/>
        <v>S</v>
      </c>
      <c r="MV13" s="117" t="str">
        <f t="shared" si="111"/>
        <v>S</v>
      </c>
      <c r="MW13" s="117" t="str">
        <f t="shared" si="111"/>
        <v>S</v>
      </c>
      <c r="MX13" s="117" t="str">
        <f t="shared" si="111"/>
        <v>S</v>
      </c>
      <c r="MY13" s="117" t="str">
        <f t="shared" si="111"/>
        <v>S</v>
      </c>
      <c r="MZ13" s="117" t="str">
        <f t="shared" si="111"/>
        <v>S</v>
      </c>
      <c r="NA13" s="117" t="str">
        <f t="shared" si="111"/>
        <v>S</v>
      </c>
      <c r="NB13" s="117" t="str">
        <f t="shared" si="111"/>
        <v>S</v>
      </c>
      <c r="NC13" s="117" t="str">
        <f t="shared" si="111"/>
        <v>S</v>
      </c>
      <c r="ND13" s="117" t="str">
        <f t="shared" si="114"/>
        <v>S</v>
      </c>
      <c r="NE13" s="117">
        <f t="shared" si="95"/>
        <v>0</v>
      </c>
      <c r="NF13" s="117">
        <f t="shared" si="111"/>
        <v>1.0000000000000001E-5</v>
      </c>
      <c r="NG13" s="117" t="str">
        <f t="shared" si="111"/>
        <v>S</v>
      </c>
      <c r="NH13" s="117" t="str">
        <f t="shared" si="111"/>
        <v>S</v>
      </c>
      <c r="NI13" s="117" t="str">
        <f t="shared" si="111"/>
        <v>S</v>
      </c>
      <c r="NJ13" s="117" t="str">
        <f t="shared" si="111"/>
        <v>S</v>
      </c>
      <c r="NK13" s="117" t="str">
        <f t="shared" si="111"/>
        <v>S</v>
      </c>
      <c r="NL13" s="117" t="str">
        <f t="shared" si="111"/>
        <v>S</v>
      </c>
      <c r="NM13" s="117" t="str">
        <f t="shared" si="111"/>
        <v>S</v>
      </c>
      <c r="NN13" s="117" t="str">
        <f t="shared" si="111"/>
        <v>S</v>
      </c>
      <c r="NO13" s="117">
        <f t="shared" si="111"/>
        <v>4</v>
      </c>
      <c r="NP13" s="117">
        <f t="shared" si="111"/>
        <v>6.0000000000000009</v>
      </c>
      <c r="NQ13" s="117">
        <f t="shared" si="111"/>
        <v>0.625</v>
      </c>
      <c r="NR13" s="117">
        <f t="shared" si="111"/>
        <v>0.5</v>
      </c>
      <c r="NS13" s="117">
        <f t="shared" si="111"/>
        <v>0.5</v>
      </c>
      <c r="NT13" s="117">
        <f t="shared" si="52"/>
        <v>0.12520000000000001</v>
      </c>
      <c r="NU13" s="265" t="str">
        <f t="shared" si="55"/>
        <v>S</v>
      </c>
      <c r="NV13" s="117" t="str">
        <f t="shared" si="56"/>
        <v>S</v>
      </c>
      <c r="NW13" s="117" t="str">
        <f t="shared" si="56"/>
        <v>S</v>
      </c>
      <c r="NX13" s="117" t="str">
        <f t="shared" si="56"/>
        <v>S</v>
      </c>
      <c r="NY13" s="117" t="str">
        <f t="shared" si="56"/>
        <v>S</v>
      </c>
      <c r="NZ13" s="117" t="str">
        <f t="shared" si="57"/>
        <v>S</v>
      </c>
      <c r="OA13" s="117" t="str">
        <f t="shared" si="57"/>
        <v>S</v>
      </c>
      <c r="OB13" s="117" t="str">
        <f t="shared" si="57"/>
        <v>S</v>
      </c>
      <c r="OC13" s="117" t="str">
        <f t="shared" si="56"/>
        <v>S</v>
      </c>
      <c r="OD13" s="117" t="str">
        <f t="shared" si="56"/>
        <v>S</v>
      </c>
      <c r="OE13" s="117">
        <f t="shared" si="56"/>
        <v>3.0000000000000004</v>
      </c>
      <c r="OF13" s="117">
        <f t="shared" si="56"/>
        <v>0.16999999999999998</v>
      </c>
      <c r="OG13" s="117">
        <f t="shared" si="56"/>
        <v>1.41</v>
      </c>
      <c r="OH13" s="117">
        <f t="shared" si="56"/>
        <v>0.27300000000000002</v>
      </c>
      <c r="OI13" s="117">
        <f t="shared" si="56"/>
        <v>0.27</v>
      </c>
      <c r="OJ13" s="117">
        <f t="shared" si="56"/>
        <v>0.1</v>
      </c>
      <c r="OK13" s="117">
        <f t="shared" si="56"/>
        <v>9.4629999999999992</v>
      </c>
      <c r="OL13" s="117">
        <f t="shared" si="56"/>
        <v>8.4947435596928661E-2</v>
      </c>
      <c r="OM13" s="117">
        <f t="shared" si="56"/>
        <v>4.0999999999999996</v>
      </c>
      <c r="ON13" s="265" t="str">
        <f t="shared" si="58"/>
        <v>S</v>
      </c>
      <c r="OO13" s="3" t="str">
        <f t="shared" si="98"/>
        <v>S</v>
      </c>
      <c r="OP13" s="3" t="str">
        <f t="shared" si="98"/>
        <v>S</v>
      </c>
      <c r="OQ13" s="3" t="str">
        <f t="shared" si="98"/>
        <v>S</v>
      </c>
      <c r="OR13" s="3" t="str">
        <f t="shared" si="98"/>
        <v>S</v>
      </c>
      <c r="OS13" s="3" t="str">
        <f t="shared" si="98"/>
        <v>S</v>
      </c>
      <c r="OT13" s="3" t="str">
        <f t="shared" si="98"/>
        <v>S</v>
      </c>
      <c r="OU13" s="117">
        <f t="shared" si="56"/>
        <v>22.352885682963269</v>
      </c>
      <c r="OV13" s="117">
        <f t="shared" si="56"/>
        <v>1.5625</v>
      </c>
      <c r="OW13" s="117">
        <f t="shared" si="56"/>
        <v>2</v>
      </c>
      <c r="OX13" s="117">
        <f t="shared" ca="1" si="56"/>
        <v>1.0000000000000001E-5</v>
      </c>
      <c r="OY13" s="3" t="str">
        <f t="shared" si="125"/>
        <v>S</v>
      </c>
      <c r="OZ13" s="3" t="str">
        <f t="shared" si="125"/>
        <v>S</v>
      </c>
      <c r="PA13" s="3" t="str">
        <f t="shared" si="125"/>
        <v>S</v>
      </c>
      <c r="PB13" s="3" t="str">
        <f t="shared" si="125"/>
        <v>S</v>
      </c>
      <c r="PC13" s="117">
        <f t="shared" si="60"/>
        <v>1.0000006859324079E-6</v>
      </c>
      <c r="PD13" s="117">
        <f t="shared" si="60"/>
        <v>1.0000000313816476E-6</v>
      </c>
      <c r="PE13" s="117">
        <f t="shared" si="61"/>
        <v>9.9999936016657661E-7</v>
      </c>
      <c r="PF13" s="117">
        <f t="shared" si="61"/>
        <v>9.9999997677932015E-7</v>
      </c>
      <c r="PG13" s="3" t="str">
        <f t="shared" si="99"/>
        <v>S</v>
      </c>
      <c r="PH13" s="3" t="str">
        <f t="shared" si="99"/>
        <v>S</v>
      </c>
      <c r="PI13" s="3" t="str">
        <f t="shared" si="99"/>
        <v>S</v>
      </c>
      <c r="PJ13" s="3" t="str">
        <f t="shared" si="99"/>
        <v>S</v>
      </c>
      <c r="PK13" s="117" t="str">
        <f t="shared" si="56"/>
        <v>Teflon, 2.5 x 2.5</v>
      </c>
      <c r="PL13" s="117" t="str">
        <f t="shared" si="56"/>
        <v>Teflon, 2.5 x 2.5</v>
      </c>
      <c r="PM13" s="117">
        <f t="shared" si="62"/>
        <v>0</v>
      </c>
      <c r="PN13" s="117" t="str">
        <f t="shared" si="56"/>
        <v>Teflon, 2.5 x 2.5</v>
      </c>
      <c r="PO13" s="117" t="str">
        <f t="shared" si="56"/>
        <v>Teflon, 2.5 x 2.5</v>
      </c>
      <c r="PP13" s="117">
        <f t="shared" si="63"/>
        <v>0</v>
      </c>
      <c r="PQ13" s="117">
        <f t="shared" si="56"/>
        <v>0.125</v>
      </c>
      <c r="PR13" s="117">
        <f t="shared" si="56"/>
        <v>0.125</v>
      </c>
      <c r="PS13" s="117">
        <f t="shared" si="64"/>
        <v>0.125</v>
      </c>
      <c r="PT13" s="117">
        <f t="shared" si="64"/>
        <v>0.125</v>
      </c>
      <c r="PU13" s="3" t="str">
        <f t="shared" si="126"/>
        <v>S</v>
      </c>
      <c r="PV13" s="3" t="str">
        <f t="shared" si="126"/>
        <v>S</v>
      </c>
      <c r="PW13" s="3" t="str">
        <f t="shared" si="126"/>
        <v>S</v>
      </c>
      <c r="PX13" s="3" t="str">
        <f t="shared" si="126"/>
        <v>S</v>
      </c>
      <c r="PY13" s="3" t="str">
        <f t="shared" si="126"/>
        <v>S</v>
      </c>
      <c r="PZ13" s="3" t="str">
        <f t="shared" si="126"/>
        <v>S</v>
      </c>
      <c r="QA13" s="3" t="str">
        <f t="shared" si="126"/>
        <v>S</v>
      </c>
      <c r="QB13" s="3" t="str">
        <f t="shared" si="126"/>
        <v>S</v>
      </c>
      <c r="QC13" s="3" t="str">
        <f t="shared" si="126"/>
        <v>S</v>
      </c>
      <c r="QD13" s="3" t="str">
        <f t="shared" si="126"/>
        <v>S</v>
      </c>
      <c r="QE13" s="3" t="str">
        <f t="shared" si="126"/>
        <v>S</v>
      </c>
      <c r="QF13" s="117">
        <f t="shared" ca="1" si="56"/>
        <v>3</v>
      </c>
      <c r="QG13" s="117">
        <f t="shared" ca="1" si="56"/>
        <v>1.5</v>
      </c>
      <c r="QH13" s="117">
        <f t="shared" ca="1" si="56"/>
        <v>1</v>
      </c>
      <c r="QI13" s="117">
        <f t="shared" ca="1" si="56"/>
        <v>3</v>
      </c>
      <c r="QJ13" s="117" t="str">
        <f t="shared" ca="1" si="56"/>
        <v>S</v>
      </c>
      <c r="QK13" s="3" t="str">
        <f t="shared" si="127"/>
        <v>S</v>
      </c>
      <c r="QL13" s="3" t="str">
        <f t="shared" si="127"/>
        <v>S</v>
      </c>
      <c r="QM13" s="3" t="str">
        <f t="shared" si="127"/>
        <v>S</v>
      </c>
      <c r="QN13" s="3" t="str">
        <f t="shared" si="127"/>
        <v>S</v>
      </c>
      <c r="QO13" s="3" t="str">
        <f t="shared" si="127"/>
        <v>S</v>
      </c>
      <c r="QP13" s="3" t="str">
        <f t="shared" si="127"/>
        <v>S</v>
      </c>
      <c r="QQ13" s="3" t="str">
        <f t="shared" si="127"/>
        <v>S</v>
      </c>
      <c r="QR13" s="3" t="str">
        <f t="shared" si="127"/>
        <v>S</v>
      </c>
      <c r="QS13" s="3" t="str">
        <f t="shared" si="127"/>
        <v>S</v>
      </c>
      <c r="QT13" s="182" t="str">
        <f t="shared" si="127"/>
        <v>S</v>
      </c>
      <c r="QU13" s="3" t="str">
        <f t="shared" si="127"/>
        <v>S</v>
      </c>
      <c r="QV13" s="3" t="str">
        <f t="shared" si="127"/>
        <v>S</v>
      </c>
      <c r="QW13" s="3" t="str">
        <f t="shared" si="127"/>
        <v>S</v>
      </c>
      <c r="QX13" s="3" t="str">
        <f t="shared" si="127"/>
        <v>S</v>
      </c>
      <c r="QY13" s="3" t="str">
        <f t="shared" si="127"/>
        <v>S</v>
      </c>
      <c r="QZ13" s="3" t="str">
        <f t="shared" si="127"/>
        <v>S</v>
      </c>
      <c r="RA13" s="3" t="str">
        <f t="shared" si="127"/>
        <v>S</v>
      </c>
      <c r="RB13" s="3" t="str">
        <f t="shared" si="127"/>
        <v>S</v>
      </c>
      <c r="RC13" s="3" t="str">
        <f t="shared" si="127"/>
        <v>S</v>
      </c>
      <c r="RD13" s="117">
        <f t="shared" si="56"/>
        <v>2</v>
      </c>
      <c r="RE13" s="117">
        <f t="shared" si="56"/>
        <v>3.0000000000000004</v>
      </c>
      <c r="RF13" s="117">
        <f t="shared" si="56"/>
        <v>0.18750000000000003</v>
      </c>
      <c r="RG13" s="117">
        <f t="shared" si="56"/>
        <v>0.3125</v>
      </c>
      <c r="RH13" s="117">
        <f t="shared" si="56"/>
        <v>0.18750000000000003</v>
      </c>
      <c r="RI13" s="117">
        <f t="shared" si="117"/>
        <v>2.0000000000000001E-4</v>
      </c>
      <c r="RJ13" s="3" t="str">
        <f t="shared" si="128"/>
        <v>S</v>
      </c>
      <c r="RK13" s="3" t="str">
        <f t="shared" si="128"/>
        <v>S</v>
      </c>
      <c r="RL13" s="3" t="str">
        <f t="shared" si="128"/>
        <v>S</v>
      </c>
      <c r="RM13" s="3" t="str">
        <f t="shared" si="128"/>
        <v>S</v>
      </c>
      <c r="RN13" s="3" t="str">
        <f t="shared" si="128"/>
        <v>S</v>
      </c>
      <c r="RO13" s="3" t="str">
        <f t="shared" si="128"/>
        <v>S</v>
      </c>
      <c r="RP13" s="3" t="str">
        <f t="shared" si="128"/>
        <v>S</v>
      </c>
      <c r="RQ13" s="3" t="str">
        <f t="shared" si="128"/>
        <v>S</v>
      </c>
      <c r="RR13" s="3" t="str">
        <f t="shared" si="129"/>
        <v>S</v>
      </c>
      <c r="RS13" s="3" t="str">
        <f t="shared" si="129"/>
        <v>S</v>
      </c>
      <c r="RT13" s="3" t="str">
        <f t="shared" si="129"/>
        <v>S</v>
      </c>
      <c r="RU13" s="3" t="str">
        <f t="shared" si="129"/>
        <v>S</v>
      </c>
      <c r="RV13" s="3" t="str">
        <f t="shared" si="129"/>
        <v>S</v>
      </c>
      <c r="RW13" s="3" t="str">
        <f t="shared" si="129"/>
        <v>S</v>
      </c>
      <c r="RX13" s="3" t="str">
        <f t="shared" si="129"/>
        <v>S</v>
      </c>
      <c r="RY13" s="3" t="str">
        <f t="shared" si="129"/>
        <v>S</v>
      </c>
      <c r="RZ13" s="3" t="str">
        <f t="shared" si="129"/>
        <v>S</v>
      </c>
      <c r="SA13" s="117">
        <f t="shared" si="117"/>
        <v>3.0000000000000004</v>
      </c>
      <c r="SB13" s="117">
        <f t="shared" si="117"/>
        <v>0.16999999999999998</v>
      </c>
      <c r="SC13" s="117">
        <f t="shared" si="117"/>
        <v>1.41</v>
      </c>
      <c r="SD13" s="117">
        <f t="shared" si="117"/>
        <v>0.27300000000000002</v>
      </c>
      <c r="SE13" s="117">
        <f t="shared" si="117"/>
        <v>0.27</v>
      </c>
      <c r="SF13" s="117">
        <f t="shared" si="117"/>
        <v>0.1</v>
      </c>
      <c r="SG13" s="117">
        <f t="shared" si="117"/>
        <v>9.4629999999999992</v>
      </c>
      <c r="SH13" s="117">
        <f t="shared" si="117"/>
        <v>8.4947435596928661E-2</v>
      </c>
      <c r="SI13" s="117">
        <f t="shared" si="117"/>
        <v>4.0999999999999996</v>
      </c>
      <c r="SJ13" s="3" t="str">
        <f t="shared" si="130"/>
        <v>S</v>
      </c>
      <c r="SK13" s="3" t="str">
        <f t="shared" si="130"/>
        <v>S</v>
      </c>
      <c r="SL13" s="3" t="str">
        <f t="shared" si="130"/>
        <v>S</v>
      </c>
      <c r="SM13" s="3" t="str">
        <f t="shared" si="130"/>
        <v>S</v>
      </c>
      <c r="SN13" s="3" t="str">
        <f t="shared" si="130"/>
        <v>S</v>
      </c>
      <c r="SO13" s="3" t="str">
        <f t="shared" si="130"/>
        <v>S</v>
      </c>
      <c r="SP13" s="3" t="str">
        <f t="shared" si="130"/>
        <v>S</v>
      </c>
      <c r="SQ13" s="3" t="str">
        <f t="shared" si="130"/>
        <v>S</v>
      </c>
      <c r="SR13" s="3" t="str">
        <f t="shared" si="130"/>
        <v>S</v>
      </c>
      <c r="SS13" s="117">
        <f t="shared" ref="SS13:SV14" si="139">SS$6</f>
        <v>1.5000000000000002</v>
      </c>
      <c r="ST13" s="117">
        <f t="shared" si="139"/>
        <v>1.5000000000000002</v>
      </c>
      <c r="SU13" s="117">
        <f t="shared" si="139"/>
        <v>0.5</v>
      </c>
      <c r="SV13" s="117">
        <f t="shared" si="139"/>
        <v>0.5</v>
      </c>
      <c r="SW13" s="3" t="str">
        <f t="shared" si="130"/>
        <v>S</v>
      </c>
      <c r="SX13" s="3" t="str">
        <f t="shared" si="130"/>
        <v>S</v>
      </c>
      <c r="SY13" s="3" t="str">
        <f t="shared" si="130"/>
        <v>S</v>
      </c>
      <c r="SZ13" s="3" t="str">
        <f t="shared" si="130"/>
        <v>S</v>
      </c>
      <c r="TA13" s="3" t="str">
        <f t="shared" si="130"/>
        <v>S</v>
      </c>
      <c r="TB13" s="3" t="str">
        <f t="shared" si="130"/>
        <v>S</v>
      </c>
      <c r="TC13" s="3" t="str">
        <f t="shared" si="130"/>
        <v>S</v>
      </c>
      <c r="TD13" s="3" t="str">
        <f t="shared" si="130"/>
        <v>S</v>
      </c>
      <c r="TE13" s="3" t="str">
        <f t="shared" si="130"/>
        <v>S</v>
      </c>
      <c r="TF13" s="117">
        <f t="shared" si="117"/>
        <v>3</v>
      </c>
      <c r="TG13" s="117">
        <f t="shared" si="117"/>
        <v>5.7</v>
      </c>
      <c r="TH13" s="117">
        <f t="shared" si="117"/>
        <v>3.0000000000000004</v>
      </c>
      <c r="TI13" s="117">
        <f t="shared" si="117"/>
        <v>0.16999999999999998</v>
      </c>
      <c r="TJ13" s="117">
        <f t="shared" si="117"/>
        <v>2.33</v>
      </c>
      <c r="TK13" s="117">
        <f t="shared" si="117"/>
        <v>0.26</v>
      </c>
      <c r="TL13" s="117">
        <f t="shared" si="117"/>
        <v>0.27</v>
      </c>
      <c r="TM13" s="117">
        <f t="shared" si="117"/>
        <v>0.1</v>
      </c>
      <c r="TN13" s="117">
        <f t="shared" si="117"/>
        <v>9.4630000000000312</v>
      </c>
      <c r="TO13" s="117">
        <f t="shared" si="117"/>
        <v>1.8425437273624747</v>
      </c>
      <c r="TP13" s="3" t="str">
        <f t="shared" si="131"/>
        <v>S</v>
      </c>
      <c r="TQ13" s="3" t="str">
        <f t="shared" si="131"/>
        <v>S</v>
      </c>
      <c r="TR13" s="3" t="str">
        <f t="shared" si="131"/>
        <v>S</v>
      </c>
      <c r="TS13" s="3" t="str">
        <f t="shared" si="131"/>
        <v>S</v>
      </c>
      <c r="TT13" s="3" t="str">
        <f t="shared" si="131"/>
        <v>S</v>
      </c>
      <c r="TU13" s="3" t="str">
        <f t="shared" si="131"/>
        <v>S</v>
      </c>
      <c r="TV13" s="3" t="str">
        <f t="shared" si="131"/>
        <v>S</v>
      </c>
      <c r="TW13" s="3" t="str">
        <f t="shared" si="131"/>
        <v>S</v>
      </c>
      <c r="TX13" s="3" t="str">
        <f t="shared" si="131"/>
        <v>S</v>
      </c>
      <c r="TY13" s="117">
        <f t="shared" si="117"/>
        <v>4</v>
      </c>
      <c r="TZ13" s="117">
        <f t="shared" si="117"/>
        <v>13</v>
      </c>
      <c r="UA13" s="117">
        <f t="shared" si="117"/>
        <v>4.16</v>
      </c>
      <c r="UB13" s="117">
        <f t="shared" si="117"/>
        <v>0.28000000000000003</v>
      </c>
      <c r="UC13" s="117">
        <f t="shared" si="117"/>
        <v>4.0599999999999996</v>
      </c>
      <c r="UD13" s="117">
        <f t="shared" si="117"/>
        <v>0.34499999999999992</v>
      </c>
      <c r="UE13" s="117">
        <f t="shared" si="117"/>
        <v>0.25</v>
      </c>
      <c r="UF13" s="3" t="str">
        <f t="shared" si="132"/>
        <v>S</v>
      </c>
      <c r="UG13" s="3" t="str">
        <f t="shared" si="132"/>
        <v>S</v>
      </c>
      <c r="UH13" s="3" t="str">
        <f t="shared" si="132"/>
        <v>S</v>
      </c>
      <c r="UI13" s="3" t="str">
        <f t="shared" si="132"/>
        <v>S</v>
      </c>
      <c r="UJ13" s="117"/>
      <c r="UK13" s="3" t="str">
        <f t="shared" si="104"/>
        <v>S</v>
      </c>
      <c r="UL13" s="3" t="str">
        <f t="shared" si="104"/>
        <v>S</v>
      </c>
      <c r="UM13" s="3" t="str">
        <f t="shared" si="104"/>
        <v>S</v>
      </c>
      <c r="UN13" s="3" t="str">
        <f t="shared" si="104"/>
        <v>S</v>
      </c>
      <c r="UO13" s="3" t="str">
        <f t="shared" si="104"/>
        <v>S</v>
      </c>
      <c r="UP13" s="3" t="str">
        <f t="shared" si="104"/>
        <v>S</v>
      </c>
      <c r="UQ13" s="3" t="str">
        <f t="shared" si="104"/>
        <v>S</v>
      </c>
      <c r="UR13" s="117">
        <f t="shared" si="73"/>
        <v>1</v>
      </c>
      <c r="US13" s="117">
        <f t="shared" si="117"/>
        <v>2</v>
      </c>
      <c r="UT13" s="117">
        <f t="shared" si="117"/>
        <v>500</v>
      </c>
      <c r="UU13" s="117" t="str">
        <f t="shared" si="117"/>
        <v>S</v>
      </c>
      <c r="UV13" s="3" t="str">
        <f t="shared" si="105"/>
        <v>S</v>
      </c>
      <c r="UW13" s="3" t="str">
        <f t="shared" si="105"/>
        <v>S</v>
      </c>
      <c r="UX13" s="3" t="str">
        <f t="shared" si="105"/>
        <v>S</v>
      </c>
      <c r="UY13" s="3" t="str">
        <f t="shared" si="105"/>
        <v>S</v>
      </c>
      <c r="UZ13" s="3" t="str">
        <f t="shared" si="105"/>
        <v>S</v>
      </c>
      <c r="VA13" s="121" t="str">
        <f t="shared" si="106"/>
        <v>S</v>
      </c>
      <c r="VB13" s="121" t="str">
        <f t="shared" si="106"/>
        <v>S</v>
      </c>
      <c r="VC13" s="121" t="str">
        <f t="shared" si="106"/>
        <v>S</v>
      </c>
      <c r="VD13" s="121" t="str">
        <f t="shared" si="106"/>
        <v>S</v>
      </c>
      <c r="VE13" s="121" t="str">
        <f t="shared" si="106"/>
        <v>S</v>
      </c>
      <c r="VF13" s="121" t="str">
        <f t="shared" si="106"/>
        <v>S</v>
      </c>
      <c r="VG13" s="3" t="str">
        <f>"U"</f>
        <v>U</v>
      </c>
      <c r="VH13" s="121" t="str">
        <f t="shared" si="106"/>
        <v>S</v>
      </c>
      <c r="VI13" s="117" t="str">
        <f t="shared" si="79"/>
        <v>3</v>
      </c>
      <c r="VJ13" s="117" t="str">
        <f t="shared" si="117"/>
        <v>.3</v>
      </c>
      <c r="VK13" s="117">
        <f t="shared" si="117"/>
        <v>3</v>
      </c>
      <c r="VL13" s="117" t="str">
        <f t="shared" si="117"/>
        <v>3-SEC</v>
      </c>
      <c r="VM13" s="121" t="str">
        <f>CONCATENATE($C$2,$D$2,"-HS-RB")</f>
        <v>3-HS-RB</v>
      </c>
      <c r="VN13" s="117" t="s">
        <v>1013</v>
      </c>
      <c r="VO13" s="117" t="str">
        <f t="shared" si="117"/>
        <v>000000</v>
      </c>
      <c r="VP13" s="410">
        <f t="shared" si="80"/>
        <v>5</v>
      </c>
      <c r="VQ13" s="410">
        <f t="shared" si="80"/>
        <v>5</v>
      </c>
      <c r="VR13" s="410">
        <f t="shared" si="80"/>
        <v>0.125</v>
      </c>
      <c r="VS13" s="410">
        <f t="shared" si="80"/>
        <v>1.125</v>
      </c>
      <c r="VT13" s="410">
        <f t="shared" si="80"/>
        <v>3.5</v>
      </c>
      <c r="VX13" s="117" t="str">
        <f t="shared" si="81"/>
        <v>3-SEC</v>
      </c>
    </row>
    <row r="14" spans="1:597" s="3" customFormat="1" ht="14.4" hidden="1" outlineLevel="1" x14ac:dyDescent="0.3">
      <c r="A14" s="270" t="str">
        <f>IF(OR(ProductLine="AXC",AW14=0),"$User_Notes","HS-RA")</f>
        <v>$User_Notes</v>
      </c>
      <c r="B14" s="188" t="str">
        <f t="shared" si="82"/>
        <v>AXC</v>
      </c>
      <c r="C14" s="188">
        <f t="shared" si="82"/>
        <v>65</v>
      </c>
      <c r="D14" s="188">
        <f t="shared" si="82"/>
        <v>780</v>
      </c>
      <c r="E14" s="188">
        <f t="shared" si="82"/>
        <v>0.125</v>
      </c>
      <c r="F14" s="188">
        <f t="shared" si="82"/>
        <v>6.25E-2</v>
      </c>
      <c r="G14" s="188">
        <f t="shared" si="82"/>
        <v>777.625</v>
      </c>
      <c r="H14" s="188" t="str">
        <f t="shared" si="82"/>
        <v>MC12x10.6</v>
      </c>
      <c r="I14" s="188" t="str">
        <f t="shared" si="82"/>
        <v>AXC materials:SA-36</v>
      </c>
      <c r="J14" s="188" t="str">
        <f t="shared" si="82"/>
        <v>Galvanized</v>
      </c>
      <c r="K14" s="188" t="str">
        <f t="shared" si="82"/>
        <v>Bolt on Angle</v>
      </c>
      <c r="L14" s="188" t="str">
        <f t="shared" si="19"/>
        <v>EH\VV\VI_</v>
      </c>
      <c r="M14" s="188">
        <f t="shared" ca="1" si="82"/>
        <v>16</v>
      </c>
      <c r="N14" s="188">
        <f t="shared" ca="1" si="20"/>
        <v>48</v>
      </c>
      <c r="O14" s="188">
        <f t="shared" ca="1" si="82"/>
        <v>30</v>
      </c>
      <c r="P14" s="188" t="str">
        <f t="shared" si="82"/>
        <v>Yes - Rear HDR</v>
      </c>
      <c r="Q14" s="188">
        <f t="shared" si="82"/>
        <v>3.9999333887056512</v>
      </c>
      <c r="R14" s="188" t="str">
        <f t="shared" si="82"/>
        <v>Angle</v>
      </c>
      <c r="S14" s="188" t="str">
        <f t="shared" si="82"/>
        <v>L2x3x0.1875</v>
      </c>
      <c r="T14" s="188" t="str">
        <f t="shared" si="82"/>
        <v>Weld On</v>
      </c>
      <c r="U14" s="188" t="str">
        <f t="shared" si="21"/>
        <v>Yes</v>
      </c>
      <c r="V14" s="188" t="str">
        <f t="shared" si="82"/>
        <v>Yes</v>
      </c>
      <c r="W14" s="188">
        <f t="shared" ref="W14:CO14" si="140">W$6</f>
        <v>15</v>
      </c>
      <c r="X14" s="188">
        <f t="shared" si="140"/>
        <v>0</v>
      </c>
      <c r="Y14" s="188">
        <f t="shared" si="22"/>
        <v>0</v>
      </c>
      <c r="Z14" s="188" t="str">
        <f t="shared" si="22"/>
        <v>STD</v>
      </c>
      <c r="AA14" s="188" t="str">
        <f t="shared" si="140"/>
        <v>No</v>
      </c>
      <c r="AB14" s="188" t="str">
        <f t="shared" si="23"/>
        <v>OFF</v>
      </c>
      <c r="AC14" s="188" t="str">
        <f t="shared" si="140"/>
        <v>Yes</v>
      </c>
      <c r="AD14" s="188" t="str">
        <f t="shared" si="24"/>
        <v>AXC Weld On</v>
      </c>
      <c r="AE14" s="188" t="str">
        <f t="shared" si="24"/>
        <v>Outside</v>
      </c>
      <c r="AF14" s="188" t="str">
        <f t="shared" si="140"/>
        <v>0.5"</v>
      </c>
      <c r="AG14" s="188">
        <f t="shared" si="140"/>
        <v>278.125</v>
      </c>
      <c r="AH14" s="188">
        <f t="shared" si="140"/>
        <v>249.75</v>
      </c>
      <c r="AI14" s="188">
        <f t="shared" si="140"/>
        <v>0.5</v>
      </c>
      <c r="AJ14" s="188">
        <f t="shared" si="25"/>
        <v>4</v>
      </c>
      <c r="AK14" s="188">
        <f t="shared" si="25"/>
        <v>500</v>
      </c>
      <c r="AL14" s="188" t="str">
        <f t="shared" si="140"/>
        <v>None</v>
      </c>
      <c r="AM14" s="188" t="str">
        <f t="shared" si="140"/>
        <v>Pick from List</v>
      </c>
      <c r="AN14" s="188" t="str">
        <f t="shared" si="140"/>
        <v>None</v>
      </c>
      <c r="AO14" s="188" t="str">
        <f t="shared" si="140"/>
        <v>None</v>
      </c>
      <c r="AP14" s="188" t="str">
        <f t="shared" si="140"/>
        <v>None</v>
      </c>
      <c r="AQ14" s="188" t="str">
        <f t="shared" si="140"/>
        <v>L4x6x0.625</v>
      </c>
      <c r="AR14" s="188" t="str">
        <f t="shared" si="140"/>
        <v>Bolt on</v>
      </c>
      <c r="AS14" s="188" t="str">
        <f t="shared" si="140"/>
        <v>Yes</v>
      </c>
      <c r="AT14" s="188" t="str">
        <f t="shared" ca="1" si="140"/>
        <v>Bolt On</v>
      </c>
      <c r="AU14" s="189">
        <f t="shared" ca="1" si="26"/>
        <v>16</v>
      </c>
      <c r="AV14" s="188">
        <f t="shared" si="26"/>
        <v>0</v>
      </c>
      <c r="AW14" s="188">
        <f t="shared" si="26"/>
        <v>0</v>
      </c>
      <c r="AX14" s="188">
        <f t="shared" si="26"/>
        <v>6.25E-2</v>
      </c>
      <c r="AY14" s="189">
        <f t="shared" si="26"/>
        <v>21.915385672961552</v>
      </c>
      <c r="AZ14" s="188">
        <f t="shared" si="26"/>
        <v>1.5625</v>
      </c>
      <c r="BA14" s="188">
        <f t="shared" si="26"/>
        <v>2</v>
      </c>
      <c r="BB14" s="188">
        <f t="shared" si="26"/>
        <v>21.915385672961648</v>
      </c>
      <c r="BC14" s="188">
        <f t="shared" si="26"/>
        <v>1.5625</v>
      </c>
      <c r="BD14" s="188">
        <f t="shared" si="26"/>
        <v>2</v>
      </c>
      <c r="BE14" s="189">
        <f t="shared" si="27"/>
        <v>0.6250000000043382</v>
      </c>
      <c r="BF14" s="188">
        <f t="shared" si="27"/>
        <v>1.0937500000075919</v>
      </c>
      <c r="BG14" s="188">
        <f t="shared" si="27"/>
        <v>2</v>
      </c>
      <c r="BH14" s="188">
        <f t="shared" si="27"/>
        <v>0.62500000000430156</v>
      </c>
      <c r="BI14" s="188">
        <f t="shared" si="27"/>
        <v>1.0937500000075278</v>
      </c>
      <c r="BJ14" s="188">
        <f t="shared" si="27"/>
        <v>2</v>
      </c>
      <c r="BK14" s="188">
        <f t="shared" si="19"/>
        <v>1.9999999999999956</v>
      </c>
      <c r="BL14" s="188" t="str">
        <f t="shared" si="140"/>
        <v>Weld Bar</v>
      </c>
      <c r="BM14" s="188">
        <f t="shared" si="19"/>
        <v>0.99999999999999589</v>
      </c>
      <c r="BN14" s="188" t="str">
        <f t="shared" si="140"/>
        <v>Float Bar</v>
      </c>
      <c r="BO14" s="188">
        <f t="shared" si="19"/>
        <v>5</v>
      </c>
      <c r="BP14" s="188" t="str">
        <f t="shared" si="140"/>
        <v>MC12x10.6</v>
      </c>
      <c r="BQ14" s="188" t="str">
        <f t="shared" si="140"/>
        <v>U</v>
      </c>
      <c r="BR14" s="188" t="str">
        <f t="shared" si="140"/>
        <v>S</v>
      </c>
      <c r="BS14" s="188">
        <f t="shared" si="19"/>
        <v>31.374999284744241</v>
      </c>
      <c r="BT14" s="188">
        <f t="shared" si="19"/>
        <v>29.000000000000004</v>
      </c>
      <c r="BU14" s="188">
        <f t="shared" si="19"/>
        <v>3.9999999999999969</v>
      </c>
      <c r="BV14" s="188">
        <f t="shared" si="19"/>
        <v>0.25000000000000089</v>
      </c>
      <c r="BW14" s="188">
        <f t="shared" si="19"/>
        <v>9.9999999999269527E-6</v>
      </c>
      <c r="BX14" s="188">
        <f t="shared" si="140"/>
        <v>1</v>
      </c>
      <c r="BY14" s="188">
        <f t="shared" si="140"/>
        <v>1</v>
      </c>
      <c r="BZ14" s="188">
        <f t="shared" si="19"/>
        <v>6.2721143170279987</v>
      </c>
      <c r="CA14" s="188">
        <f t="shared" si="19"/>
        <v>360</v>
      </c>
      <c r="CB14" s="188">
        <f t="shared" si="19"/>
        <v>1.0000000000001172</v>
      </c>
      <c r="CC14" s="188">
        <f t="shared" si="19"/>
        <v>0.99999999999983746</v>
      </c>
      <c r="CD14" s="188">
        <f t="shared" si="19"/>
        <v>0</v>
      </c>
      <c r="CE14" s="188">
        <f t="shared" si="19"/>
        <v>1.5000000000000009</v>
      </c>
      <c r="CF14" s="188">
        <f t="shared" si="140"/>
        <v>1.2990381056766582</v>
      </c>
      <c r="CG14" s="188">
        <f t="shared" si="140"/>
        <v>9.9999999969219204E-6</v>
      </c>
      <c r="CH14" s="188" t="str">
        <f t="shared" si="140"/>
        <v>No</v>
      </c>
      <c r="CI14" s="188" t="str">
        <f t="shared" si="140"/>
        <v>U</v>
      </c>
      <c r="CJ14" s="188">
        <f t="shared" si="140"/>
        <v>10.6</v>
      </c>
      <c r="CK14" s="188">
        <f t="shared" si="140"/>
        <v>12.000000000000002</v>
      </c>
      <c r="CL14" s="188">
        <f t="shared" si="140"/>
        <v>0.18999999999999997</v>
      </c>
      <c r="CM14" s="188">
        <f t="shared" si="140"/>
        <v>1.5000000000000002</v>
      </c>
      <c r="CN14" s="188">
        <f t="shared" si="140"/>
        <v>0.30899999999999994</v>
      </c>
      <c r="CO14" s="188">
        <f t="shared" si="140"/>
        <v>0.25</v>
      </c>
      <c r="CP14" s="188">
        <f t="shared" si="137"/>
        <v>0.13</v>
      </c>
      <c r="CQ14" s="188">
        <f t="shared" si="137"/>
        <v>9.4629999999999992</v>
      </c>
      <c r="CR14" s="188">
        <f t="shared" si="137"/>
        <v>8.9700168853607709E-2</v>
      </c>
      <c r="CS14" s="188">
        <f t="shared" si="137"/>
        <v>10.740092274765473</v>
      </c>
      <c r="CT14" s="188">
        <f t="shared" si="137"/>
        <v>0.62995386261726427</v>
      </c>
      <c r="CU14" s="188" t="str">
        <f t="shared" si="137"/>
        <v>S</v>
      </c>
      <c r="CV14" s="188">
        <f t="shared" si="137"/>
        <v>12.000000000000002</v>
      </c>
      <c r="CW14" s="188">
        <f t="shared" si="137"/>
        <v>0.28199999999999997</v>
      </c>
      <c r="CX14" s="188">
        <f t="shared" si="137"/>
        <v>2.9419999999999997</v>
      </c>
      <c r="CY14" s="188">
        <f t="shared" si="137"/>
        <v>0.501</v>
      </c>
      <c r="CZ14" s="188">
        <f t="shared" si="137"/>
        <v>0.37999999999999995</v>
      </c>
      <c r="DA14" s="188">
        <f t="shared" si="137"/>
        <v>0.16999999999999998</v>
      </c>
      <c r="DB14" s="188">
        <f t="shared" si="137"/>
        <v>9.4629999999999992</v>
      </c>
      <c r="DC14" s="188">
        <f t="shared" si="137"/>
        <v>0.13530728481002544</v>
      </c>
      <c r="DD14" s="188">
        <f t="shared" si="137"/>
        <v>20.7</v>
      </c>
      <c r="DE14" s="188" t="str">
        <f t="shared" si="137"/>
        <v>S</v>
      </c>
      <c r="DF14" s="188" t="str">
        <f t="shared" ref="DF14:DP14" si="141">DF$6</f>
        <v>S</v>
      </c>
      <c r="DG14" s="188" t="str">
        <f t="shared" si="141"/>
        <v>S</v>
      </c>
      <c r="DH14" s="188" t="str">
        <f t="shared" si="141"/>
        <v>S</v>
      </c>
      <c r="DI14" s="188" t="str">
        <f t="shared" si="141"/>
        <v>S</v>
      </c>
      <c r="DJ14" s="188" t="str">
        <f t="shared" si="141"/>
        <v>S</v>
      </c>
      <c r="DK14" s="188" t="str">
        <f t="shared" si="141"/>
        <v>S</v>
      </c>
      <c r="DL14" s="188" t="str">
        <f t="shared" si="141"/>
        <v>S</v>
      </c>
      <c r="DM14" s="188" t="str">
        <f t="shared" si="141"/>
        <v>U</v>
      </c>
      <c r="DN14" s="188" t="str">
        <f t="shared" si="141"/>
        <v>U</v>
      </c>
      <c r="DO14" s="188" t="str">
        <f t="shared" si="141"/>
        <v>U</v>
      </c>
      <c r="DP14" s="188" t="str">
        <f t="shared" si="141"/>
        <v>U</v>
      </c>
      <c r="DQ14" s="39" t="str">
        <f t="shared" si="86"/>
        <v>S</v>
      </c>
      <c r="DR14" s="39" t="str">
        <f t="shared" si="86"/>
        <v>S</v>
      </c>
      <c r="DS14" s="39" t="str">
        <f t="shared" si="86"/>
        <v>S</v>
      </c>
      <c r="DT14" s="39" t="str">
        <f t="shared" si="86"/>
        <v>S</v>
      </c>
      <c r="DU14" s="39" t="str">
        <f t="shared" si="86"/>
        <v>S</v>
      </c>
      <c r="DV14" s="39" t="str">
        <f t="shared" si="86"/>
        <v>S</v>
      </c>
      <c r="DW14" s="39" t="str">
        <f t="shared" si="86"/>
        <v>S</v>
      </c>
      <c r="DX14" s="39" t="str">
        <f t="shared" si="86"/>
        <v>S</v>
      </c>
      <c r="DY14" s="188">
        <f t="shared" si="138"/>
        <v>29</v>
      </c>
      <c r="DZ14" s="188">
        <f t="shared" si="138"/>
        <v>0.25</v>
      </c>
      <c r="EA14" s="188">
        <f t="shared" si="138"/>
        <v>0.25</v>
      </c>
      <c r="EB14" s="188">
        <f t="shared" si="138"/>
        <v>3.9999999999999969</v>
      </c>
      <c r="EC14" s="188">
        <f t="shared" si="138"/>
        <v>1E-4</v>
      </c>
      <c r="ED14" s="188">
        <f t="shared" si="138"/>
        <v>1E-4</v>
      </c>
      <c r="EE14" s="188">
        <f t="shared" si="138"/>
        <v>0.25000000000000089</v>
      </c>
      <c r="EF14" s="188">
        <f t="shared" si="138"/>
        <v>1.5599999999999999E-2</v>
      </c>
      <c r="EG14" s="188" t="str">
        <f t="shared" ca="1" si="87"/>
        <v>U</v>
      </c>
      <c r="EH14" s="188" t="str">
        <f t="shared" ca="1" si="87"/>
        <v>S</v>
      </c>
      <c r="EI14" s="188" t="str">
        <f t="shared" ca="1" si="87"/>
        <v>U</v>
      </c>
      <c r="EJ14" s="188" t="str">
        <f t="shared" si="87"/>
        <v>S</v>
      </c>
      <c r="EK14" s="188" t="str">
        <f t="shared" ca="1" si="87"/>
        <v>U</v>
      </c>
      <c r="EL14" s="188" t="str">
        <f t="shared" ca="1" si="87"/>
        <v>S</v>
      </c>
      <c r="EM14" s="188">
        <f t="shared" si="138"/>
        <v>0.75</v>
      </c>
      <c r="EN14" s="188">
        <f t="shared" si="28"/>
        <v>0.19000000000423975</v>
      </c>
      <c r="EO14" s="188">
        <f t="shared" si="134"/>
        <v>0.62500000000001221</v>
      </c>
      <c r="EP14" s="188">
        <f t="shared" si="134"/>
        <v>1.5000000000000016</v>
      </c>
      <c r="EQ14" s="188">
        <f t="shared" si="134"/>
        <v>1.437500284744256</v>
      </c>
      <c r="ER14" s="188">
        <f t="shared" si="138"/>
        <v>0.5</v>
      </c>
      <c r="ES14" s="188" t="str">
        <f t="shared" si="88"/>
        <v>U</v>
      </c>
      <c r="ET14" s="188" t="str">
        <f t="shared" si="88"/>
        <v>U</v>
      </c>
      <c r="EU14" s="188" t="str">
        <f t="shared" si="88"/>
        <v>U</v>
      </c>
      <c r="EV14" s="188" t="str">
        <f t="shared" si="88"/>
        <v>U</v>
      </c>
      <c r="EW14" s="188" t="str">
        <f t="shared" si="88"/>
        <v>U</v>
      </c>
      <c r="EX14" s="188" t="str">
        <f t="shared" ca="1" si="30"/>
        <v>U</v>
      </c>
      <c r="EY14" s="188" t="str">
        <f t="shared" ca="1" si="30"/>
        <v>U</v>
      </c>
      <c r="EZ14" s="188" t="str">
        <f t="shared" ca="1" si="30"/>
        <v>U</v>
      </c>
      <c r="FA14" s="188" t="str">
        <f t="shared" ca="1" si="88"/>
        <v>U</v>
      </c>
      <c r="FB14" s="188" t="str">
        <f t="shared" ca="1" si="88"/>
        <v>U</v>
      </c>
      <c r="FC14" s="188" t="str">
        <f t="shared" ca="1" si="88"/>
        <v>U</v>
      </c>
      <c r="FD14" s="188" t="str">
        <f t="shared" ca="1" si="88"/>
        <v>U</v>
      </c>
      <c r="FE14" s="188" t="str">
        <f t="shared" ca="1" si="88"/>
        <v>U</v>
      </c>
      <c r="FF14" s="188" t="str">
        <f t="shared" ca="1" si="88"/>
        <v>U</v>
      </c>
      <c r="FG14" s="188">
        <f t="shared" ca="1" si="123"/>
        <v>48</v>
      </c>
      <c r="FH14" s="188" t="str">
        <f t="shared" si="123"/>
        <v>U</v>
      </c>
      <c r="FI14" s="188" t="str">
        <f t="shared" si="123"/>
        <v>S</v>
      </c>
      <c r="FJ14" s="39" t="str">
        <f t="shared" si="89"/>
        <v>S</v>
      </c>
      <c r="FK14" s="39" t="str">
        <f t="shared" si="89"/>
        <v>S</v>
      </c>
      <c r="FL14" s="311" t="str">
        <f t="shared" si="89"/>
        <v>S</v>
      </c>
      <c r="FM14" s="188" t="str">
        <f t="shared" ca="1" si="33"/>
        <v>U</v>
      </c>
      <c r="FN14" s="188" t="str">
        <f t="shared" ca="1" si="33"/>
        <v>U</v>
      </c>
      <c r="FO14" s="188">
        <f t="shared" ca="1" si="33"/>
        <v>48</v>
      </c>
      <c r="FP14" s="188">
        <f t="shared" ca="1" si="33"/>
        <v>16</v>
      </c>
      <c r="FQ14" s="312" t="str">
        <f t="shared" si="89"/>
        <v>S</v>
      </c>
      <c r="FR14" s="39" t="str">
        <f t="shared" si="89"/>
        <v>S</v>
      </c>
      <c r="FS14" s="39" t="str">
        <f t="shared" si="89"/>
        <v>S</v>
      </c>
      <c r="FT14" s="39" t="str">
        <f t="shared" si="89"/>
        <v>S</v>
      </c>
      <c r="FU14" s="39" t="str">
        <f t="shared" si="89"/>
        <v>S</v>
      </c>
      <c r="FV14" s="39" t="str">
        <f t="shared" si="89"/>
        <v>S</v>
      </c>
      <c r="FW14" s="39" t="str">
        <f t="shared" si="89"/>
        <v>S</v>
      </c>
      <c r="FX14" s="188" t="str">
        <f t="shared" si="36"/>
        <v>U</v>
      </c>
      <c r="FY14" s="188" t="str">
        <f t="shared" si="36"/>
        <v>U</v>
      </c>
      <c r="FZ14" s="188">
        <f t="shared" si="32"/>
        <v>27</v>
      </c>
      <c r="GA14" s="188">
        <f t="shared" si="123"/>
        <v>19</v>
      </c>
      <c r="GB14" s="188">
        <f t="shared" si="123"/>
        <v>10</v>
      </c>
      <c r="GC14" s="188">
        <f t="shared" si="123"/>
        <v>15.000000000000009</v>
      </c>
      <c r="GD14" s="188">
        <f t="shared" si="123"/>
        <v>1</v>
      </c>
      <c r="GE14" s="188">
        <f t="shared" si="123"/>
        <v>12.000000000000007</v>
      </c>
      <c r="GF14" s="188">
        <f t="shared" si="123"/>
        <v>1</v>
      </c>
      <c r="GG14" s="188">
        <f t="shared" si="123"/>
        <v>1</v>
      </c>
      <c r="GH14" s="188">
        <f t="shared" si="123"/>
        <v>12.000010000000007</v>
      </c>
      <c r="GI14" s="188" t="str">
        <f t="shared" ca="1" si="32"/>
        <v>U</v>
      </c>
      <c r="GJ14" s="188" t="str">
        <f t="shared" ca="1" si="32"/>
        <v>S</v>
      </c>
      <c r="GK14" s="188" t="str">
        <f t="shared" ca="1" si="32"/>
        <v>U</v>
      </c>
      <c r="GL14" s="188" t="str">
        <f t="shared" ca="1" si="32"/>
        <v>U</v>
      </c>
      <c r="GM14" s="188" t="str">
        <f t="shared" ca="1" si="32"/>
        <v>U</v>
      </c>
      <c r="GN14" s="188" t="str">
        <f t="shared" ca="1" si="32"/>
        <v>U</v>
      </c>
      <c r="GO14" s="188" t="str">
        <f t="shared" ca="1" si="32"/>
        <v>U</v>
      </c>
      <c r="GP14" s="188">
        <f t="shared" si="32"/>
        <v>1.0000000005663834E-5</v>
      </c>
      <c r="GQ14" s="188">
        <f t="shared" si="32"/>
        <v>5.9999999999999991</v>
      </c>
      <c r="GR14" s="188">
        <f t="shared" si="123"/>
        <v>1</v>
      </c>
      <c r="GS14" s="188">
        <f t="shared" si="123"/>
        <v>10</v>
      </c>
      <c r="GT14" s="188">
        <f t="shared" si="123"/>
        <v>15.000000000000009</v>
      </c>
      <c r="GU14" s="188">
        <f t="shared" si="123"/>
        <v>0</v>
      </c>
      <c r="GV14" s="188">
        <f t="shared" si="123"/>
        <v>6.0000000000000036</v>
      </c>
      <c r="GW14" s="188">
        <f t="shared" si="123"/>
        <v>1</v>
      </c>
      <c r="GX14" s="188">
        <f t="shared" si="123"/>
        <v>1</v>
      </c>
      <c r="GY14" s="188" t="str">
        <f t="shared" ca="1" si="32"/>
        <v>S</v>
      </c>
      <c r="GZ14" s="188">
        <f t="shared" si="123"/>
        <v>1.500010000000001</v>
      </c>
      <c r="HA14" s="188" t="str">
        <f t="shared" ca="1" si="32"/>
        <v>S</v>
      </c>
      <c r="HB14" s="188" t="str">
        <f t="shared" ca="1" si="32"/>
        <v>S</v>
      </c>
      <c r="HC14" s="188" t="str">
        <f t="shared" ca="1" si="123"/>
        <v>S</v>
      </c>
      <c r="HD14" s="188" t="str">
        <f t="shared" ca="1" si="123"/>
        <v>S</v>
      </c>
      <c r="HE14" s="188" t="str">
        <f t="shared" ca="1" si="123"/>
        <v>S</v>
      </c>
      <c r="HF14" s="209" t="str">
        <f t="shared" si="37"/>
        <v>Yes - Right Side</v>
      </c>
      <c r="HG14" s="188" t="str">
        <f t="shared" si="123"/>
        <v>S</v>
      </c>
      <c r="HH14" s="188" t="str">
        <f t="shared" si="123"/>
        <v>U</v>
      </c>
      <c r="HI14" s="188" t="str">
        <f t="shared" si="39"/>
        <v>U</v>
      </c>
      <c r="HJ14" s="39" t="str">
        <f t="shared" si="40"/>
        <v>S</v>
      </c>
      <c r="HK14" s="39" t="str">
        <f t="shared" si="40"/>
        <v>S</v>
      </c>
      <c r="HL14" s="188">
        <f t="shared" ca="1" si="123"/>
        <v>48</v>
      </c>
      <c r="HM14" s="188">
        <f t="shared" si="123"/>
        <v>3.9999999999999998E-6</v>
      </c>
      <c r="HN14" s="39" t="str">
        <f t="shared" si="41"/>
        <v>S</v>
      </c>
      <c r="HO14" s="188">
        <f t="shared" ca="1" si="123"/>
        <v>18</v>
      </c>
      <c r="HP14" s="188">
        <f t="shared" ca="1" si="123"/>
        <v>48.000003999999997</v>
      </c>
      <c r="HQ14" s="39" t="str">
        <f t="shared" si="42"/>
        <v>S</v>
      </c>
      <c r="HR14" s="39" t="str">
        <f t="shared" si="42"/>
        <v>S</v>
      </c>
      <c r="HS14" s="188">
        <f t="shared" ca="1" si="123"/>
        <v>359.99999600000001</v>
      </c>
      <c r="HT14" s="188">
        <f t="shared" ca="1" si="123"/>
        <v>23.999968000000024</v>
      </c>
      <c r="HU14" s="188">
        <f t="shared" ca="1" si="123"/>
        <v>23.999968000000024</v>
      </c>
      <c r="HV14" s="188">
        <f t="shared" ca="1" si="123"/>
        <v>3.9999373887056513</v>
      </c>
      <c r="HW14" s="188">
        <f t="shared" ca="1" si="123"/>
        <v>24</v>
      </c>
      <c r="HX14" s="188">
        <f t="shared" si="123"/>
        <v>388.8125</v>
      </c>
      <c r="HY14" s="188">
        <f t="shared" ca="1" si="123"/>
        <v>360.00000399999999</v>
      </c>
      <c r="HZ14" s="188">
        <f t="shared" ca="1" si="43"/>
        <v>3.9999373887056513</v>
      </c>
      <c r="IA14" s="188">
        <f t="shared" ca="1" si="43"/>
        <v>24.000035999999973</v>
      </c>
      <c r="IB14" s="39" t="str">
        <f t="shared" si="44"/>
        <v>S</v>
      </c>
      <c r="IC14" s="39" t="str">
        <f t="shared" si="44"/>
        <v>S</v>
      </c>
      <c r="ID14" s="188">
        <f t="shared" ca="1" si="123"/>
        <v>27.999905388705674</v>
      </c>
      <c r="IE14" s="39" t="str">
        <f t="shared" si="45"/>
        <v>S</v>
      </c>
      <c r="IF14" s="39" t="str">
        <f t="shared" si="45"/>
        <v>S</v>
      </c>
      <c r="IG14" s="39" t="str">
        <f t="shared" si="45"/>
        <v>S</v>
      </c>
      <c r="IH14" s="39" t="str">
        <f t="shared" si="45"/>
        <v>S</v>
      </c>
      <c r="II14" s="39" t="str">
        <f t="shared" si="45"/>
        <v>S</v>
      </c>
      <c r="IJ14" s="188">
        <f t="shared" ca="1" si="123"/>
        <v>23.999968000000024</v>
      </c>
      <c r="IK14" s="188">
        <f t="shared" ca="1" si="123"/>
        <v>3.9999373887056513</v>
      </c>
      <c r="IL14" s="39" t="str">
        <f t="shared" si="46"/>
        <v>S</v>
      </c>
      <c r="IM14" s="39" t="str">
        <f t="shared" si="46"/>
        <v>S</v>
      </c>
      <c r="IN14" s="39" t="str">
        <f t="shared" si="46"/>
        <v>S</v>
      </c>
      <c r="IO14" s="39" t="str">
        <f t="shared" si="46"/>
        <v>S</v>
      </c>
      <c r="IP14" s="39" t="str">
        <f t="shared" si="46"/>
        <v>S</v>
      </c>
      <c r="IQ14" s="39" t="str">
        <f t="shared" si="46"/>
        <v>S</v>
      </c>
      <c r="IR14" s="39" t="str">
        <f t="shared" si="46"/>
        <v>S</v>
      </c>
      <c r="IS14" s="39" t="str">
        <f t="shared" si="46"/>
        <v>S</v>
      </c>
      <c r="IT14" s="39" t="str">
        <f t="shared" si="46"/>
        <v>S</v>
      </c>
      <c r="IU14" s="39" t="str">
        <f t="shared" si="46"/>
        <v>S</v>
      </c>
      <c r="IV14" s="39" t="str">
        <f t="shared" si="46"/>
        <v>S</v>
      </c>
      <c r="IW14" s="39" t="str">
        <f t="shared" si="46"/>
        <v>S</v>
      </c>
      <c r="IX14" s="39" t="str">
        <f t="shared" si="46"/>
        <v>S</v>
      </c>
      <c r="IY14" s="188">
        <f t="shared" ref="IY14:LF14" ca="1" si="142">IY$6</f>
        <v>1</v>
      </c>
      <c r="IZ14" s="188">
        <f t="shared" ca="1" si="142"/>
        <v>3</v>
      </c>
      <c r="JA14" s="188">
        <f t="shared" ca="1" si="142"/>
        <v>9.9999999999999995E-7</v>
      </c>
      <c r="JB14" s="188">
        <f t="shared" ca="1" si="142"/>
        <v>1.0000000000000001E-5</v>
      </c>
      <c r="JC14" s="188">
        <f t="shared" ca="1" si="142"/>
        <v>1.0000000000000001E-5</v>
      </c>
      <c r="JD14" s="188" t="str">
        <f t="shared" ca="1" si="142"/>
        <v>S</v>
      </c>
      <c r="JE14" s="188" t="str">
        <f t="shared" ca="1" si="142"/>
        <v>S</v>
      </c>
      <c r="JF14" s="188" t="str">
        <f t="shared" ca="1" si="142"/>
        <v>S</v>
      </c>
      <c r="JG14" s="188" t="str">
        <f t="shared" ca="1" si="142"/>
        <v>S</v>
      </c>
      <c r="JH14" s="188" t="str">
        <f t="shared" ca="1" si="142"/>
        <v>S</v>
      </c>
      <c r="JI14" s="188">
        <f t="shared" si="142"/>
        <v>0.1046</v>
      </c>
      <c r="JJ14" s="203">
        <f t="shared" si="49"/>
        <v>0.39290028474001548</v>
      </c>
      <c r="JK14" s="188">
        <f t="shared" si="142"/>
        <v>0.51790028474001548</v>
      </c>
      <c r="JL14" s="188">
        <f t="shared" si="142"/>
        <v>0.5</v>
      </c>
      <c r="JM14" s="188">
        <f t="shared" si="142"/>
        <v>0.375</v>
      </c>
      <c r="JN14" s="188">
        <f t="shared" si="142"/>
        <v>0.375</v>
      </c>
      <c r="JO14" s="188">
        <f t="shared" si="142"/>
        <v>11.25</v>
      </c>
      <c r="JP14" s="188" t="str">
        <f t="shared" si="50"/>
        <v>S</v>
      </c>
      <c r="JQ14" s="188" t="str">
        <f t="shared" si="50"/>
        <v>S</v>
      </c>
      <c r="JR14" s="188" t="str">
        <f t="shared" si="50"/>
        <v>S</v>
      </c>
      <c r="JS14" s="188" t="str">
        <f t="shared" si="142"/>
        <v>U</v>
      </c>
      <c r="JT14" s="188" t="str">
        <f t="shared" si="142"/>
        <v>U</v>
      </c>
      <c r="JU14" s="188" t="str">
        <f t="shared" si="142"/>
        <v>S</v>
      </c>
      <c r="JV14" s="39" t="str">
        <f t="shared" si="90"/>
        <v>S</v>
      </c>
      <c r="JW14" s="39" t="str">
        <f t="shared" si="90"/>
        <v>S</v>
      </c>
      <c r="JX14" s="39" t="str">
        <f t="shared" si="90"/>
        <v>S</v>
      </c>
      <c r="JY14" s="39" t="str">
        <f t="shared" si="90"/>
        <v>S</v>
      </c>
      <c r="JZ14" s="39" t="str">
        <f t="shared" si="90"/>
        <v>S</v>
      </c>
      <c r="KA14" s="39" t="str">
        <f t="shared" si="90"/>
        <v>S</v>
      </c>
      <c r="KB14" s="39" t="str">
        <f t="shared" si="90"/>
        <v>S</v>
      </c>
      <c r="KC14" s="39" t="str">
        <f t="shared" si="90"/>
        <v>S</v>
      </c>
      <c r="KD14" s="39" t="str">
        <f t="shared" si="90"/>
        <v>S</v>
      </c>
      <c r="KE14" s="39" t="str">
        <f t="shared" si="90"/>
        <v>S</v>
      </c>
      <c r="KF14" s="39" t="str">
        <f t="shared" si="90"/>
        <v>S</v>
      </c>
      <c r="KG14" s="39" t="str">
        <f t="shared" si="90"/>
        <v>S</v>
      </c>
      <c r="KH14" s="39" t="str">
        <f t="shared" si="90"/>
        <v>S</v>
      </c>
      <c r="KI14" s="39" t="str">
        <f t="shared" si="90"/>
        <v>S</v>
      </c>
      <c r="KJ14" s="39" t="str">
        <f t="shared" si="90"/>
        <v>S</v>
      </c>
      <c r="KK14" s="39" t="str">
        <f t="shared" si="90"/>
        <v>S</v>
      </c>
      <c r="KL14" s="39" t="str">
        <f t="shared" si="90"/>
        <v>S</v>
      </c>
      <c r="KM14" s="39" t="str">
        <f t="shared" si="90"/>
        <v>S</v>
      </c>
      <c r="KN14" s="188">
        <f t="shared" si="142"/>
        <v>1.0000000000000001E-5</v>
      </c>
      <c r="KO14" s="39" t="str">
        <f t="shared" si="91"/>
        <v>S</v>
      </c>
      <c r="KP14" s="188" t="str">
        <f t="shared" si="142"/>
        <v>S</v>
      </c>
      <c r="KQ14" s="188" t="str">
        <f t="shared" si="142"/>
        <v>S</v>
      </c>
      <c r="KR14" s="188" t="str">
        <f t="shared" si="142"/>
        <v>S</v>
      </c>
      <c r="KS14" s="188" t="str">
        <f t="shared" si="142"/>
        <v>S</v>
      </c>
      <c r="KT14" s="188" t="str">
        <f t="shared" si="142"/>
        <v>S</v>
      </c>
      <c r="KU14" s="188" t="str">
        <f t="shared" si="142"/>
        <v>S</v>
      </c>
      <c r="KV14" s="188" t="str">
        <f t="shared" si="142"/>
        <v>S</v>
      </c>
      <c r="KW14" s="188">
        <f t="shared" si="142"/>
        <v>2</v>
      </c>
      <c r="KX14" s="188">
        <f t="shared" si="142"/>
        <v>3.0000000000000004</v>
      </c>
      <c r="KY14" s="188">
        <f t="shared" si="142"/>
        <v>0.25</v>
      </c>
      <c r="KZ14" s="188">
        <f t="shared" si="142"/>
        <v>0.3125</v>
      </c>
      <c r="LA14" s="188">
        <f t="shared" si="142"/>
        <v>0.25</v>
      </c>
      <c r="LB14" s="188">
        <f t="shared" si="142"/>
        <v>2.0000000000000001E-4</v>
      </c>
      <c r="LC14" s="188" t="str">
        <f t="shared" si="142"/>
        <v>S</v>
      </c>
      <c r="LD14" s="39" t="str">
        <f t="shared" si="92"/>
        <v>S</v>
      </c>
      <c r="LE14" s="188" t="str">
        <f t="shared" si="142"/>
        <v>S</v>
      </c>
      <c r="LF14" s="188" t="str">
        <f t="shared" si="142"/>
        <v>S</v>
      </c>
      <c r="LG14" s="188" t="str">
        <f t="shared" si="111"/>
        <v>S</v>
      </c>
      <c r="LH14" s="188" t="str">
        <f t="shared" si="111"/>
        <v>S</v>
      </c>
      <c r="LI14" s="188" t="str">
        <f t="shared" si="111"/>
        <v>S</v>
      </c>
      <c r="LJ14" s="188" t="str">
        <f t="shared" si="111"/>
        <v>S</v>
      </c>
      <c r="LK14" s="188" t="str">
        <f t="shared" si="111"/>
        <v>S</v>
      </c>
      <c r="LL14" s="188" t="str">
        <f t="shared" si="111"/>
        <v>S</v>
      </c>
      <c r="LM14" s="188" t="str">
        <f t="shared" si="111"/>
        <v>S</v>
      </c>
      <c r="LN14" s="188" t="str">
        <f t="shared" si="111"/>
        <v>S</v>
      </c>
      <c r="LO14" s="188" t="str">
        <f t="shared" si="111"/>
        <v>S</v>
      </c>
      <c r="LP14" s="188" t="str">
        <f t="shared" si="111"/>
        <v>S</v>
      </c>
      <c r="LQ14" s="188">
        <f t="shared" si="111"/>
        <v>3.0000000000000004</v>
      </c>
      <c r="LR14" s="188">
        <f t="shared" si="111"/>
        <v>0.16999999999999998</v>
      </c>
      <c r="LS14" s="188">
        <f t="shared" si="111"/>
        <v>1.41</v>
      </c>
      <c r="LT14" s="188">
        <f t="shared" si="111"/>
        <v>0.27300000000000002</v>
      </c>
      <c r="LU14" s="188">
        <f t="shared" si="111"/>
        <v>0.27</v>
      </c>
      <c r="LV14" s="188">
        <f t="shared" si="111"/>
        <v>0.1</v>
      </c>
      <c r="LW14" s="188">
        <f t="shared" si="111"/>
        <v>9.4629999999999992</v>
      </c>
      <c r="LX14" s="188">
        <f t="shared" si="111"/>
        <v>8.4947435596928661E-2</v>
      </c>
      <c r="LY14" s="188">
        <f t="shared" si="111"/>
        <v>4.0999999999999996</v>
      </c>
      <c r="LZ14" s="188" t="str">
        <f t="shared" si="111"/>
        <v>S</v>
      </c>
      <c r="MA14" s="188" t="str">
        <f t="shared" si="111"/>
        <v>S</v>
      </c>
      <c r="MB14" s="188" t="str">
        <f t="shared" si="111"/>
        <v>S</v>
      </c>
      <c r="MC14" s="188" t="str">
        <f t="shared" si="111"/>
        <v>S</v>
      </c>
      <c r="MD14" s="188" t="str">
        <f t="shared" si="52"/>
        <v>S</v>
      </c>
      <c r="ME14" s="188" t="str">
        <f t="shared" si="111"/>
        <v>S</v>
      </c>
      <c r="MF14" s="188" t="str">
        <f t="shared" si="111"/>
        <v>S</v>
      </c>
      <c r="MG14" s="188" t="str">
        <f t="shared" si="111"/>
        <v>S</v>
      </c>
      <c r="MH14" s="188" t="str">
        <f t="shared" si="111"/>
        <v>S</v>
      </c>
      <c r="MI14" s="188" t="str">
        <f t="shared" si="111"/>
        <v>S</v>
      </c>
      <c r="MJ14" s="188" t="str">
        <f t="shared" si="112"/>
        <v>S</v>
      </c>
      <c r="MK14" s="188" t="str">
        <f t="shared" si="113"/>
        <v>S</v>
      </c>
      <c r="ML14" s="188" t="str">
        <f t="shared" si="113"/>
        <v>S</v>
      </c>
      <c r="MM14" s="188" t="str">
        <f t="shared" si="111"/>
        <v>S</v>
      </c>
      <c r="MN14" s="188" t="str">
        <f t="shared" si="111"/>
        <v>S</v>
      </c>
      <c r="MO14" s="188" t="str">
        <f t="shared" si="111"/>
        <v>S</v>
      </c>
      <c r="MP14" s="188" t="str">
        <f t="shared" si="111"/>
        <v>S</v>
      </c>
      <c r="MQ14" s="188" t="str">
        <f t="shared" si="111"/>
        <v>S</v>
      </c>
      <c r="MR14" s="188" t="str">
        <f>MR$6</f>
        <v>S</v>
      </c>
      <c r="MS14" s="188" t="str">
        <f t="shared" si="111"/>
        <v>S</v>
      </c>
      <c r="MT14" s="188" t="str">
        <f t="shared" si="111"/>
        <v>S</v>
      </c>
      <c r="MU14" s="188" t="str">
        <f t="shared" si="111"/>
        <v>S</v>
      </c>
      <c r="MV14" s="188" t="str">
        <f t="shared" si="111"/>
        <v>S</v>
      </c>
      <c r="MW14" s="188" t="str">
        <f t="shared" si="111"/>
        <v>S</v>
      </c>
      <c r="MX14" s="188" t="str">
        <f t="shared" si="111"/>
        <v>S</v>
      </c>
      <c r="MY14" s="188" t="str">
        <f t="shared" si="111"/>
        <v>S</v>
      </c>
      <c r="MZ14" s="188" t="str">
        <f t="shared" si="111"/>
        <v>S</v>
      </c>
      <c r="NA14" s="188" t="str">
        <f t="shared" si="111"/>
        <v>S</v>
      </c>
      <c r="NB14" s="188" t="str">
        <f t="shared" si="111"/>
        <v>S</v>
      </c>
      <c r="NC14" s="188" t="str">
        <f t="shared" si="111"/>
        <v>S</v>
      </c>
      <c r="ND14" s="188" t="str">
        <f t="shared" si="114"/>
        <v>S</v>
      </c>
      <c r="NE14" s="188">
        <f t="shared" si="95"/>
        <v>0</v>
      </c>
      <c r="NF14" s="188">
        <f t="shared" si="111"/>
        <v>1.0000000000000001E-5</v>
      </c>
      <c r="NG14" s="188" t="str">
        <f t="shared" si="111"/>
        <v>S</v>
      </c>
      <c r="NH14" s="188" t="str">
        <f t="shared" si="111"/>
        <v>S</v>
      </c>
      <c r="NI14" s="188" t="str">
        <f t="shared" si="111"/>
        <v>S</v>
      </c>
      <c r="NJ14" s="188" t="str">
        <f t="shared" si="111"/>
        <v>S</v>
      </c>
      <c r="NK14" s="188" t="str">
        <f t="shared" si="111"/>
        <v>S</v>
      </c>
      <c r="NL14" s="188" t="str">
        <f t="shared" si="111"/>
        <v>S</v>
      </c>
      <c r="NM14" s="188" t="str">
        <f t="shared" si="111"/>
        <v>S</v>
      </c>
      <c r="NN14" s="188" t="str">
        <f t="shared" si="111"/>
        <v>S</v>
      </c>
      <c r="NO14" s="188">
        <f t="shared" ref="NO14:NS14" si="143">NO$6</f>
        <v>4</v>
      </c>
      <c r="NP14" s="188">
        <f t="shared" si="143"/>
        <v>6.0000000000000009</v>
      </c>
      <c r="NQ14" s="188">
        <f t="shared" si="143"/>
        <v>0.625</v>
      </c>
      <c r="NR14" s="188">
        <f t="shared" si="143"/>
        <v>0.5</v>
      </c>
      <c r="NS14" s="188">
        <f t="shared" si="143"/>
        <v>0.5</v>
      </c>
      <c r="NT14" s="188">
        <f t="shared" si="52"/>
        <v>0.12520000000000001</v>
      </c>
      <c r="NU14" s="266" t="str">
        <f t="shared" si="55"/>
        <v>S</v>
      </c>
      <c r="NV14" s="188" t="str">
        <f t="shared" ref="NV14:RH14" si="144">NV$6</f>
        <v>S</v>
      </c>
      <c r="NW14" s="188" t="str">
        <f t="shared" si="144"/>
        <v>S</v>
      </c>
      <c r="NX14" s="188" t="str">
        <f t="shared" si="144"/>
        <v>S</v>
      </c>
      <c r="NY14" s="188" t="str">
        <f t="shared" si="144"/>
        <v>S</v>
      </c>
      <c r="NZ14" s="188" t="str">
        <f t="shared" si="144"/>
        <v>S</v>
      </c>
      <c r="OA14" s="188" t="str">
        <f t="shared" si="144"/>
        <v>S</v>
      </c>
      <c r="OB14" s="188" t="str">
        <f t="shared" si="144"/>
        <v>S</v>
      </c>
      <c r="OC14" s="188" t="str">
        <f t="shared" si="144"/>
        <v>S</v>
      </c>
      <c r="OD14" s="188" t="str">
        <f t="shared" si="144"/>
        <v>S</v>
      </c>
      <c r="OE14" s="188">
        <f t="shared" si="144"/>
        <v>3.0000000000000004</v>
      </c>
      <c r="OF14" s="188">
        <f t="shared" si="144"/>
        <v>0.16999999999999998</v>
      </c>
      <c r="OG14" s="188">
        <f t="shared" si="144"/>
        <v>1.41</v>
      </c>
      <c r="OH14" s="188">
        <f t="shared" si="144"/>
        <v>0.27300000000000002</v>
      </c>
      <c r="OI14" s="188">
        <f t="shared" si="144"/>
        <v>0.27</v>
      </c>
      <c r="OJ14" s="188">
        <f t="shared" si="144"/>
        <v>0.1</v>
      </c>
      <c r="OK14" s="188">
        <f t="shared" si="144"/>
        <v>9.4629999999999992</v>
      </c>
      <c r="OL14" s="188">
        <f t="shared" si="144"/>
        <v>8.4947435596928661E-2</v>
      </c>
      <c r="OM14" s="188">
        <f t="shared" si="144"/>
        <v>4.0999999999999996</v>
      </c>
      <c r="ON14" s="266" t="str">
        <f t="shared" si="58"/>
        <v>S</v>
      </c>
      <c r="OO14" s="39" t="str">
        <f t="shared" si="98"/>
        <v>S</v>
      </c>
      <c r="OP14" s="39" t="str">
        <f t="shared" si="98"/>
        <v>S</v>
      </c>
      <c r="OQ14" s="39" t="str">
        <f t="shared" si="98"/>
        <v>S</v>
      </c>
      <c r="OR14" s="39" t="str">
        <f t="shared" si="98"/>
        <v>S</v>
      </c>
      <c r="OS14" s="39" t="str">
        <f t="shared" si="98"/>
        <v>S</v>
      </c>
      <c r="OT14" s="39" t="str">
        <f t="shared" si="98"/>
        <v>S</v>
      </c>
      <c r="OU14" s="188">
        <f t="shared" si="144"/>
        <v>22.352885682963269</v>
      </c>
      <c r="OV14" s="188">
        <f t="shared" si="144"/>
        <v>1.5625</v>
      </c>
      <c r="OW14" s="188">
        <f t="shared" si="144"/>
        <v>2</v>
      </c>
      <c r="OX14" s="188">
        <f t="shared" ca="1" si="144"/>
        <v>1.0000000000000001E-5</v>
      </c>
      <c r="OY14" s="39" t="str">
        <f t="shared" si="125"/>
        <v>S</v>
      </c>
      <c r="OZ14" s="39" t="str">
        <f t="shared" si="125"/>
        <v>S</v>
      </c>
      <c r="PA14" s="39" t="str">
        <f t="shared" si="125"/>
        <v>S</v>
      </c>
      <c r="PB14" s="39" t="str">
        <f t="shared" si="125"/>
        <v>S</v>
      </c>
      <c r="PC14" s="188">
        <f t="shared" si="144"/>
        <v>1.0000006859324079E-6</v>
      </c>
      <c r="PD14" s="188">
        <f t="shared" si="144"/>
        <v>1.0000000313816476E-6</v>
      </c>
      <c r="PE14" s="188">
        <f t="shared" si="61"/>
        <v>9.9999936016657661E-7</v>
      </c>
      <c r="PF14" s="188">
        <f t="shared" si="61"/>
        <v>9.9999997677932015E-7</v>
      </c>
      <c r="PG14" s="39" t="str">
        <f t="shared" si="99"/>
        <v>S</v>
      </c>
      <c r="PH14" s="39" t="str">
        <f t="shared" si="99"/>
        <v>S</v>
      </c>
      <c r="PI14" s="39" t="str">
        <f t="shared" si="99"/>
        <v>S</v>
      </c>
      <c r="PJ14" s="39" t="str">
        <f t="shared" si="99"/>
        <v>S</v>
      </c>
      <c r="PK14" s="188" t="str">
        <f t="shared" si="144"/>
        <v>Teflon, 2.5 x 2.5</v>
      </c>
      <c r="PL14" s="188" t="str">
        <f t="shared" si="144"/>
        <v>Teflon, 2.5 x 2.5</v>
      </c>
      <c r="PM14" s="188">
        <f t="shared" si="144"/>
        <v>0</v>
      </c>
      <c r="PN14" s="188" t="str">
        <f t="shared" si="144"/>
        <v>Teflon, 2.5 x 2.5</v>
      </c>
      <c r="PO14" s="188" t="str">
        <f t="shared" si="144"/>
        <v>Teflon, 2.5 x 2.5</v>
      </c>
      <c r="PP14" s="188">
        <f t="shared" si="144"/>
        <v>0</v>
      </c>
      <c r="PQ14" s="188">
        <f t="shared" si="144"/>
        <v>0.125</v>
      </c>
      <c r="PR14" s="188">
        <f t="shared" si="144"/>
        <v>0.125</v>
      </c>
      <c r="PS14" s="188">
        <f t="shared" si="144"/>
        <v>0.125</v>
      </c>
      <c r="PT14" s="188">
        <f t="shared" si="144"/>
        <v>0.125</v>
      </c>
      <c r="PU14" s="39" t="str">
        <f t="shared" si="126"/>
        <v>S</v>
      </c>
      <c r="PV14" s="39" t="str">
        <f t="shared" si="126"/>
        <v>S</v>
      </c>
      <c r="PW14" s="39" t="str">
        <f t="shared" si="126"/>
        <v>S</v>
      </c>
      <c r="PX14" s="39" t="str">
        <f t="shared" si="126"/>
        <v>S</v>
      </c>
      <c r="PY14" s="39" t="str">
        <f t="shared" si="126"/>
        <v>S</v>
      </c>
      <c r="PZ14" s="39" t="str">
        <f t="shared" si="126"/>
        <v>S</v>
      </c>
      <c r="QA14" s="39" t="str">
        <f t="shared" si="126"/>
        <v>S</v>
      </c>
      <c r="QB14" s="39" t="str">
        <f t="shared" si="126"/>
        <v>S</v>
      </c>
      <c r="QC14" s="39" t="str">
        <f t="shared" si="126"/>
        <v>S</v>
      </c>
      <c r="QD14" s="39" t="str">
        <f t="shared" si="126"/>
        <v>S</v>
      </c>
      <c r="QE14" s="39" t="str">
        <f t="shared" si="126"/>
        <v>S</v>
      </c>
      <c r="QF14" s="188">
        <f t="shared" ca="1" si="144"/>
        <v>3</v>
      </c>
      <c r="QG14" s="188">
        <f t="shared" ca="1" si="144"/>
        <v>1.5</v>
      </c>
      <c r="QH14" s="188">
        <f t="shared" ca="1" si="144"/>
        <v>1</v>
      </c>
      <c r="QI14" s="188">
        <f t="shared" ca="1" si="144"/>
        <v>3</v>
      </c>
      <c r="QJ14" s="188" t="str">
        <f t="shared" ca="1" si="144"/>
        <v>S</v>
      </c>
      <c r="QK14" s="39" t="str">
        <f t="shared" si="127"/>
        <v>S</v>
      </c>
      <c r="QL14" s="39" t="str">
        <f t="shared" si="127"/>
        <v>S</v>
      </c>
      <c r="QM14" s="39" t="str">
        <f t="shared" si="127"/>
        <v>S</v>
      </c>
      <c r="QN14" s="39" t="str">
        <f t="shared" si="127"/>
        <v>S</v>
      </c>
      <c r="QO14" s="39" t="str">
        <f t="shared" si="127"/>
        <v>S</v>
      </c>
      <c r="QP14" s="39" t="str">
        <f t="shared" si="127"/>
        <v>S</v>
      </c>
      <c r="QQ14" s="39" t="str">
        <f t="shared" si="127"/>
        <v>S</v>
      </c>
      <c r="QR14" s="39" t="str">
        <f t="shared" si="127"/>
        <v>S</v>
      </c>
      <c r="QS14" s="39" t="str">
        <f t="shared" si="127"/>
        <v>S</v>
      </c>
      <c r="QT14" s="190" t="str">
        <f t="shared" si="127"/>
        <v>S</v>
      </c>
      <c r="QU14" s="39" t="str">
        <f t="shared" si="127"/>
        <v>S</v>
      </c>
      <c r="QV14" s="39" t="str">
        <f t="shared" si="127"/>
        <v>S</v>
      </c>
      <c r="QW14" s="39" t="str">
        <f t="shared" si="127"/>
        <v>S</v>
      </c>
      <c r="QX14" s="39" t="str">
        <f t="shared" si="127"/>
        <v>S</v>
      </c>
      <c r="QY14" s="39" t="str">
        <f t="shared" si="127"/>
        <v>S</v>
      </c>
      <c r="QZ14" s="39" t="str">
        <f t="shared" si="127"/>
        <v>S</v>
      </c>
      <c r="RA14" s="39" t="str">
        <f t="shared" si="127"/>
        <v>S</v>
      </c>
      <c r="RB14" s="39" t="str">
        <f t="shared" si="127"/>
        <v>S</v>
      </c>
      <c r="RC14" s="39" t="str">
        <f t="shared" si="127"/>
        <v>S</v>
      </c>
      <c r="RD14" s="188">
        <f t="shared" si="144"/>
        <v>2</v>
      </c>
      <c r="RE14" s="188">
        <f t="shared" si="144"/>
        <v>3.0000000000000004</v>
      </c>
      <c r="RF14" s="188">
        <f t="shared" si="144"/>
        <v>0.18750000000000003</v>
      </c>
      <c r="RG14" s="188">
        <f t="shared" si="144"/>
        <v>0.3125</v>
      </c>
      <c r="RH14" s="188">
        <f t="shared" si="144"/>
        <v>0.18750000000000003</v>
      </c>
      <c r="RI14" s="188">
        <f t="shared" si="117"/>
        <v>2.0000000000000001E-4</v>
      </c>
      <c r="RJ14" s="39" t="str">
        <f t="shared" si="128"/>
        <v>S</v>
      </c>
      <c r="RK14" s="39" t="str">
        <f t="shared" si="128"/>
        <v>S</v>
      </c>
      <c r="RL14" s="39" t="str">
        <f t="shared" si="128"/>
        <v>S</v>
      </c>
      <c r="RM14" s="39" t="str">
        <f t="shared" si="128"/>
        <v>S</v>
      </c>
      <c r="RN14" s="39" t="str">
        <f t="shared" si="128"/>
        <v>S</v>
      </c>
      <c r="RO14" s="39" t="str">
        <f t="shared" si="128"/>
        <v>S</v>
      </c>
      <c r="RP14" s="39" t="str">
        <f t="shared" si="128"/>
        <v>S</v>
      </c>
      <c r="RQ14" s="39" t="str">
        <f t="shared" si="128"/>
        <v>S</v>
      </c>
      <c r="RR14" s="39" t="str">
        <f t="shared" si="129"/>
        <v>S</v>
      </c>
      <c r="RS14" s="39" t="str">
        <f t="shared" si="129"/>
        <v>S</v>
      </c>
      <c r="RT14" s="39" t="str">
        <f t="shared" si="129"/>
        <v>S</v>
      </c>
      <c r="RU14" s="39" t="str">
        <f t="shared" si="129"/>
        <v>S</v>
      </c>
      <c r="RV14" s="39" t="str">
        <f t="shared" si="129"/>
        <v>S</v>
      </c>
      <c r="RW14" s="39" t="str">
        <f t="shared" si="129"/>
        <v>S</v>
      </c>
      <c r="RX14" s="39" t="str">
        <f t="shared" si="129"/>
        <v>S</v>
      </c>
      <c r="RY14" s="39" t="str">
        <f t="shared" si="129"/>
        <v>S</v>
      </c>
      <c r="RZ14" s="39" t="str">
        <f t="shared" si="129"/>
        <v>S</v>
      </c>
      <c r="SA14" s="188">
        <f t="shared" si="117"/>
        <v>3.0000000000000004</v>
      </c>
      <c r="SB14" s="188">
        <f t="shared" si="117"/>
        <v>0.16999999999999998</v>
      </c>
      <c r="SC14" s="188">
        <f t="shared" si="117"/>
        <v>1.41</v>
      </c>
      <c r="SD14" s="188">
        <f t="shared" si="117"/>
        <v>0.27300000000000002</v>
      </c>
      <c r="SE14" s="188">
        <f t="shared" si="117"/>
        <v>0.27</v>
      </c>
      <c r="SF14" s="188">
        <f t="shared" si="117"/>
        <v>0.1</v>
      </c>
      <c r="SG14" s="188">
        <f t="shared" si="117"/>
        <v>9.4629999999999992</v>
      </c>
      <c r="SH14" s="188">
        <f t="shared" si="117"/>
        <v>8.4947435596928661E-2</v>
      </c>
      <c r="SI14" s="188">
        <f t="shared" si="117"/>
        <v>4.0999999999999996</v>
      </c>
      <c r="SJ14" s="39" t="str">
        <f t="shared" si="130"/>
        <v>S</v>
      </c>
      <c r="SK14" s="39" t="str">
        <f t="shared" si="130"/>
        <v>S</v>
      </c>
      <c r="SL14" s="39" t="str">
        <f t="shared" si="130"/>
        <v>S</v>
      </c>
      <c r="SM14" s="39" t="str">
        <f t="shared" si="130"/>
        <v>S</v>
      </c>
      <c r="SN14" s="39" t="str">
        <f t="shared" si="130"/>
        <v>S</v>
      </c>
      <c r="SO14" s="39" t="str">
        <f t="shared" si="130"/>
        <v>S</v>
      </c>
      <c r="SP14" s="39" t="str">
        <f t="shared" si="130"/>
        <v>S</v>
      </c>
      <c r="SQ14" s="39" t="str">
        <f t="shared" si="130"/>
        <v>S</v>
      </c>
      <c r="SR14" s="39" t="str">
        <f t="shared" si="130"/>
        <v>S</v>
      </c>
      <c r="SS14" s="188">
        <f t="shared" si="139"/>
        <v>1.5000000000000002</v>
      </c>
      <c r="ST14" s="188">
        <f t="shared" si="139"/>
        <v>1.5000000000000002</v>
      </c>
      <c r="SU14" s="188">
        <f t="shared" si="139"/>
        <v>0.5</v>
      </c>
      <c r="SV14" s="188">
        <f t="shared" si="139"/>
        <v>0.5</v>
      </c>
      <c r="SW14" s="39" t="str">
        <f t="shared" si="130"/>
        <v>S</v>
      </c>
      <c r="SX14" s="39" t="str">
        <f t="shared" si="130"/>
        <v>S</v>
      </c>
      <c r="SY14" s="39" t="str">
        <f t="shared" si="130"/>
        <v>S</v>
      </c>
      <c r="SZ14" s="39" t="str">
        <f t="shared" si="130"/>
        <v>S</v>
      </c>
      <c r="TA14" s="39" t="str">
        <f t="shared" si="130"/>
        <v>S</v>
      </c>
      <c r="TB14" s="39" t="str">
        <f t="shared" si="130"/>
        <v>S</v>
      </c>
      <c r="TC14" s="39" t="str">
        <f t="shared" si="130"/>
        <v>S</v>
      </c>
      <c r="TD14" s="39" t="str">
        <f t="shared" si="130"/>
        <v>S</v>
      </c>
      <c r="TE14" s="39" t="str">
        <f t="shared" si="130"/>
        <v>S</v>
      </c>
      <c r="TF14" s="188">
        <f t="shared" si="117"/>
        <v>3</v>
      </c>
      <c r="TG14" s="188">
        <f t="shared" si="117"/>
        <v>5.7</v>
      </c>
      <c r="TH14" s="188">
        <f t="shared" si="117"/>
        <v>3.0000000000000004</v>
      </c>
      <c r="TI14" s="188">
        <f t="shared" si="117"/>
        <v>0.16999999999999998</v>
      </c>
      <c r="TJ14" s="188">
        <f t="shared" si="117"/>
        <v>2.33</v>
      </c>
      <c r="TK14" s="188">
        <f t="shared" si="117"/>
        <v>0.26</v>
      </c>
      <c r="TL14" s="188">
        <f t="shared" si="117"/>
        <v>0.27</v>
      </c>
      <c r="TM14" s="188">
        <f t="shared" si="117"/>
        <v>0.1</v>
      </c>
      <c r="TN14" s="188">
        <f t="shared" si="117"/>
        <v>9.4630000000000312</v>
      </c>
      <c r="TO14" s="188">
        <f t="shared" si="117"/>
        <v>1.8425437273624747</v>
      </c>
      <c r="TP14" s="39" t="str">
        <f t="shared" si="131"/>
        <v>S</v>
      </c>
      <c r="TQ14" s="39" t="str">
        <f t="shared" si="131"/>
        <v>S</v>
      </c>
      <c r="TR14" s="39" t="str">
        <f t="shared" si="131"/>
        <v>S</v>
      </c>
      <c r="TS14" s="39" t="str">
        <f t="shared" si="131"/>
        <v>S</v>
      </c>
      <c r="TT14" s="39" t="str">
        <f t="shared" si="131"/>
        <v>S</v>
      </c>
      <c r="TU14" s="39" t="str">
        <f t="shared" si="131"/>
        <v>S</v>
      </c>
      <c r="TV14" s="39" t="str">
        <f t="shared" si="131"/>
        <v>S</v>
      </c>
      <c r="TW14" s="39" t="str">
        <f t="shared" si="131"/>
        <v>S</v>
      </c>
      <c r="TX14" s="39" t="str">
        <f t="shared" si="131"/>
        <v>S</v>
      </c>
      <c r="TY14" s="188">
        <f t="shared" si="117"/>
        <v>4</v>
      </c>
      <c r="TZ14" s="188">
        <f t="shared" si="117"/>
        <v>13</v>
      </c>
      <c r="UA14" s="188">
        <f t="shared" si="117"/>
        <v>4.16</v>
      </c>
      <c r="UB14" s="188">
        <f t="shared" si="117"/>
        <v>0.28000000000000003</v>
      </c>
      <c r="UC14" s="188">
        <f t="shared" si="117"/>
        <v>4.0599999999999996</v>
      </c>
      <c r="UD14" s="188">
        <f t="shared" si="117"/>
        <v>0.34499999999999992</v>
      </c>
      <c r="UE14" s="188">
        <f t="shared" si="117"/>
        <v>0.25</v>
      </c>
      <c r="UF14" s="39" t="str">
        <f t="shared" si="132"/>
        <v>S</v>
      </c>
      <c r="UG14" s="39" t="str">
        <f t="shared" si="132"/>
        <v>S</v>
      </c>
      <c r="UH14" s="39" t="str">
        <f t="shared" si="132"/>
        <v>S</v>
      </c>
      <c r="UI14" s="39" t="str">
        <f t="shared" si="132"/>
        <v>S</v>
      </c>
      <c r="UJ14" s="188"/>
      <c r="UK14" s="39" t="str">
        <f t="shared" si="104"/>
        <v>S</v>
      </c>
      <c r="UL14" s="39" t="str">
        <f t="shared" si="104"/>
        <v>S</v>
      </c>
      <c r="UM14" s="39" t="str">
        <f t="shared" si="104"/>
        <v>S</v>
      </c>
      <c r="UN14" s="39" t="str">
        <f t="shared" si="104"/>
        <v>S</v>
      </c>
      <c r="UO14" s="39" t="str">
        <f t="shared" si="104"/>
        <v>S</v>
      </c>
      <c r="UP14" s="39" t="str">
        <f t="shared" si="104"/>
        <v>S</v>
      </c>
      <c r="UQ14" s="39" t="str">
        <f t="shared" si="104"/>
        <v>S</v>
      </c>
      <c r="UR14" s="188">
        <f t="shared" si="73"/>
        <v>1</v>
      </c>
      <c r="US14" s="188">
        <f t="shared" si="117"/>
        <v>2</v>
      </c>
      <c r="UT14" s="188">
        <f t="shared" si="117"/>
        <v>500</v>
      </c>
      <c r="UU14" s="188" t="str">
        <f t="shared" si="117"/>
        <v>S</v>
      </c>
      <c r="UV14" s="39" t="str">
        <f t="shared" si="105"/>
        <v>S</v>
      </c>
      <c r="UW14" s="39" t="str">
        <f t="shared" si="105"/>
        <v>S</v>
      </c>
      <c r="UX14" s="39" t="str">
        <f t="shared" si="105"/>
        <v>S</v>
      </c>
      <c r="UY14" s="39" t="str">
        <f t="shared" si="105"/>
        <v>S</v>
      </c>
      <c r="UZ14" s="39" t="str">
        <f t="shared" si="105"/>
        <v>S</v>
      </c>
      <c r="VA14" s="45" t="str">
        <f t="shared" si="106"/>
        <v>S</v>
      </c>
      <c r="VB14" s="45" t="str">
        <f t="shared" si="106"/>
        <v>S</v>
      </c>
      <c r="VC14" s="45" t="str">
        <f t="shared" si="106"/>
        <v>S</v>
      </c>
      <c r="VD14" s="45" t="str">
        <f t="shared" si="106"/>
        <v>S</v>
      </c>
      <c r="VE14" s="45" t="str">
        <f t="shared" si="106"/>
        <v>S</v>
      </c>
      <c r="VF14" s="45" t="str">
        <f t="shared" si="106"/>
        <v>S</v>
      </c>
      <c r="VG14" s="45" t="str">
        <f t="shared" si="106"/>
        <v>S</v>
      </c>
      <c r="VH14" s="39" t="str">
        <f>"U"</f>
        <v>U</v>
      </c>
      <c r="VI14" s="188" t="str">
        <f t="shared" si="79"/>
        <v>3</v>
      </c>
      <c r="VJ14" s="188" t="str">
        <f t="shared" si="117"/>
        <v>.3</v>
      </c>
      <c r="VK14" s="188">
        <f t="shared" si="117"/>
        <v>3</v>
      </c>
      <c r="VL14" s="188" t="str">
        <f t="shared" si="117"/>
        <v>3-SEC</v>
      </c>
      <c r="VM14" s="45" t="str">
        <f>CONCATENATE($C$2,$D$2,"-HS-RA")</f>
        <v>3-HS-RA</v>
      </c>
      <c r="VN14" s="188" t="s">
        <v>1014</v>
      </c>
      <c r="VO14" s="188" t="str">
        <f t="shared" si="117"/>
        <v>000000</v>
      </c>
      <c r="VP14" s="411">
        <f t="shared" si="80"/>
        <v>5</v>
      </c>
      <c r="VQ14" s="411">
        <f t="shared" si="80"/>
        <v>5</v>
      </c>
      <c r="VR14" s="411">
        <f t="shared" si="80"/>
        <v>0.125</v>
      </c>
      <c r="VS14" s="411">
        <f t="shared" si="80"/>
        <v>1.125</v>
      </c>
      <c r="VT14" s="411">
        <f t="shared" si="80"/>
        <v>3.5</v>
      </c>
      <c r="VX14" s="188" t="str">
        <f t="shared" si="81"/>
        <v>3-SEC</v>
      </c>
    </row>
    <row r="15" spans="1:597" ht="14.4" hidden="1" outlineLevel="1" x14ac:dyDescent="0.3">
      <c r="A15" s="123" t="str">
        <f t="shared" ref="A15:A16" si="145">IF(A7="$User_Notes","$User_Notes",CONCATENATE(A7,"SM-FLAT-PATTERN"))</f>
        <v>$User_Notes</v>
      </c>
      <c r="B15" s="117" t="str">
        <f>B$7</f>
        <v>AXC</v>
      </c>
      <c r="C15" s="117">
        <f t="shared" ref="C15:BT15" si="146">C$7</f>
        <v>65</v>
      </c>
      <c r="D15" s="117">
        <f t="shared" si="146"/>
        <v>780</v>
      </c>
      <c r="E15" s="117">
        <f t="shared" si="146"/>
        <v>0.125</v>
      </c>
      <c r="F15" s="117">
        <f t="shared" si="146"/>
        <v>6.25E-2</v>
      </c>
      <c r="G15" s="117">
        <f t="shared" si="146"/>
        <v>777.625</v>
      </c>
      <c r="H15" s="117" t="str">
        <f t="shared" si="146"/>
        <v>MC12x10.6</v>
      </c>
      <c r="I15" s="117" t="str">
        <f t="shared" si="146"/>
        <v>AXC materials:SA-36</v>
      </c>
      <c r="J15" s="117" t="str">
        <f t="shared" si="146"/>
        <v>Galvanized</v>
      </c>
      <c r="K15" s="117" t="str">
        <f t="shared" si="146"/>
        <v>Bolt on Angle</v>
      </c>
      <c r="L15" s="117" t="str">
        <f t="shared" si="146"/>
        <v>EH\VV\VI_</v>
      </c>
      <c r="M15" s="117">
        <f t="shared" ca="1" si="146"/>
        <v>16</v>
      </c>
      <c r="N15" s="117">
        <f t="shared" ca="1" si="146"/>
        <v>48</v>
      </c>
      <c r="O15" s="117">
        <f t="shared" ca="1" si="146"/>
        <v>30</v>
      </c>
      <c r="P15" s="117" t="str">
        <f t="shared" si="146"/>
        <v>Yes - Rear HDR</v>
      </c>
      <c r="Q15" s="117">
        <f t="shared" si="146"/>
        <v>3.9999333887056512</v>
      </c>
      <c r="R15" s="117" t="str">
        <f t="shared" si="146"/>
        <v>Angle</v>
      </c>
      <c r="S15" s="117" t="str">
        <f t="shared" si="146"/>
        <v>L2x3x0.1875</v>
      </c>
      <c r="T15" s="117" t="str">
        <f t="shared" si="146"/>
        <v>Weld On</v>
      </c>
      <c r="U15" s="117" t="str">
        <f>U$7</f>
        <v>Yes</v>
      </c>
      <c r="V15" s="117" t="str">
        <f t="shared" si="146"/>
        <v>Yes</v>
      </c>
      <c r="W15" s="117">
        <f t="shared" si="146"/>
        <v>15</v>
      </c>
      <c r="X15" s="117">
        <f t="shared" si="146"/>
        <v>0</v>
      </c>
      <c r="Y15" s="117">
        <f>Y$7</f>
        <v>0</v>
      </c>
      <c r="Z15" s="117" t="str">
        <f>Z$7</f>
        <v>STD</v>
      </c>
      <c r="AA15" s="117" t="str">
        <f t="shared" si="146"/>
        <v>No</v>
      </c>
      <c r="AB15" s="117" t="str">
        <f>AB$7</f>
        <v>OFF</v>
      </c>
      <c r="AC15" s="117" t="str">
        <f t="shared" si="146"/>
        <v>Yes</v>
      </c>
      <c r="AD15" s="117" t="str">
        <f>AD$7</f>
        <v>AXC Weld On</v>
      </c>
      <c r="AE15" s="117" t="str">
        <f>AE$7</f>
        <v>Outside</v>
      </c>
      <c r="AF15" s="117" t="str">
        <f t="shared" si="146"/>
        <v>0.5"</v>
      </c>
      <c r="AG15" s="117">
        <f t="shared" si="146"/>
        <v>278.125</v>
      </c>
      <c r="AH15" s="117">
        <f t="shared" si="146"/>
        <v>249.75</v>
      </c>
      <c r="AI15" s="117">
        <f t="shared" si="146"/>
        <v>0.5</v>
      </c>
      <c r="AJ15" s="117">
        <f t="shared" si="146"/>
        <v>4</v>
      </c>
      <c r="AK15" s="117">
        <f t="shared" si="146"/>
        <v>500</v>
      </c>
      <c r="AL15" s="117" t="str">
        <f t="shared" si="146"/>
        <v>None</v>
      </c>
      <c r="AM15" s="117" t="str">
        <f t="shared" si="146"/>
        <v>Pick from List</v>
      </c>
      <c r="AN15" s="117" t="str">
        <f t="shared" si="146"/>
        <v>None</v>
      </c>
      <c r="AO15" s="117" t="str">
        <f t="shared" si="146"/>
        <v>None</v>
      </c>
      <c r="AP15" s="117" t="str">
        <f t="shared" si="146"/>
        <v>None</v>
      </c>
      <c r="AQ15" s="117" t="str">
        <f t="shared" si="146"/>
        <v>L4x6x0.625</v>
      </c>
      <c r="AR15" s="117" t="str">
        <f t="shared" si="146"/>
        <v>Bolt on</v>
      </c>
      <c r="AS15" s="117" t="str">
        <f t="shared" si="146"/>
        <v>Yes</v>
      </c>
      <c r="AT15" s="117" t="str">
        <f t="shared" ca="1" si="146"/>
        <v>Bolt On</v>
      </c>
      <c r="AU15" s="117">
        <f t="shared" ca="1" si="146"/>
        <v>16</v>
      </c>
      <c r="AV15" s="117">
        <f t="shared" si="146"/>
        <v>0</v>
      </c>
      <c r="AW15" s="117">
        <f t="shared" si="146"/>
        <v>0</v>
      </c>
      <c r="AX15" s="117">
        <f t="shared" si="146"/>
        <v>6.25E-2</v>
      </c>
      <c r="AY15" s="117">
        <f t="shared" si="146"/>
        <v>21.915385672961552</v>
      </c>
      <c r="AZ15" s="117">
        <f t="shared" si="146"/>
        <v>1.5625</v>
      </c>
      <c r="BA15" s="117">
        <f t="shared" si="146"/>
        <v>2</v>
      </c>
      <c r="BB15" s="117">
        <f t="shared" si="146"/>
        <v>21.915385672961648</v>
      </c>
      <c r="BC15" s="117">
        <f t="shared" si="146"/>
        <v>1.5625</v>
      </c>
      <c r="BD15" s="117">
        <f t="shared" si="146"/>
        <v>2</v>
      </c>
      <c r="BE15" s="117">
        <f t="shared" si="146"/>
        <v>0.6250000000043382</v>
      </c>
      <c r="BF15" s="117">
        <f t="shared" si="146"/>
        <v>1.0937500000075919</v>
      </c>
      <c r="BG15" s="117">
        <f t="shared" si="146"/>
        <v>2</v>
      </c>
      <c r="BH15" s="117">
        <f t="shared" si="146"/>
        <v>0.62500000000430156</v>
      </c>
      <c r="BI15" s="117">
        <f t="shared" si="146"/>
        <v>1.0937500000075278</v>
      </c>
      <c r="BJ15" s="117">
        <f t="shared" si="146"/>
        <v>2</v>
      </c>
      <c r="BK15" s="117">
        <f t="shared" si="146"/>
        <v>1.9999999999999956</v>
      </c>
      <c r="BL15" s="117" t="str">
        <f t="shared" si="146"/>
        <v>Weld Bar</v>
      </c>
      <c r="BM15" s="117">
        <f t="shared" si="146"/>
        <v>0.99999999999999589</v>
      </c>
      <c r="BN15" s="117" t="str">
        <f t="shared" si="146"/>
        <v>Float Bar</v>
      </c>
      <c r="BO15" s="117">
        <f t="shared" si="146"/>
        <v>5</v>
      </c>
      <c r="BP15" s="117" t="str">
        <f t="shared" si="146"/>
        <v>MC12x10.6</v>
      </c>
      <c r="BQ15" s="117" t="str">
        <f t="shared" si="146"/>
        <v>U</v>
      </c>
      <c r="BR15" s="117" t="str">
        <f t="shared" si="146"/>
        <v>S</v>
      </c>
      <c r="BS15" s="117">
        <f t="shared" si="146"/>
        <v>31.374999284744241</v>
      </c>
      <c r="BT15" s="117">
        <f t="shared" si="146"/>
        <v>29.000000000000004</v>
      </c>
      <c r="BU15" s="117">
        <f t="shared" ref="BU15:EK15" si="147">BU$7</f>
        <v>3.9999999999999969</v>
      </c>
      <c r="BV15" s="117">
        <f t="shared" si="147"/>
        <v>0.25000000000000089</v>
      </c>
      <c r="BW15" s="117">
        <f t="shared" si="147"/>
        <v>9.9999999999269527E-6</v>
      </c>
      <c r="BX15" s="117">
        <f t="shared" si="147"/>
        <v>1</v>
      </c>
      <c r="BY15" s="117">
        <f t="shared" si="147"/>
        <v>1</v>
      </c>
      <c r="BZ15" s="117">
        <f t="shared" si="147"/>
        <v>6.2721143170279987</v>
      </c>
      <c r="CA15" s="117">
        <f t="shared" si="147"/>
        <v>360</v>
      </c>
      <c r="CB15" s="117">
        <f t="shared" si="147"/>
        <v>1.0000000000001172</v>
      </c>
      <c r="CC15" s="117">
        <f t="shared" si="147"/>
        <v>0.99999999999983746</v>
      </c>
      <c r="CD15" s="117">
        <f t="shared" si="147"/>
        <v>0</v>
      </c>
      <c r="CE15" s="117">
        <f t="shared" si="147"/>
        <v>1.5000000000000009</v>
      </c>
      <c r="CF15" s="117">
        <f t="shared" si="147"/>
        <v>1.2990381056766582</v>
      </c>
      <c r="CG15" s="117">
        <f t="shared" si="147"/>
        <v>9.9999999969219204E-6</v>
      </c>
      <c r="CH15" s="117" t="str">
        <f t="shared" si="147"/>
        <v>No</v>
      </c>
      <c r="CI15" s="117" t="str">
        <f t="shared" si="147"/>
        <v>U</v>
      </c>
      <c r="CJ15" s="117">
        <f t="shared" si="147"/>
        <v>10.6</v>
      </c>
      <c r="CK15" s="117">
        <f t="shared" si="147"/>
        <v>12.000000000000002</v>
      </c>
      <c r="CL15" s="117">
        <f t="shared" si="147"/>
        <v>0.18999999999999997</v>
      </c>
      <c r="CM15" s="117">
        <f t="shared" si="147"/>
        <v>1.5000000000000002</v>
      </c>
      <c r="CN15" s="117">
        <f t="shared" si="147"/>
        <v>0.30899999999999994</v>
      </c>
      <c r="CO15" s="117">
        <f t="shared" si="147"/>
        <v>0.25</v>
      </c>
      <c r="CP15" s="117">
        <f t="shared" si="147"/>
        <v>0.13</v>
      </c>
      <c r="CQ15" s="117">
        <f t="shared" si="147"/>
        <v>9.4629999999999992</v>
      </c>
      <c r="CR15" s="117">
        <f t="shared" si="147"/>
        <v>8.9700168853607709E-2</v>
      </c>
      <c r="CS15" s="117">
        <f t="shared" si="147"/>
        <v>10.740092274765473</v>
      </c>
      <c r="CT15" s="117">
        <f t="shared" si="147"/>
        <v>0.62995386261726427</v>
      </c>
      <c r="CU15" s="117" t="str">
        <f t="shared" si="147"/>
        <v>S</v>
      </c>
      <c r="CV15" s="117">
        <f t="shared" si="147"/>
        <v>12.000000000000002</v>
      </c>
      <c r="CW15" s="117">
        <f t="shared" si="147"/>
        <v>0.28199999999999997</v>
      </c>
      <c r="CX15" s="117">
        <f t="shared" si="147"/>
        <v>2.9419999999999997</v>
      </c>
      <c r="CY15" s="117">
        <f t="shared" si="147"/>
        <v>0.501</v>
      </c>
      <c r="CZ15" s="117">
        <f t="shared" si="147"/>
        <v>0.37999999999999995</v>
      </c>
      <c r="DA15" s="117">
        <f t="shared" si="147"/>
        <v>0.16999999999999998</v>
      </c>
      <c r="DB15" s="117">
        <f t="shared" si="147"/>
        <v>9.4629999999999992</v>
      </c>
      <c r="DC15" s="117">
        <f t="shared" si="147"/>
        <v>0.13530728481002544</v>
      </c>
      <c r="DD15" s="117">
        <f t="shared" si="147"/>
        <v>20.7</v>
      </c>
      <c r="DE15" s="117" t="str">
        <f t="shared" si="147"/>
        <v>S</v>
      </c>
      <c r="DF15" s="117" t="str">
        <f t="shared" si="147"/>
        <v>S</v>
      </c>
      <c r="DG15" s="117" t="str">
        <f t="shared" si="147"/>
        <v>S</v>
      </c>
      <c r="DH15" s="117" t="str">
        <f t="shared" si="147"/>
        <v>S</v>
      </c>
      <c r="DI15" s="117" t="str">
        <f t="shared" si="147"/>
        <v>S</v>
      </c>
      <c r="DJ15" s="117" t="str">
        <f t="shared" si="147"/>
        <v>S</v>
      </c>
      <c r="DK15" s="117" t="str">
        <f t="shared" si="147"/>
        <v>S</v>
      </c>
      <c r="DL15" s="117" t="str">
        <f t="shared" si="147"/>
        <v>S</v>
      </c>
      <c r="DM15" s="117" t="str">
        <f t="shared" si="147"/>
        <v>U</v>
      </c>
      <c r="DN15" s="117" t="str">
        <f t="shared" si="147"/>
        <v>U</v>
      </c>
      <c r="DO15" s="117" t="str">
        <f t="shared" si="147"/>
        <v>U</v>
      </c>
      <c r="DP15" s="117" t="str">
        <f t="shared" si="147"/>
        <v>U</v>
      </c>
      <c r="DQ15" s="117" t="str">
        <f t="shared" si="147"/>
        <v>S</v>
      </c>
      <c r="DR15" s="117" t="str">
        <f t="shared" si="147"/>
        <v>S</v>
      </c>
      <c r="DS15" s="117" t="str">
        <f t="shared" si="147"/>
        <v>S</v>
      </c>
      <c r="DT15" s="117" t="str">
        <f t="shared" si="147"/>
        <v>S</v>
      </c>
      <c r="DU15" s="117" t="str">
        <f t="shared" si="147"/>
        <v>S</v>
      </c>
      <c r="DV15" s="117" t="str">
        <f t="shared" si="147"/>
        <v>S</v>
      </c>
      <c r="DW15" s="117" t="str">
        <f t="shared" si="147"/>
        <v>S</v>
      </c>
      <c r="DX15" s="117" t="str">
        <f t="shared" si="147"/>
        <v>S</v>
      </c>
      <c r="DY15" s="117">
        <f t="shared" si="147"/>
        <v>29</v>
      </c>
      <c r="DZ15" s="117">
        <f t="shared" si="147"/>
        <v>0.25</v>
      </c>
      <c r="EA15" s="117">
        <f t="shared" si="147"/>
        <v>0.25</v>
      </c>
      <c r="EB15" s="117">
        <f t="shared" si="147"/>
        <v>3.9999999999999969</v>
      </c>
      <c r="EC15" s="117">
        <f t="shared" si="147"/>
        <v>1E-4</v>
      </c>
      <c r="ED15" s="117">
        <f t="shared" si="147"/>
        <v>1E-4</v>
      </c>
      <c r="EE15" s="117">
        <f t="shared" si="147"/>
        <v>0.25000000000000089</v>
      </c>
      <c r="EF15" s="117">
        <f t="shared" si="147"/>
        <v>1.5599999999999999E-2</v>
      </c>
      <c r="EG15" s="117" t="str">
        <f t="shared" ca="1" si="147"/>
        <v>U</v>
      </c>
      <c r="EH15" s="117" t="str">
        <f t="shared" ca="1" si="147"/>
        <v>S</v>
      </c>
      <c r="EI15" s="117" t="str">
        <f t="shared" ca="1" si="147"/>
        <v>U</v>
      </c>
      <c r="EJ15" s="117" t="str">
        <f t="shared" si="147"/>
        <v>S</v>
      </c>
      <c r="EK15" s="117" t="str">
        <f t="shared" ca="1" si="147"/>
        <v>U</v>
      </c>
      <c r="EL15" s="117" t="str">
        <f t="shared" ref="EL15:HR15" ca="1" si="148">EL$7</f>
        <v>S</v>
      </c>
      <c r="EM15" s="117">
        <f t="shared" si="148"/>
        <v>0.75</v>
      </c>
      <c r="EN15" s="117">
        <f t="shared" si="148"/>
        <v>0.19000000000423975</v>
      </c>
      <c r="EO15" s="117">
        <f t="shared" si="148"/>
        <v>0.62500000000001221</v>
      </c>
      <c r="EP15" s="117">
        <f t="shared" si="148"/>
        <v>1.5000000000000016</v>
      </c>
      <c r="EQ15" s="117">
        <f t="shared" si="148"/>
        <v>1.437500284744256</v>
      </c>
      <c r="ER15" s="117">
        <f t="shared" si="148"/>
        <v>0.5</v>
      </c>
      <c r="ES15" s="117" t="str">
        <f t="shared" si="148"/>
        <v>U</v>
      </c>
      <c r="ET15" s="117" t="str">
        <f t="shared" si="148"/>
        <v>U</v>
      </c>
      <c r="EU15" s="117" t="str">
        <f t="shared" si="148"/>
        <v>U</v>
      </c>
      <c r="EV15" s="117" t="str">
        <f t="shared" si="148"/>
        <v>U</v>
      </c>
      <c r="EW15" s="117" t="str">
        <f t="shared" si="148"/>
        <v>U</v>
      </c>
      <c r="EX15" s="117" t="str">
        <f ca="1">EX$7</f>
        <v>U</v>
      </c>
      <c r="EY15" s="117" t="str">
        <f ca="1">EY$7</f>
        <v>U</v>
      </c>
      <c r="EZ15" s="117" t="str">
        <f ca="1">EZ$7</f>
        <v>U</v>
      </c>
      <c r="FA15" s="117" t="str">
        <f t="shared" ca="1" si="148"/>
        <v>U</v>
      </c>
      <c r="FB15" s="117" t="str">
        <f t="shared" ca="1" si="148"/>
        <v>U</v>
      </c>
      <c r="FC15" s="117" t="str">
        <f t="shared" ca="1" si="148"/>
        <v>U</v>
      </c>
      <c r="FD15" s="117" t="str">
        <f t="shared" ca="1" si="148"/>
        <v>U</v>
      </c>
      <c r="FE15" s="117" t="str">
        <f t="shared" ca="1" si="148"/>
        <v>U</v>
      </c>
      <c r="FF15" s="117" t="str">
        <f t="shared" ca="1" si="148"/>
        <v>U</v>
      </c>
      <c r="FG15" s="117">
        <f t="shared" ca="1" si="148"/>
        <v>48</v>
      </c>
      <c r="FH15" s="117" t="str">
        <f t="shared" si="148"/>
        <v>U</v>
      </c>
      <c r="FI15" s="117" t="str">
        <f t="shared" si="148"/>
        <v>S</v>
      </c>
      <c r="FJ15" s="117" t="str">
        <f t="shared" ca="1" si="148"/>
        <v>U</v>
      </c>
      <c r="FK15" s="117" t="str">
        <f t="shared" ca="1" si="148"/>
        <v>U</v>
      </c>
      <c r="FL15" s="307" t="str">
        <f t="shared" ca="1" si="148"/>
        <v>U</v>
      </c>
      <c r="FM15" s="117" t="str">
        <f ca="1">FM$7</f>
        <v>U</v>
      </c>
      <c r="FN15" s="117" t="str">
        <f ca="1">FN$7</f>
        <v>U</v>
      </c>
      <c r="FO15" s="117">
        <f ca="1">FO$7</f>
        <v>48</v>
      </c>
      <c r="FP15" s="117">
        <f ca="1">FP$7</f>
        <v>16</v>
      </c>
      <c r="FQ15" s="308" t="str">
        <f t="shared" si="148"/>
        <v>U</v>
      </c>
      <c r="FR15" s="117" t="str">
        <f t="shared" si="148"/>
        <v>U</v>
      </c>
      <c r="FS15" s="117" t="str">
        <f>FS$7</f>
        <v>S</v>
      </c>
      <c r="FT15" s="117" t="str">
        <f>FT$7</f>
        <v>S</v>
      </c>
      <c r="FU15" s="117" t="str">
        <f>FU$7</f>
        <v>U</v>
      </c>
      <c r="FV15" s="117" t="str">
        <f t="shared" ref="FV15:FW15" si="149">FV$7</f>
        <v>U</v>
      </c>
      <c r="FW15" s="117" t="str">
        <f t="shared" si="149"/>
        <v>U</v>
      </c>
      <c r="FX15" s="117" t="str">
        <f>FX$7</f>
        <v>U</v>
      </c>
      <c r="FY15" s="117" t="str">
        <f>FY$7</f>
        <v>U</v>
      </c>
      <c r="FZ15" s="117">
        <f t="shared" si="148"/>
        <v>27</v>
      </c>
      <c r="GA15" s="117">
        <f t="shared" si="148"/>
        <v>19</v>
      </c>
      <c r="GB15" s="117">
        <f t="shared" si="148"/>
        <v>10</v>
      </c>
      <c r="GC15" s="117">
        <f t="shared" si="148"/>
        <v>15.000000000000009</v>
      </c>
      <c r="GD15" s="117">
        <f t="shared" si="148"/>
        <v>1</v>
      </c>
      <c r="GE15" s="117">
        <f t="shared" si="148"/>
        <v>12.000000000000007</v>
      </c>
      <c r="GF15" s="117">
        <f t="shared" si="148"/>
        <v>1</v>
      </c>
      <c r="GG15" s="117">
        <f t="shared" si="148"/>
        <v>1</v>
      </c>
      <c r="GH15" s="117">
        <f t="shared" si="148"/>
        <v>12.000010000000007</v>
      </c>
      <c r="GI15" s="117" t="str">
        <f t="shared" ca="1" si="148"/>
        <v>U</v>
      </c>
      <c r="GJ15" s="117" t="str">
        <f t="shared" ca="1" si="148"/>
        <v>S</v>
      </c>
      <c r="GK15" s="117" t="str">
        <f t="shared" ca="1" si="148"/>
        <v>U</v>
      </c>
      <c r="GL15" s="117" t="str">
        <f t="shared" ca="1" si="148"/>
        <v>U</v>
      </c>
      <c r="GM15" s="117" t="str">
        <f t="shared" ca="1" si="148"/>
        <v>U</v>
      </c>
      <c r="GN15" s="117" t="str">
        <f t="shared" ca="1" si="148"/>
        <v>U</v>
      </c>
      <c r="GO15" s="117" t="str">
        <f t="shared" ca="1" si="148"/>
        <v>U</v>
      </c>
      <c r="GP15" s="117">
        <f t="shared" si="148"/>
        <v>1.0000000005663834E-5</v>
      </c>
      <c r="GQ15" s="117">
        <f t="shared" si="148"/>
        <v>5.9999999999999991</v>
      </c>
      <c r="GR15" s="117">
        <f t="shared" si="148"/>
        <v>1</v>
      </c>
      <c r="GS15" s="117">
        <f t="shared" si="148"/>
        <v>10</v>
      </c>
      <c r="GT15" s="117">
        <f t="shared" si="148"/>
        <v>15.000000000000009</v>
      </c>
      <c r="GU15" s="117">
        <f t="shared" si="148"/>
        <v>0</v>
      </c>
      <c r="GV15" s="117">
        <f t="shared" si="148"/>
        <v>6.0000000000000036</v>
      </c>
      <c r="GW15" s="117">
        <f t="shared" si="148"/>
        <v>1</v>
      </c>
      <c r="GX15" s="117">
        <f t="shared" si="148"/>
        <v>1</v>
      </c>
      <c r="GY15" s="117" t="str">
        <f t="shared" ca="1" si="148"/>
        <v>S</v>
      </c>
      <c r="GZ15" s="117">
        <f t="shared" si="148"/>
        <v>1.500010000000001</v>
      </c>
      <c r="HA15" s="117" t="str">
        <f t="shared" ca="1" si="148"/>
        <v>S</v>
      </c>
      <c r="HB15" s="117" t="str">
        <f t="shared" ca="1" si="148"/>
        <v>S</v>
      </c>
      <c r="HC15" s="117" t="str">
        <f t="shared" ca="1" si="148"/>
        <v>S</v>
      </c>
      <c r="HD15" s="117" t="str">
        <f t="shared" ca="1" si="148"/>
        <v>S</v>
      </c>
      <c r="HE15" s="117" t="str">
        <f t="shared" ca="1" si="148"/>
        <v>S</v>
      </c>
      <c r="HF15" s="208" t="str">
        <f>HF$7</f>
        <v>Yes - Right Side</v>
      </c>
      <c r="HG15" s="117" t="str">
        <f t="shared" si="148"/>
        <v>S</v>
      </c>
      <c r="HH15" s="117" t="str">
        <f t="shared" si="148"/>
        <v>U</v>
      </c>
      <c r="HI15" s="117" t="str">
        <f>HI$7</f>
        <v>U</v>
      </c>
      <c r="HJ15" s="117" t="str">
        <f t="shared" si="148"/>
        <v>S</v>
      </c>
      <c r="HK15" s="117" t="str">
        <f t="shared" si="148"/>
        <v>S</v>
      </c>
      <c r="HL15" s="117">
        <f t="shared" ca="1" si="148"/>
        <v>48</v>
      </c>
      <c r="HM15" s="117">
        <f t="shared" si="148"/>
        <v>3.9999999999999998E-6</v>
      </c>
      <c r="HN15" s="117" t="str">
        <f t="shared" si="148"/>
        <v>S</v>
      </c>
      <c r="HO15" s="117">
        <f t="shared" ca="1" si="148"/>
        <v>18</v>
      </c>
      <c r="HP15" s="117">
        <f t="shared" ca="1" si="148"/>
        <v>48.000003999999997</v>
      </c>
      <c r="HQ15" s="117" t="str">
        <f t="shared" si="148"/>
        <v>S</v>
      </c>
      <c r="HR15" s="117" t="str">
        <f t="shared" si="148"/>
        <v>S</v>
      </c>
      <c r="HS15" s="117">
        <f t="shared" ref="HS15:KR15" ca="1" si="150">HS$7</f>
        <v>359.99999600000001</v>
      </c>
      <c r="HT15" s="117">
        <f t="shared" ca="1" si="150"/>
        <v>23.999968000000024</v>
      </c>
      <c r="HU15" s="117">
        <f t="shared" ca="1" si="150"/>
        <v>23.999968000000024</v>
      </c>
      <c r="HV15" s="117">
        <f t="shared" ca="1" si="150"/>
        <v>3.9999373887056513</v>
      </c>
      <c r="HW15" s="117">
        <f t="shared" ca="1" si="150"/>
        <v>24</v>
      </c>
      <c r="HX15" s="117">
        <f t="shared" si="150"/>
        <v>388.8125</v>
      </c>
      <c r="HY15" s="117">
        <f t="shared" ca="1" si="150"/>
        <v>360.00000399999999</v>
      </c>
      <c r="HZ15" s="117">
        <f ca="1">HZ$7</f>
        <v>3.9999373887056513</v>
      </c>
      <c r="IA15" s="117">
        <f ca="1">IA$7</f>
        <v>24.000035999999973</v>
      </c>
      <c r="IB15" s="117" t="str">
        <f t="shared" si="150"/>
        <v>S</v>
      </c>
      <c r="IC15" s="117" t="str">
        <f t="shared" si="150"/>
        <v>S</v>
      </c>
      <c r="ID15" s="117">
        <f t="shared" ca="1" si="150"/>
        <v>27.999905388705674</v>
      </c>
      <c r="IE15" s="117" t="str">
        <f t="shared" si="150"/>
        <v>S</v>
      </c>
      <c r="IF15" s="117" t="str">
        <f t="shared" si="150"/>
        <v>S</v>
      </c>
      <c r="IG15" s="117" t="str">
        <f t="shared" si="150"/>
        <v>S</v>
      </c>
      <c r="IH15" s="117" t="str">
        <f t="shared" si="150"/>
        <v>S</v>
      </c>
      <c r="II15" s="117" t="str">
        <f t="shared" si="150"/>
        <v>S</v>
      </c>
      <c r="IJ15" s="117">
        <f t="shared" ca="1" si="150"/>
        <v>23.999968000000024</v>
      </c>
      <c r="IK15" s="117">
        <f t="shared" ca="1" si="150"/>
        <v>3.9999373887056513</v>
      </c>
      <c r="IL15" s="117" t="str">
        <f t="shared" si="150"/>
        <v>S</v>
      </c>
      <c r="IM15" s="117" t="str">
        <f t="shared" si="150"/>
        <v>S</v>
      </c>
      <c r="IN15" s="117" t="str">
        <f t="shared" si="150"/>
        <v>S</v>
      </c>
      <c r="IO15" s="117" t="str">
        <f t="shared" si="150"/>
        <v>S</v>
      </c>
      <c r="IP15" s="117" t="str">
        <f t="shared" si="150"/>
        <v>S</v>
      </c>
      <c r="IQ15" s="117" t="str">
        <f t="shared" si="150"/>
        <v>S</v>
      </c>
      <c r="IR15" s="117" t="str">
        <f t="shared" si="150"/>
        <v>S</v>
      </c>
      <c r="IS15" s="117" t="str">
        <f t="shared" si="150"/>
        <v>S</v>
      </c>
      <c r="IT15" s="117" t="str">
        <f t="shared" si="150"/>
        <v>S</v>
      </c>
      <c r="IU15" s="117" t="str">
        <f t="shared" si="150"/>
        <v>S</v>
      </c>
      <c r="IV15" s="117" t="str">
        <f t="shared" si="150"/>
        <v>S</v>
      </c>
      <c r="IW15" s="117" t="str">
        <f t="shared" si="150"/>
        <v>S</v>
      </c>
      <c r="IX15" s="117" t="str">
        <f t="shared" si="150"/>
        <v>S</v>
      </c>
      <c r="IY15" s="117">
        <f t="shared" ca="1" si="150"/>
        <v>1</v>
      </c>
      <c r="IZ15" s="117">
        <f t="shared" ca="1" si="150"/>
        <v>3</v>
      </c>
      <c r="JA15" s="117">
        <f t="shared" ca="1" si="150"/>
        <v>9.9999999999999995E-7</v>
      </c>
      <c r="JB15" s="117">
        <f t="shared" ca="1" si="150"/>
        <v>1.0000000000000001E-5</v>
      </c>
      <c r="JC15" s="117">
        <f t="shared" ca="1" si="150"/>
        <v>1.0000000000000001E-5</v>
      </c>
      <c r="JD15" s="117" t="str">
        <f t="shared" ca="1" si="150"/>
        <v>S</v>
      </c>
      <c r="JE15" s="117" t="str">
        <f t="shared" ca="1" si="150"/>
        <v>S</v>
      </c>
      <c r="JF15" s="117" t="str">
        <f t="shared" ca="1" si="150"/>
        <v>S</v>
      </c>
      <c r="JG15" s="117" t="str">
        <f t="shared" ca="1" si="150"/>
        <v>S</v>
      </c>
      <c r="JH15" s="117" t="str">
        <f t="shared" ca="1" si="150"/>
        <v>S</v>
      </c>
      <c r="JI15" s="117">
        <f t="shared" si="150"/>
        <v>0.1046</v>
      </c>
      <c r="JJ15" s="199">
        <f>JJ$7</f>
        <v>0.39290028474001548</v>
      </c>
      <c r="JK15" s="117">
        <f t="shared" si="150"/>
        <v>0.51790028474001548</v>
      </c>
      <c r="JL15" s="117">
        <f t="shared" si="150"/>
        <v>0.5</v>
      </c>
      <c r="JM15" s="117">
        <f t="shared" si="150"/>
        <v>0.375</v>
      </c>
      <c r="JN15" s="117">
        <f t="shared" si="150"/>
        <v>0.375</v>
      </c>
      <c r="JO15" s="117">
        <f t="shared" si="150"/>
        <v>11.25</v>
      </c>
      <c r="JP15" s="117" t="str">
        <f>JP$7</f>
        <v>S</v>
      </c>
      <c r="JQ15" s="117" t="str">
        <f>JQ$7</f>
        <v>S</v>
      </c>
      <c r="JR15" s="117" t="str">
        <f>JR$7</f>
        <v>S</v>
      </c>
      <c r="JS15" s="117" t="str">
        <f t="shared" si="150"/>
        <v>U</v>
      </c>
      <c r="JT15" s="117" t="str">
        <f t="shared" si="150"/>
        <v>U</v>
      </c>
      <c r="JU15" s="117" t="str">
        <f t="shared" si="150"/>
        <v>S</v>
      </c>
      <c r="JV15" s="117" t="str">
        <f t="shared" si="150"/>
        <v>S</v>
      </c>
      <c r="JW15" s="117" t="str">
        <f t="shared" si="150"/>
        <v>S</v>
      </c>
      <c r="JX15" s="117" t="str">
        <f t="shared" si="150"/>
        <v>S</v>
      </c>
      <c r="JY15" s="117" t="str">
        <f t="shared" si="150"/>
        <v>S</v>
      </c>
      <c r="JZ15" s="117" t="str">
        <f t="shared" si="150"/>
        <v>S</v>
      </c>
      <c r="KA15" s="117" t="str">
        <f t="shared" si="150"/>
        <v>S</v>
      </c>
      <c r="KB15" s="117" t="str">
        <f t="shared" si="150"/>
        <v>S</v>
      </c>
      <c r="KC15" s="117" t="str">
        <f t="shared" si="150"/>
        <v>S</v>
      </c>
      <c r="KD15" s="117" t="str">
        <f t="shared" si="150"/>
        <v>S</v>
      </c>
      <c r="KE15" s="117" t="str">
        <f t="shared" si="150"/>
        <v>S</v>
      </c>
      <c r="KF15" s="117" t="str">
        <f t="shared" si="150"/>
        <v>S</v>
      </c>
      <c r="KG15" s="117" t="str">
        <f t="shared" si="150"/>
        <v>S</v>
      </c>
      <c r="KH15" s="117" t="str">
        <f t="shared" si="150"/>
        <v>S</v>
      </c>
      <c r="KI15" s="117" t="str">
        <f t="shared" si="150"/>
        <v>S</v>
      </c>
      <c r="KJ15" s="117" t="str">
        <f t="shared" si="150"/>
        <v>S</v>
      </c>
      <c r="KK15" s="117" t="str">
        <f t="shared" si="150"/>
        <v>S</v>
      </c>
      <c r="KL15" s="117" t="str">
        <f t="shared" si="150"/>
        <v>S</v>
      </c>
      <c r="KM15" s="117" t="str">
        <f t="shared" si="150"/>
        <v>S</v>
      </c>
      <c r="KN15" s="117">
        <f t="shared" si="150"/>
        <v>1.0000000000000001E-5</v>
      </c>
      <c r="KO15" s="117" t="str">
        <f t="shared" si="150"/>
        <v>S</v>
      </c>
      <c r="KP15" s="117" t="str">
        <f t="shared" si="150"/>
        <v>S</v>
      </c>
      <c r="KQ15" s="117" t="str">
        <f t="shared" si="150"/>
        <v>S</v>
      </c>
      <c r="KR15" s="117" t="str">
        <f t="shared" si="150"/>
        <v>S</v>
      </c>
      <c r="KS15" s="117" t="str">
        <f t="shared" ref="KS15:NF15" si="151">KS$7</f>
        <v>S</v>
      </c>
      <c r="KT15" s="117" t="str">
        <f t="shared" si="151"/>
        <v>S</v>
      </c>
      <c r="KU15" s="117" t="str">
        <f t="shared" si="151"/>
        <v>S</v>
      </c>
      <c r="KV15" s="117" t="str">
        <f t="shared" si="151"/>
        <v>S</v>
      </c>
      <c r="KW15" s="117">
        <f t="shared" si="151"/>
        <v>2</v>
      </c>
      <c r="KX15" s="117">
        <f t="shared" si="151"/>
        <v>3.0000000000000004</v>
      </c>
      <c r="KY15" s="117">
        <f t="shared" si="151"/>
        <v>0.25</v>
      </c>
      <c r="KZ15" s="117">
        <f t="shared" si="151"/>
        <v>0.3125</v>
      </c>
      <c r="LA15" s="117">
        <f t="shared" si="151"/>
        <v>0.25</v>
      </c>
      <c r="LB15" s="117">
        <f t="shared" si="151"/>
        <v>2.0000000000000001E-4</v>
      </c>
      <c r="LC15" s="117" t="str">
        <f t="shared" si="151"/>
        <v>S</v>
      </c>
      <c r="LD15" s="117" t="str">
        <f t="shared" si="151"/>
        <v>S</v>
      </c>
      <c r="LE15" s="117" t="str">
        <f t="shared" si="151"/>
        <v>S</v>
      </c>
      <c r="LF15" s="117" t="str">
        <f t="shared" si="151"/>
        <v>S</v>
      </c>
      <c r="LG15" s="117" t="str">
        <f t="shared" si="151"/>
        <v>S</v>
      </c>
      <c r="LH15" s="117" t="str">
        <f t="shared" si="151"/>
        <v>S</v>
      </c>
      <c r="LI15" s="117" t="str">
        <f t="shared" si="151"/>
        <v>S</v>
      </c>
      <c r="LJ15" s="117" t="str">
        <f t="shared" si="151"/>
        <v>S</v>
      </c>
      <c r="LK15" s="117" t="str">
        <f t="shared" si="151"/>
        <v>S</v>
      </c>
      <c r="LL15" s="117" t="str">
        <f t="shared" si="151"/>
        <v>S</v>
      </c>
      <c r="LM15" s="117" t="str">
        <f t="shared" si="151"/>
        <v>S</v>
      </c>
      <c r="LN15" s="117" t="str">
        <f t="shared" si="151"/>
        <v>S</v>
      </c>
      <c r="LO15" s="117" t="str">
        <f t="shared" si="151"/>
        <v>S</v>
      </c>
      <c r="LP15" s="117" t="str">
        <f t="shared" si="151"/>
        <v>S</v>
      </c>
      <c r="LQ15" s="117">
        <f t="shared" si="151"/>
        <v>3.0000000000000004</v>
      </c>
      <c r="LR15" s="117">
        <f t="shared" si="151"/>
        <v>0.16999999999999998</v>
      </c>
      <c r="LS15" s="117">
        <f t="shared" si="151"/>
        <v>1.41</v>
      </c>
      <c r="LT15" s="117">
        <f t="shared" si="151"/>
        <v>0.27300000000000002</v>
      </c>
      <c r="LU15" s="117">
        <f t="shared" si="151"/>
        <v>0.27</v>
      </c>
      <c r="LV15" s="117">
        <f t="shared" si="151"/>
        <v>0.1</v>
      </c>
      <c r="LW15" s="117">
        <f t="shared" si="151"/>
        <v>9.4629999999999992</v>
      </c>
      <c r="LX15" s="117">
        <f t="shared" si="151"/>
        <v>8.4947435596928661E-2</v>
      </c>
      <c r="LY15" s="117">
        <f t="shared" si="151"/>
        <v>4.0999999999999996</v>
      </c>
      <c r="LZ15" s="117" t="str">
        <f t="shared" si="151"/>
        <v>S</v>
      </c>
      <c r="MA15" s="117" t="str">
        <f t="shared" si="151"/>
        <v>S</v>
      </c>
      <c r="MB15" s="117" t="str">
        <f t="shared" si="151"/>
        <v>S</v>
      </c>
      <c r="MC15" s="117" t="str">
        <f t="shared" si="151"/>
        <v>S</v>
      </c>
      <c r="MD15" s="117" t="str">
        <f t="shared" si="151"/>
        <v>S</v>
      </c>
      <c r="ME15" s="117" t="str">
        <f t="shared" si="151"/>
        <v>S</v>
      </c>
      <c r="MF15" s="117" t="str">
        <f t="shared" si="151"/>
        <v>S</v>
      </c>
      <c r="MG15" s="117" t="str">
        <f t="shared" si="151"/>
        <v>S</v>
      </c>
      <c r="MH15" s="117" t="str">
        <f t="shared" si="151"/>
        <v>S</v>
      </c>
      <c r="MI15" s="117" t="str">
        <f t="shared" si="151"/>
        <v>S</v>
      </c>
      <c r="MJ15" s="117" t="str">
        <f>MJ$7</f>
        <v>S</v>
      </c>
      <c r="MK15" s="117" t="str">
        <f>MK$7</f>
        <v>S</v>
      </c>
      <c r="ML15" s="117" t="str">
        <f>ML$7</f>
        <v>S</v>
      </c>
      <c r="MM15" s="117" t="str">
        <f t="shared" si="151"/>
        <v>S</v>
      </c>
      <c r="MN15" s="117" t="str">
        <f t="shared" si="151"/>
        <v>S</v>
      </c>
      <c r="MO15" s="117" t="str">
        <f t="shared" si="151"/>
        <v>S</v>
      </c>
      <c r="MP15" s="117" t="str">
        <f t="shared" si="151"/>
        <v>S</v>
      </c>
      <c r="MQ15" s="117" t="str">
        <f t="shared" si="151"/>
        <v>S</v>
      </c>
      <c r="MR15" s="117" t="str">
        <f t="shared" si="151"/>
        <v>S</v>
      </c>
      <c r="MS15" s="117" t="str">
        <f t="shared" si="151"/>
        <v>S</v>
      </c>
      <c r="MT15" s="117" t="str">
        <f t="shared" si="151"/>
        <v>S</v>
      </c>
      <c r="MU15" s="117" t="str">
        <f t="shared" si="151"/>
        <v>S</v>
      </c>
      <c r="MV15" s="117" t="str">
        <f t="shared" si="151"/>
        <v>S</v>
      </c>
      <c r="MW15" s="117" t="str">
        <f t="shared" si="151"/>
        <v>S</v>
      </c>
      <c r="MX15" s="117" t="str">
        <f t="shared" si="151"/>
        <v>S</v>
      </c>
      <c r="MY15" s="117" t="str">
        <f t="shared" si="151"/>
        <v>S</v>
      </c>
      <c r="MZ15" s="117" t="str">
        <f t="shared" si="151"/>
        <v>S</v>
      </c>
      <c r="NA15" s="117" t="str">
        <f t="shared" si="151"/>
        <v>S</v>
      </c>
      <c r="NB15" s="117" t="str">
        <f t="shared" si="151"/>
        <v>S</v>
      </c>
      <c r="NC15" s="117" t="str">
        <f t="shared" si="151"/>
        <v>S</v>
      </c>
      <c r="ND15" s="117" t="str">
        <f t="shared" si="151"/>
        <v>S</v>
      </c>
      <c r="NE15" s="117">
        <f t="shared" si="151"/>
        <v>0</v>
      </c>
      <c r="NF15" s="117">
        <f t="shared" si="151"/>
        <v>1.0000000000000001E-5</v>
      </c>
      <c r="NG15" s="117" t="str">
        <f t="shared" ref="NG15:QH15" si="152">NG$7</f>
        <v>S</v>
      </c>
      <c r="NH15" s="117" t="str">
        <f t="shared" si="152"/>
        <v>S</v>
      </c>
      <c r="NI15" s="117" t="str">
        <f t="shared" si="152"/>
        <v>S</v>
      </c>
      <c r="NJ15" s="117" t="str">
        <f t="shared" si="152"/>
        <v>S</v>
      </c>
      <c r="NK15" s="117" t="str">
        <f t="shared" si="152"/>
        <v>S</v>
      </c>
      <c r="NL15" s="117" t="str">
        <f t="shared" si="152"/>
        <v>S</v>
      </c>
      <c r="NM15" s="117" t="str">
        <f t="shared" si="152"/>
        <v>S</v>
      </c>
      <c r="NN15" s="117" t="str">
        <f t="shared" si="152"/>
        <v>S</v>
      </c>
      <c r="NO15" s="117">
        <f t="shared" si="152"/>
        <v>4</v>
      </c>
      <c r="NP15" s="117">
        <f t="shared" si="152"/>
        <v>6.0000000000000009</v>
      </c>
      <c r="NQ15" s="117">
        <f t="shared" si="152"/>
        <v>0.625</v>
      </c>
      <c r="NR15" s="117">
        <f t="shared" si="152"/>
        <v>0.5</v>
      </c>
      <c r="NS15" s="117">
        <f t="shared" si="152"/>
        <v>0.5</v>
      </c>
      <c r="NT15" s="117">
        <f t="shared" si="152"/>
        <v>0.12520000000000001</v>
      </c>
      <c r="NU15" s="117" t="str">
        <f t="shared" si="152"/>
        <v>S</v>
      </c>
      <c r="NV15" s="117" t="str">
        <f t="shared" si="152"/>
        <v>S</v>
      </c>
      <c r="NW15" s="117" t="str">
        <f t="shared" si="152"/>
        <v>S</v>
      </c>
      <c r="NX15" s="117" t="str">
        <f t="shared" si="152"/>
        <v>S</v>
      </c>
      <c r="NY15" s="117" t="str">
        <f t="shared" si="152"/>
        <v>S</v>
      </c>
      <c r="NZ15" s="117" t="str">
        <f t="shared" si="152"/>
        <v>S</v>
      </c>
      <c r="OA15" s="117" t="str">
        <f t="shared" si="152"/>
        <v>S</v>
      </c>
      <c r="OB15" s="117" t="str">
        <f t="shared" si="152"/>
        <v>S</v>
      </c>
      <c r="OC15" s="117" t="str">
        <f t="shared" si="152"/>
        <v>S</v>
      </c>
      <c r="OD15" s="117" t="str">
        <f t="shared" si="152"/>
        <v>S</v>
      </c>
      <c r="OE15" s="117">
        <f t="shared" si="152"/>
        <v>3.0000000000000004</v>
      </c>
      <c r="OF15" s="117">
        <f t="shared" si="152"/>
        <v>0.16999999999999998</v>
      </c>
      <c r="OG15" s="117">
        <f t="shared" si="152"/>
        <v>1.41</v>
      </c>
      <c r="OH15" s="117">
        <f t="shared" si="152"/>
        <v>0.27300000000000002</v>
      </c>
      <c r="OI15" s="117">
        <f t="shared" si="152"/>
        <v>0.27</v>
      </c>
      <c r="OJ15" s="117">
        <f t="shared" si="152"/>
        <v>0.1</v>
      </c>
      <c r="OK15" s="117">
        <f t="shared" si="152"/>
        <v>9.4629999999999992</v>
      </c>
      <c r="OL15" s="117">
        <f t="shared" si="152"/>
        <v>8.4947435596928661E-2</v>
      </c>
      <c r="OM15" s="117">
        <f t="shared" si="152"/>
        <v>4.0999999999999996</v>
      </c>
      <c r="ON15" s="117" t="str">
        <f t="shared" si="152"/>
        <v>S</v>
      </c>
      <c r="OO15" s="117" t="str">
        <f t="shared" ca="1" si="152"/>
        <v>S</v>
      </c>
      <c r="OP15" s="117" t="str">
        <f t="shared" ca="1" si="152"/>
        <v>S</v>
      </c>
      <c r="OQ15" s="117" t="str">
        <f t="shared" ca="1" si="152"/>
        <v>S</v>
      </c>
      <c r="OR15" s="117" t="str">
        <f t="shared" ca="1" si="152"/>
        <v>S</v>
      </c>
      <c r="OS15" s="117" t="str">
        <f t="shared" ca="1" si="152"/>
        <v>S</v>
      </c>
      <c r="OT15" s="117" t="str">
        <f t="shared" ca="1" si="152"/>
        <v>S</v>
      </c>
      <c r="OU15" s="117">
        <f t="shared" si="152"/>
        <v>22.352885682963269</v>
      </c>
      <c r="OV15" s="117">
        <f t="shared" si="152"/>
        <v>1.5625</v>
      </c>
      <c r="OW15" s="117">
        <f t="shared" si="152"/>
        <v>2</v>
      </c>
      <c r="OX15" s="117">
        <f t="shared" ca="1" si="152"/>
        <v>1.0000000000000001E-5</v>
      </c>
      <c r="OY15" s="117" t="str">
        <f t="shared" si="152"/>
        <v>S</v>
      </c>
      <c r="OZ15" s="117" t="str">
        <f t="shared" si="152"/>
        <v>S</v>
      </c>
      <c r="PA15" s="117" t="str">
        <f t="shared" si="152"/>
        <v>S</v>
      </c>
      <c r="PB15" s="117" t="str">
        <f t="shared" si="152"/>
        <v>S</v>
      </c>
      <c r="PC15" s="117">
        <f t="shared" si="152"/>
        <v>1.0000006859324079E-6</v>
      </c>
      <c r="PD15" s="117">
        <f t="shared" si="152"/>
        <v>1.0000000313816476E-6</v>
      </c>
      <c r="PE15" s="117">
        <f>PE$7</f>
        <v>9.9999936016657661E-7</v>
      </c>
      <c r="PF15" s="117">
        <f>PF$7</f>
        <v>9.9999997677932015E-7</v>
      </c>
      <c r="PG15" s="117" t="str">
        <f t="shared" si="152"/>
        <v>S</v>
      </c>
      <c r="PH15" s="117" t="str">
        <f t="shared" si="152"/>
        <v>S</v>
      </c>
      <c r="PI15" s="117" t="str">
        <f t="shared" si="152"/>
        <v>S</v>
      </c>
      <c r="PJ15" s="117" t="str">
        <f t="shared" si="152"/>
        <v>S</v>
      </c>
      <c r="PK15" s="117" t="str">
        <f t="shared" si="152"/>
        <v>Teflon, 2.5 x 2.5</v>
      </c>
      <c r="PL15" s="117" t="str">
        <f t="shared" si="152"/>
        <v>Teflon, 2.5 x 2.5</v>
      </c>
      <c r="PM15" s="117">
        <f t="shared" si="152"/>
        <v>0</v>
      </c>
      <c r="PN15" s="117" t="str">
        <f t="shared" si="152"/>
        <v>Teflon, 2.5 x 2.5</v>
      </c>
      <c r="PO15" s="117" t="str">
        <f t="shared" si="152"/>
        <v>Teflon, 2.5 x 2.5</v>
      </c>
      <c r="PP15" s="117">
        <f t="shared" si="152"/>
        <v>0</v>
      </c>
      <c r="PQ15" s="117">
        <f t="shared" si="152"/>
        <v>0.125</v>
      </c>
      <c r="PR15" s="117">
        <f t="shared" si="152"/>
        <v>0.125</v>
      </c>
      <c r="PS15" s="117">
        <f t="shared" si="152"/>
        <v>0.125</v>
      </c>
      <c r="PT15" s="117">
        <f t="shared" si="152"/>
        <v>0.125</v>
      </c>
      <c r="PU15" s="117" t="str">
        <f t="shared" si="152"/>
        <v>S</v>
      </c>
      <c r="PV15" s="117" t="str">
        <f t="shared" si="152"/>
        <v>S</v>
      </c>
      <c r="PW15" s="117" t="str">
        <f t="shared" si="152"/>
        <v>S</v>
      </c>
      <c r="PX15" s="117" t="str">
        <f t="shared" si="152"/>
        <v>S</v>
      </c>
      <c r="PY15" s="117" t="str">
        <f t="shared" si="152"/>
        <v>S</v>
      </c>
      <c r="PZ15" s="117" t="str">
        <f t="shared" si="152"/>
        <v>S</v>
      </c>
      <c r="QA15" s="117" t="str">
        <f t="shared" si="152"/>
        <v>S</v>
      </c>
      <c r="QB15" s="117" t="str">
        <f t="shared" si="152"/>
        <v>S</v>
      </c>
      <c r="QC15" s="117" t="str">
        <f t="shared" si="152"/>
        <v>S</v>
      </c>
      <c r="QD15" s="117" t="str">
        <f t="shared" si="152"/>
        <v>S</v>
      </c>
      <c r="QE15" s="117" t="str">
        <f t="shared" ca="1" si="152"/>
        <v>S</v>
      </c>
      <c r="QF15" s="117">
        <f t="shared" ca="1" si="152"/>
        <v>3</v>
      </c>
      <c r="QG15" s="117">
        <f t="shared" ca="1" si="152"/>
        <v>1.5</v>
      </c>
      <c r="QH15" s="117">
        <f t="shared" ca="1" si="152"/>
        <v>1</v>
      </c>
      <c r="QI15" s="117">
        <f t="shared" ref="QI15:TJ15" ca="1" si="153">QI$7</f>
        <v>3</v>
      </c>
      <c r="QJ15" s="117" t="str">
        <f t="shared" ca="1" si="153"/>
        <v>S</v>
      </c>
      <c r="QK15" s="117" t="str">
        <f t="shared" si="153"/>
        <v>S</v>
      </c>
      <c r="QL15" s="117" t="str">
        <f t="shared" si="153"/>
        <v>S</v>
      </c>
      <c r="QM15" s="117" t="str">
        <f t="shared" si="153"/>
        <v>S</v>
      </c>
      <c r="QN15" s="117" t="str">
        <f t="shared" si="153"/>
        <v>S</v>
      </c>
      <c r="QO15" s="117" t="str">
        <f t="shared" si="153"/>
        <v>S</v>
      </c>
      <c r="QP15" s="117" t="str">
        <f t="shared" si="153"/>
        <v>S</v>
      </c>
      <c r="QQ15" s="117" t="str">
        <f t="shared" si="153"/>
        <v>S</v>
      </c>
      <c r="QR15" s="117" t="str">
        <f t="shared" ca="1" si="153"/>
        <v>S</v>
      </c>
      <c r="QS15" s="117" t="str">
        <f t="shared" ca="1" si="153"/>
        <v>S</v>
      </c>
      <c r="QT15" s="117" t="str">
        <f t="shared" si="153"/>
        <v>S</v>
      </c>
      <c r="QU15" s="117" t="str">
        <f t="shared" si="153"/>
        <v>S</v>
      </c>
      <c r="QV15" s="117" t="str">
        <f t="shared" si="153"/>
        <v>S</v>
      </c>
      <c r="QW15" s="117" t="str">
        <f t="shared" si="153"/>
        <v>S</v>
      </c>
      <c r="QX15" s="117" t="str">
        <f t="shared" si="153"/>
        <v>S</v>
      </c>
      <c r="QY15" s="117" t="str">
        <f t="shared" si="153"/>
        <v>S</v>
      </c>
      <c r="QZ15" s="117" t="str">
        <f t="shared" si="153"/>
        <v>S</v>
      </c>
      <c r="RA15" s="117" t="str">
        <f t="shared" si="153"/>
        <v>S</v>
      </c>
      <c r="RB15" s="117" t="str">
        <f t="shared" si="153"/>
        <v>S</v>
      </c>
      <c r="RC15" s="117" t="str">
        <f t="shared" si="153"/>
        <v>S</v>
      </c>
      <c r="RD15" s="117">
        <f t="shared" si="153"/>
        <v>2</v>
      </c>
      <c r="RE15" s="117">
        <f t="shared" si="153"/>
        <v>3.0000000000000004</v>
      </c>
      <c r="RF15" s="117">
        <f t="shared" si="153"/>
        <v>0.18750000000000003</v>
      </c>
      <c r="RG15" s="117">
        <f t="shared" si="153"/>
        <v>0.3125</v>
      </c>
      <c r="RH15" s="117">
        <f t="shared" si="153"/>
        <v>0.18750000000000003</v>
      </c>
      <c r="RI15" s="117">
        <f t="shared" si="153"/>
        <v>2.0000000000000001E-4</v>
      </c>
      <c r="RJ15" s="117" t="str">
        <f t="shared" si="153"/>
        <v>S</v>
      </c>
      <c r="RK15" s="117" t="str">
        <f t="shared" si="153"/>
        <v>S</v>
      </c>
      <c r="RL15" s="117" t="str">
        <f t="shared" si="153"/>
        <v>S</v>
      </c>
      <c r="RM15" s="117" t="str">
        <f t="shared" si="153"/>
        <v>S</v>
      </c>
      <c r="RN15" s="117" t="str">
        <f t="shared" si="153"/>
        <v>S</v>
      </c>
      <c r="RO15" s="117" t="str">
        <f t="shared" si="153"/>
        <v>S</v>
      </c>
      <c r="RP15" s="117" t="str">
        <f t="shared" si="153"/>
        <v>S</v>
      </c>
      <c r="RQ15" s="117" t="str">
        <f t="shared" si="153"/>
        <v>S</v>
      </c>
      <c r="RR15" s="117" t="str">
        <f t="shared" si="153"/>
        <v>S</v>
      </c>
      <c r="RS15" s="117" t="str">
        <f t="shared" si="153"/>
        <v>S</v>
      </c>
      <c r="RT15" s="117" t="str">
        <f t="shared" si="153"/>
        <v>S</v>
      </c>
      <c r="RU15" s="117" t="str">
        <f t="shared" si="153"/>
        <v>S</v>
      </c>
      <c r="RV15" s="117" t="str">
        <f t="shared" si="153"/>
        <v>S</v>
      </c>
      <c r="RW15" s="117" t="str">
        <f t="shared" si="153"/>
        <v>S</v>
      </c>
      <c r="RX15" s="117" t="str">
        <f t="shared" si="153"/>
        <v>S</v>
      </c>
      <c r="RY15" s="117" t="str">
        <f t="shared" si="153"/>
        <v>S</v>
      </c>
      <c r="RZ15" s="117" t="str">
        <f t="shared" si="153"/>
        <v>S</v>
      </c>
      <c r="SA15" s="117">
        <f t="shared" si="153"/>
        <v>3.0000000000000004</v>
      </c>
      <c r="SB15" s="117">
        <f t="shared" si="153"/>
        <v>0.16999999999999998</v>
      </c>
      <c r="SC15" s="117">
        <f t="shared" si="153"/>
        <v>1.41</v>
      </c>
      <c r="SD15" s="117">
        <f t="shared" si="153"/>
        <v>0.27300000000000002</v>
      </c>
      <c r="SE15" s="117">
        <f t="shared" si="153"/>
        <v>0.27</v>
      </c>
      <c r="SF15" s="117">
        <f t="shared" si="153"/>
        <v>0.1</v>
      </c>
      <c r="SG15" s="117">
        <f t="shared" si="153"/>
        <v>9.4629999999999992</v>
      </c>
      <c r="SH15" s="117">
        <f t="shared" si="153"/>
        <v>8.4947435596928661E-2</v>
      </c>
      <c r="SI15" s="117">
        <f t="shared" si="153"/>
        <v>4.0999999999999996</v>
      </c>
      <c r="SJ15" s="117" t="str">
        <f t="shared" si="153"/>
        <v>S</v>
      </c>
      <c r="SK15" s="117" t="str">
        <f t="shared" si="153"/>
        <v>S</v>
      </c>
      <c r="SL15" s="117" t="str">
        <f t="shared" si="153"/>
        <v>S</v>
      </c>
      <c r="SM15" s="117" t="str">
        <f t="shared" si="153"/>
        <v>S</v>
      </c>
      <c r="SN15" s="117" t="str">
        <f t="shared" si="153"/>
        <v>S</v>
      </c>
      <c r="SO15" s="117" t="str">
        <f t="shared" si="153"/>
        <v>S</v>
      </c>
      <c r="SP15" s="117" t="str">
        <f t="shared" si="153"/>
        <v>S</v>
      </c>
      <c r="SQ15" s="117" t="str">
        <f t="shared" si="153"/>
        <v>S</v>
      </c>
      <c r="SR15" s="117" t="str">
        <f>SR$7</f>
        <v>S</v>
      </c>
      <c r="SS15" s="117">
        <f t="shared" ref="SS15:SV15" si="154">SS$7</f>
        <v>1.5000000000000002</v>
      </c>
      <c r="ST15" s="117">
        <f t="shared" si="154"/>
        <v>1.5000000000000002</v>
      </c>
      <c r="SU15" s="117">
        <f t="shared" si="154"/>
        <v>0.5</v>
      </c>
      <c r="SV15" s="117">
        <f t="shared" si="154"/>
        <v>0.5</v>
      </c>
      <c r="SW15" s="117" t="str">
        <f t="shared" si="153"/>
        <v>S</v>
      </c>
      <c r="SX15" s="117" t="str">
        <f t="shared" si="153"/>
        <v>S</v>
      </c>
      <c r="SY15" s="117" t="str">
        <f t="shared" si="153"/>
        <v>S</v>
      </c>
      <c r="SZ15" s="117" t="str">
        <f t="shared" si="153"/>
        <v>S</v>
      </c>
      <c r="TA15" s="117" t="str">
        <f t="shared" si="153"/>
        <v>S</v>
      </c>
      <c r="TB15" s="117" t="str">
        <f t="shared" si="153"/>
        <v>S</v>
      </c>
      <c r="TC15" s="117" t="str">
        <f t="shared" si="153"/>
        <v>S</v>
      </c>
      <c r="TD15" s="117" t="str">
        <f t="shared" si="153"/>
        <v>S</v>
      </c>
      <c r="TE15" s="117" t="str">
        <f t="shared" si="153"/>
        <v>S</v>
      </c>
      <c r="TF15" s="117">
        <f t="shared" si="153"/>
        <v>3</v>
      </c>
      <c r="TG15" s="117">
        <f t="shared" si="153"/>
        <v>5.7</v>
      </c>
      <c r="TH15" s="117">
        <f t="shared" si="153"/>
        <v>3.0000000000000004</v>
      </c>
      <c r="TI15" s="117">
        <f t="shared" si="153"/>
        <v>0.16999999999999998</v>
      </c>
      <c r="TJ15" s="117">
        <f t="shared" si="153"/>
        <v>2.33</v>
      </c>
      <c r="TK15" s="117">
        <f t="shared" ref="TK15:VT15" si="155">TK$7</f>
        <v>0.26</v>
      </c>
      <c r="TL15" s="117">
        <f t="shared" si="155"/>
        <v>0.27</v>
      </c>
      <c r="TM15" s="117">
        <f t="shared" si="155"/>
        <v>0.1</v>
      </c>
      <c r="TN15" s="117">
        <f t="shared" si="155"/>
        <v>9.4630000000000312</v>
      </c>
      <c r="TO15" s="117">
        <f t="shared" si="155"/>
        <v>1.8425437273624747</v>
      </c>
      <c r="TP15" s="117" t="str">
        <f t="shared" si="155"/>
        <v>S</v>
      </c>
      <c r="TQ15" s="117" t="str">
        <f t="shared" si="155"/>
        <v>S</v>
      </c>
      <c r="TR15" s="117" t="str">
        <f t="shared" si="155"/>
        <v>S</v>
      </c>
      <c r="TS15" s="117" t="str">
        <f t="shared" si="155"/>
        <v>S</v>
      </c>
      <c r="TT15" s="117" t="str">
        <f t="shared" si="155"/>
        <v>S</v>
      </c>
      <c r="TU15" s="117" t="str">
        <f t="shared" si="155"/>
        <v>S</v>
      </c>
      <c r="TV15" s="117" t="str">
        <f t="shared" si="155"/>
        <v>S</v>
      </c>
      <c r="TW15" s="117" t="str">
        <f t="shared" si="155"/>
        <v>S</v>
      </c>
      <c r="TX15" s="117" t="str">
        <f t="shared" si="155"/>
        <v>S</v>
      </c>
      <c r="TY15" s="117">
        <f t="shared" si="155"/>
        <v>4</v>
      </c>
      <c r="TZ15" s="117">
        <f t="shared" si="155"/>
        <v>13</v>
      </c>
      <c r="UA15" s="117">
        <f t="shared" si="155"/>
        <v>4.16</v>
      </c>
      <c r="UB15" s="117">
        <f t="shared" si="155"/>
        <v>0.28000000000000003</v>
      </c>
      <c r="UC15" s="117">
        <f t="shared" si="155"/>
        <v>4.0599999999999996</v>
      </c>
      <c r="UD15" s="117">
        <f t="shared" si="155"/>
        <v>0.34499999999999992</v>
      </c>
      <c r="UE15" s="117">
        <f t="shared" si="155"/>
        <v>0.25</v>
      </c>
      <c r="UF15" s="117" t="str">
        <f t="shared" si="155"/>
        <v>S</v>
      </c>
      <c r="UG15" s="117" t="str">
        <f t="shared" si="155"/>
        <v>S</v>
      </c>
      <c r="UH15" s="117" t="str">
        <f t="shared" si="155"/>
        <v>S</v>
      </c>
      <c r="UI15" s="117" t="str">
        <f t="shared" si="155"/>
        <v>S</v>
      </c>
      <c r="UJ15" s="117" t="s">
        <v>1205</v>
      </c>
      <c r="UK15" s="117" t="str">
        <f t="shared" si="155"/>
        <v>U</v>
      </c>
      <c r="UL15" s="117" t="str">
        <f t="shared" si="155"/>
        <v>U</v>
      </c>
      <c r="UM15" s="117" t="str">
        <f t="shared" si="155"/>
        <v>S</v>
      </c>
      <c r="UN15" s="117" t="str">
        <f t="shared" si="155"/>
        <v>S</v>
      </c>
      <c r="UO15" s="117" t="str">
        <f t="shared" si="155"/>
        <v>S</v>
      </c>
      <c r="UP15" s="117" t="str">
        <f t="shared" si="155"/>
        <v>S</v>
      </c>
      <c r="UQ15" s="117" t="str">
        <f t="shared" si="155"/>
        <v>S</v>
      </c>
      <c r="UR15" s="117">
        <f t="shared" si="155"/>
        <v>1</v>
      </c>
      <c r="US15" s="117">
        <f t="shared" si="155"/>
        <v>2</v>
      </c>
      <c r="UT15" s="117">
        <f t="shared" si="155"/>
        <v>500</v>
      </c>
      <c r="UU15" s="117" t="str">
        <f t="shared" si="155"/>
        <v>S</v>
      </c>
      <c r="UV15" s="117" t="str">
        <f t="shared" si="155"/>
        <v>S</v>
      </c>
      <c r="UW15" s="117" t="str">
        <f t="shared" si="155"/>
        <v>S</v>
      </c>
      <c r="UX15" s="117" t="str">
        <f t="shared" si="155"/>
        <v>S</v>
      </c>
      <c r="UY15" s="117" t="str">
        <f t="shared" si="155"/>
        <v>S</v>
      </c>
      <c r="UZ15" s="117" t="str">
        <f t="shared" si="155"/>
        <v>S</v>
      </c>
      <c r="VA15" s="117" t="str">
        <f t="shared" si="155"/>
        <v>U</v>
      </c>
      <c r="VB15" s="117" t="str">
        <f t="shared" si="155"/>
        <v>S</v>
      </c>
      <c r="VC15" s="117" t="str">
        <f t="shared" si="155"/>
        <v>S</v>
      </c>
      <c r="VD15" s="117" t="str">
        <f t="shared" si="155"/>
        <v>S</v>
      </c>
      <c r="VE15" s="117" t="str">
        <f t="shared" si="155"/>
        <v>S</v>
      </c>
      <c r="VF15" s="117" t="str">
        <f t="shared" si="155"/>
        <v>S</v>
      </c>
      <c r="VG15" s="117" t="str">
        <f t="shared" si="155"/>
        <v>S</v>
      </c>
      <c r="VH15" s="117" t="str">
        <f t="shared" si="155"/>
        <v>S</v>
      </c>
      <c r="VI15" s="117" t="str">
        <f>VI$7</f>
        <v>3</v>
      </c>
      <c r="VJ15" s="117" t="str">
        <f t="shared" si="155"/>
        <v>.3</v>
      </c>
      <c r="VK15" s="117">
        <f t="shared" si="155"/>
        <v>3</v>
      </c>
      <c r="VL15" s="117" t="str">
        <f t="shared" si="155"/>
        <v>3-SEC</v>
      </c>
      <c r="VM15" s="117" t="str">
        <f t="shared" si="155"/>
        <v>3-SFR-B</v>
      </c>
      <c r="VN15" s="117" t="str">
        <f t="shared" si="155"/>
        <v>SIDE FRAME ASSEMBLY, SIDE B</v>
      </c>
      <c r="VO15" s="117" t="str">
        <f t="shared" si="155"/>
        <v>000000</v>
      </c>
      <c r="VP15" s="410">
        <f t="shared" si="155"/>
        <v>5</v>
      </c>
      <c r="VQ15" s="410">
        <f t="shared" si="155"/>
        <v>5</v>
      </c>
      <c r="VR15" s="410">
        <f t="shared" si="155"/>
        <v>0.125</v>
      </c>
      <c r="VS15" s="410">
        <f t="shared" si="155"/>
        <v>1.125</v>
      </c>
      <c r="VT15" s="410">
        <f t="shared" si="155"/>
        <v>3.5</v>
      </c>
      <c r="VX15" s="117" t="str">
        <f>VX$7</f>
        <v>3-SEC</v>
      </c>
    </row>
    <row r="16" spans="1:597" ht="14.4" hidden="1" outlineLevel="1" x14ac:dyDescent="0.3">
      <c r="A16" s="123" t="str">
        <f t="shared" si="145"/>
        <v>$User_Notes</v>
      </c>
      <c r="B16" s="117" t="str">
        <f>B$8</f>
        <v>AXC</v>
      </c>
      <c r="C16" s="117">
        <f t="shared" ref="C16:BT16" si="156">C$8</f>
        <v>65</v>
      </c>
      <c r="D16" s="117">
        <f t="shared" si="156"/>
        <v>780</v>
      </c>
      <c r="E16" s="117">
        <f t="shared" si="156"/>
        <v>0.125</v>
      </c>
      <c r="F16" s="117">
        <f t="shared" si="156"/>
        <v>6.25E-2</v>
      </c>
      <c r="G16" s="117">
        <f t="shared" si="156"/>
        <v>777.625</v>
      </c>
      <c r="H16" s="117" t="str">
        <f t="shared" si="156"/>
        <v>MC12x10.6</v>
      </c>
      <c r="I16" s="117" t="str">
        <f t="shared" si="156"/>
        <v>AXC materials:SA-36</v>
      </c>
      <c r="J16" s="117" t="str">
        <f t="shared" si="156"/>
        <v>Galvanized</v>
      </c>
      <c r="K16" s="117" t="str">
        <f t="shared" si="156"/>
        <v>Bolt on Angle</v>
      </c>
      <c r="L16" s="117" t="str">
        <f t="shared" si="156"/>
        <v>EH\VV\VI_</v>
      </c>
      <c r="M16" s="117">
        <f t="shared" ca="1" si="156"/>
        <v>16</v>
      </c>
      <c r="N16" s="117">
        <f t="shared" ca="1" si="156"/>
        <v>48</v>
      </c>
      <c r="O16" s="117">
        <f t="shared" ca="1" si="156"/>
        <v>30</v>
      </c>
      <c r="P16" s="117" t="str">
        <f t="shared" si="156"/>
        <v>Yes - Rear HDR</v>
      </c>
      <c r="Q16" s="117">
        <f t="shared" si="156"/>
        <v>3.9999333887056512</v>
      </c>
      <c r="R16" s="117" t="str">
        <f t="shared" si="156"/>
        <v>Angle</v>
      </c>
      <c r="S16" s="117" t="str">
        <f t="shared" si="156"/>
        <v>L2x3x0.1875</v>
      </c>
      <c r="T16" s="117" t="str">
        <f t="shared" si="156"/>
        <v>Weld On</v>
      </c>
      <c r="U16" s="117" t="str">
        <f>U$8</f>
        <v>Yes</v>
      </c>
      <c r="V16" s="117" t="str">
        <f t="shared" si="156"/>
        <v>Yes</v>
      </c>
      <c r="W16" s="117">
        <f t="shared" si="156"/>
        <v>15</v>
      </c>
      <c r="X16" s="117">
        <f t="shared" si="156"/>
        <v>0</v>
      </c>
      <c r="Y16" s="117">
        <f>Y$8</f>
        <v>0</v>
      </c>
      <c r="Z16" s="117" t="str">
        <f>Z$8</f>
        <v>STD</v>
      </c>
      <c r="AA16" s="117" t="str">
        <f t="shared" si="156"/>
        <v>No</v>
      </c>
      <c r="AB16" s="117" t="str">
        <f>AB$8</f>
        <v>OFF</v>
      </c>
      <c r="AC16" s="117" t="str">
        <f t="shared" si="156"/>
        <v>Yes</v>
      </c>
      <c r="AD16" s="117" t="str">
        <f>AD$8</f>
        <v>AXC Weld On</v>
      </c>
      <c r="AE16" s="117" t="str">
        <f>AE$8</f>
        <v>Outside</v>
      </c>
      <c r="AF16" s="117" t="str">
        <f t="shared" si="156"/>
        <v>0.5"</v>
      </c>
      <c r="AG16" s="117">
        <f t="shared" si="156"/>
        <v>278.125</v>
      </c>
      <c r="AH16" s="117">
        <f t="shared" si="156"/>
        <v>249.75</v>
      </c>
      <c r="AI16" s="117">
        <f t="shared" si="156"/>
        <v>0.5</v>
      </c>
      <c r="AJ16" s="117">
        <f t="shared" si="156"/>
        <v>4</v>
      </c>
      <c r="AK16" s="117">
        <f t="shared" si="156"/>
        <v>500</v>
      </c>
      <c r="AL16" s="117" t="str">
        <f t="shared" si="156"/>
        <v>None</v>
      </c>
      <c r="AM16" s="117" t="str">
        <f t="shared" si="156"/>
        <v>Pick from List</v>
      </c>
      <c r="AN16" s="117" t="str">
        <f t="shared" si="156"/>
        <v>None</v>
      </c>
      <c r="AO16" s="117" t="str">
        <f t="shared" si="156"/>
        <v>None</v>
      </c>
      <c r="AP16" s="117" t="str">
        <f t="shared" si="156"/>
        <v>None</v>
      </c>
      <c r="AQ16" s="117" t="str">
        <f t="shared" si="156"/>
        <v>L4x6x0.625</v>
      </c>
      <c r="AR16" s="117" t="str">
        <f t="shared" si="156"/>
        <v>Bolt on</v>
      </c>
      <c r="AS16" s="117" t="str">
        <f t="shared" si="156"/>
        <v>Yes</v>
      </c>
      <c r="AT16" s="117" t="str">
        <f t="shared" ca="1" si="156"/>
        <v>Bolt On</v>
      </c>
      <c r="AU16" s="117">
        <f t="shared" ca="1" si="156"/>
        <v>16</v>
      </c>
      <c r="AV16" s="117">
        <f t="shared" si="156"/>
        <v>0</v>
      </c>
      <c r="AW16" s="117">
        <f t="shared" si="156"/>
        <v>0</v>
      </c>
      <c r="AX16" s="117">
        <f t="shared" si="156"/>
        <v>6.25E-2</v>
      </c>
      <c r="AY16" s="117">
        <f t="shared" si="156"/>
        <v>21.915385672961552</v>
      </c>
      <c r="AZ16" s="117">
        <f t="shared" si="156"/>
        <v>1.5625</v>
      </c>
      <c r="BA16" s="117">
        <f t="shared" si="156"/>
        <v>2</v>
      </c>
      <c r="BB16" s="117">
        <f t="shared" si="156"/>
        <v>21.915385672961648</v>
      </c>
      <c r="BC16" s="117">
        <f t="shared" si="156"/>
        <v>1.5625</v>
      </c>
      <c r="BD16" s="117">
        <f t="shared" si="156"/>
        <v>2</v>
      </c>
      <c r="BE16" s="117">
        <f t="shared" si="156"/>
        <v>0.6250000000043382</v>
      </c>
      <c r="BF16" s="117">
        <f t="shared" si="156"/>
        <v>1.0937500000075919</v>
      </c>
      <c r="BG16" s="117">
        <f t="shared" si="156"/>
        <v>2</v>
      </c>
      <c r="BH16" s="117">
        <f t="shared" si="156"/>
        <v>0.62500000000430156</v>
      </c>
      <c r="BI16" s="117">
        <f t="shared" si="156"/>
        <v>1.0937500000075278</v>
      </c>
      <c r="BJ16" s="117">
        <f t="shared" si="156"/>
        <v>2</v>
      </c>
      <c r="BK16" s="117">
        <f t="shared" si="156"/>
        <v>1.9999999999999956</v>
      </c>
      <c r="BL16" s="117" t="str">
        <f t="shared" si="156"/>
        <v>Weld Bar</v>
      </c>
      <c r="BM16" s="117">
        <f t="shared" si="156"/>
        <v>0.99999999999999589</v>
      </c>
      <c r="BN16" s="117" t="str">
        <f t="shared" si="156"/>
        <v>Float Bar</v>
      </c>
      <c r="BO16" s="117">
        <f t="shared" si="156"/>
        <v>5</v>
      </c>
      <c r="BP16" s="117" t="str">
        <f t="shared" si="156"/>
        <v>MC12x10.6</v>
      </c>
      <c r="BQ16" s="117" t="str">
        <f t="shared" si="156"/>
        <v>U</v>
      </c>
      <c r="BR16" s="117" t="str">
        <f t="shared" si="156"/>
        <v>S</v>
      </c>
      <c r="BS16" s="117">
        <f t="shared" si="156"/>
        <v>31.374999284744241</v>
      </c>
      <c r="BT16" s="117">
        <f t="shared" si="156"/>
        <v>29.000000000000004</v>
      </c>
      <c r="BU16" s="117">
        <f t="shared" ref="BU16:EK16" si="157">BU$8</f>
        <v>3.9999999999999969</v>
      </c>
      <c r="BV16" s="117">
        <f t="shared" si="157"/>
        <v>0.25000000000000089</v>
      </c>
      <c r="BW16" s="117">
        <f t="shared" si="157"/>
        <v>9.9999999999269527E-6</v>
      </c>
      <c r="BX16" s="117">
        <f t="shared" si="157"/>
        <v>1</v>
      </c>
      <c r="BY16" s="117">
        <f t="shared" si="157"/>
        <v>1</v>
      </c>
      <c r="BZ16" s="117">
        <f t="shared" si="157"/>
        <v>6.2721143170279987</v>
      </c>
      <c r="CA16" s="117">
        <f t="shared" si="157"/>
        <v>360</v>
      </c>
      <c r="CB16" s="117">
        <f t="shared" si="157"/>
        <v>1.0000000000001172</v>
      </c>
      <c r="CC16" s="117">
        <f t="shared" si="157"/>
        <v>0.99999999999983746</v>
      </c>
      <c r="CD16" s="117">
        <f t="shared" si="157"/>
        <v>0</v>
      </c>
      <c r="CE16" s="117">
        <f t="shared" si="157"/>
        <v>1.5000000000000009</v>
      </c>
      <c r="CF16" s="117">
        <f t="shared" si="157"/>
        <v>1.2990381056766582</v>
      </c>
      <c r="CG16" s="117">
        <f t="shared" si="157"/>
        <v>9.9999999969219204E-6</v>
      </c>
      <c r="CH16" s="117" t="str">
        <f t="shared" si="157"/>
        <v>No</v>
      </c>
      <c r="CI16" s="117" t="str">
        <f t="shared" si="157"/>
        <v>U</v>
      </c>
      <c r="CJ16" s="117">
        <f t="shared" si="157"/>
        <v>10.6</v>
      </c>
      <c r="CK16" s="117">
        <f t="shared" si="157"/>
        <v>12.000000000000002</v>
      </c>
      <c r="CL16" s="117">
        <f t="shared" si="157"/>
        <v>0.18999999999999997</v>
      </c>
      <c r="CM16" s="117">
        <f t="shared" si="157"/>
        <v>1.5000000000000002</v>
      </c>
      <c r="CN16" s="117">
        <f t="shared" si="157"/>
        <v>0.30899999999999994</v>
      </c>
      <c r="CO16" s="117">
        <f t="shared" si="157"/>
        <v>0.25</v>
      </c>
      <c r="CP16" s="117">
        <f t="shared" si="157"/>
        <v>0.13</v>
      </c>
      <c r="CQ16" s="117">
        <f t="shared" si="157"/>
        <v>9.4629999999999992</v>
      </c>
      <c r="CR16" s="117">
        <f t="shared" si="157"/>
        <v>8.9700168853607709E-2</v>
      </c>
      <c r="CS16" s="117">
        <f t="shared" si="157"/>
        <v>10.740092274765473</v>
      </c>
      <c r="CT16" s="117">
        <f t="shared" si="157"/>
        <v>0.62995386261726427</v>
      </c>
      <c r="CU16" s="117" t="str">
        <f t="shared" si="157"/>
        <v>S</v>
      </c>
      <c r="CV16" s="117">
        <f t="shared" si="157"/>
        <v>12.000000000000002</v>
      </c>
      <c r="CW16" s="117">
        <f t="shared" si="157"/>
        <v>0.28199999999999997</v>
      </c>
      <c r="CX16" s="117">
        <f t="shared" si="157"/>
        <v>2.9419999999999997</v>
      </c>
      <c r="CY16" s="117">
        <f t="shared" si="157"/>
        <v>0.501</v>
      </c>
      <c r="CZ16" s="117">
        <f t="shared" si="157"/>
        <v>0.37999999999999995</v>
      </c>
      <c r="DA16" s="117">
        <f t="shared" si="157"/>
        <v>0.16999999999999998</v>
      </c>
      <c r="DB16" s="117">
        <f t="shared" si="157"/>
        <v>9.4629999999999992</v>
      </c>
      <c r="DC16" s="117">
        <f t="shared" si="157"/>
        <v>0.13530728481002544</v>
      </c>
      <c r="DD16" s="117">
        <f t="shared" si="157"/>
        <v>20.7</v>
      </c>
      <c r="DE16" s="117" t="str">
        <f t="shared" si="157"/>
        <v>S</v>
      </c>
      <c r="DF16" s="117" t="str">
        <f t="shared" si="157"/>
        <v>S</v>
      </c>
      <c r="DG16" s="117" t="str">
        <f t="shared" si="157"/>
        <v>S</v>
      </c>
      <c r="DH16" s="117" t="str">
        <f t="shared" si="157"/>
        <v>S</v>
      </c>
      <c r="DI16" s="117" t="str">
        <f t="shared" si="157"/>
        <v>S</v>
      </c>
      <c r="DJ16" s="117" t="str">
        <f t="shared" si="157"/>
        <v>S</v>
      </c>
      <c r="DK16" s="117" t="str">
        <f t="shared" si="157"/>
        <v>S</v>
      </c>
      <c r="DL16" s="117" t="str">
        <f t="shared" si="157"/>
        <v>S</v>
      </c>
      <c r="DM16" s="117" t="str">
        <f t="shared" si="157"/>
        <v>U</v>
      </c>
      <c r="DN16" s="117" t="str">
        <f t="shared" si="157"/>
        <v>U</v>
      </c>
      <c r="DO16" s="117" t="str">
        <f t="shared" si="157"/>
        <v>U</v>
      </c>
      <c r="DP16" s="117" t="str">
        <f t="shared" si="157"/>
        <v>U</v>
      </c>
      <c r="DQ16" s="117" t="str">
        <f t="shared" si="157"/>
        <v>S</v>
      </c>
      <c r="DR16" s="117" t="str">
        <f t="shared" si="157"/>
        <v>S</v>
      </c>
      <c r="DS16" s="117" t="str">
        <f t="shared" si="157"/>
        <v>S</v>
      </c>
      <c r="DT16" s="117" t="str">
        <f t="shared" si="157"/>
        <v>S</v>
      </c>
      <c r="DU16" s="117" t="str">
        <f t="shared" si="157"/>
        <v>S</v>
      </c>
      <c r="DV16" s="117" t="str">
        <f t="shared" si="157"/>
        <v>S</v>
      </c>
      <c r="DW16" s="117" t="str">
        <f t="shared" si="157"/>
        <v>S</v>
      </c>
      <c r="DX16" s="117" t="str">
        <f t="shared" si="157"/>
        <v>S</v>
      </c>
      <c r="DY16" s="117">
        <f t="shared" si="157"/>
        <v>29</v>
      </c>
      <c r="DZ16" s="117">
        <f t="shared" si="157"/>
        <v>0.25</v>
      </c>
      <c r="EA16" s="117">
        <f t="shared" si="157"/>
        <v>0.25</v>
      </c>
      <c r="EB16" s="117">
        <f t="shared" si="157"/>
        <v>3.9999999999999969</v>
      </c>
      <c r="EC16" s="117">
        <f t="shared" si="157"/>
        <v>1E-4</v>
      </c>
      <c r="ED16" s="117">
        <f t="shared" si="157"/>
        <v>1E-4</v>
      </c>
      <c r="EE16" s="117">
        <f t="shared" si="157"/>
        <v>0.25000000000000089</v>
      </c>
      <c r="EF16" s="117">
        <f t="shared" si="157"/>
        <v>1.5599999999999999E-2</v>
      </c>
      <c r="EG16" s="117" t="str">
        <f t="shared" ca="1" si="157"/>
        <v>U</v>
      </c>
      <c r="EH16" s="117" t="str">
        <f t="shared" ca="1" si="157"/>
        <v>S</v>
      </c>
      <c r="EI16" s="117" t="str">
        <f t="shared" ca="1" si="157"/>
        <v>U</v>
      </c>
      <c r="EJ16" s="117" t="str">
        <f t="shared" si="157"/>
        <v>S</v>
      </c>
      <c r="EK16" s="117" t="str">
        <f t="shared" ca="1" si="157"/>
        <v>U</v>
      </c>
      <c r="EL16" s="117" t="str">
        <f t="shared" ref="EL16:HR16" ca="1" si="158">EL$8</f>
        <v>S</v>
      </c>
      <c r="EM16" s="117">
        <f t="shared" si="158"/>
        <v>0.75</v>
      </c>
      <c r="EN16" s="117">
        <f t="shared" si="158"/>
        <v>0.19000000000423975</v>
      </c>
      <c r="EO16" s="117">
        <f t="shared" si="158"/>
        <v>0.62500000000001221</v>
      </c>
      <c r="EP16" s="117">
        <f t="shared" si="158"/>
        <v>1.5000000000000016</v>
      </c>
      <c r="EQ16" s="117">
        <f t="shared" si="158"/>
        <v>1.437500284744256</v>
      </c>
      <c r="ER16" s="117">
        <f t="shared" si="158"/>
        <v>0.5</v>
      </c>
      <c r="ES16" s="117" t="str">
        <f t="shared" si="158"/>
        <v>U</v>
      </c>
      <c r="ET16" s="117" t="str">
        <f t="shared" si="158"/>
        <v>U</v>
      </c>
      <c r="EU16" s="117" t="str">
        <f t="shared" si="158"/>
        <v>U</v>
      </c>
      <c r="EV16" s="117" t="str">
        <f t="shared" si="158"/>
        <v>U</v>
      </c>
      <c r="EW16" s="117" t="str">
        <f t="shared" si="158"/>
        <v>U</v>
      </c>
      <c r="EX16" s="117" t="str">
        <f ca="1">EX$8</f>
        <v>U</v>
      </c>
      <c r="EY16" s="117" t="str">
        <f ca="1">EY$8</f>
        <v>U</v>
      </c>
      <c r="EZ16" s="117" t="str">
        <f ca="1">EZ$8</f>
        <v>U</v>
      </c>
      <c r="FA16" s="117" t="str">
        <f t="shared" ca="1" si="158"/>
        <v>U</v>
      </c>
      <c r="FB16" s="117" t="str">
        <f t="shared" ca="1" si="158"/>
        <v>U</v>
      </c>
      <c r="FC16" s="117" t="str">
        <f t="shared" ca="1" si="158"/>
        <v>U</v>
      </c>
      <c r="FD16" s="117" t="str">
        <f t="shared" ca="1" si="158"/>
        <v>U</v>
      </c>
      <c r="FE16" s="117" t="str">
        <f t="shared" ca="1" si="158"/>
        <v>U</v>
      </c>
      <c r="FF16" s="117" t="str">
        <f t="shared" ca="1" si="158"/>
        <v>U</v>
      </c>
      <c r="FG16" s="117">
        <f t="shared" ca="1" si="158"/>
        <v>48</v>
      </c>
      <c r="FH16" s="117" t="str">
        <f t="shared" si="158"/>
        <v>U</v>
      </c>
      <c r="FI16" s="117" t="str">
        <f t="shared" si="158"/>
        <v>S</v>
      </c>
      <c r="FJ16" s="117" t="str">
        <f t="shared" ca="1" si="158"/>
        <v>U</v>
      </c>
      <c r="FK16" s="117" t="str">
        <f t="shared" ca="1" si="158"/>
        <v>U</v>
      </c>
      <c r="FL16" s="307" t="str">
        <f t="shared" ca="1" si="158"/>
        <v>U</v>
      </c>
      <c r="FM16" s="117" t="str">
        <f ca="1">FM$8</f>
        <v>U</v>
      </c>
      <c r="FN16" s="117" t="str">
        <f ca="1">FN$8</f>
        <v>U</v>
      </c>
      <c r="FO16" s="117">
        <f ca="1">FO$8</f>
        <v>48</v>
      </c>
      <c r="FP16" s="117">
        <f ca="1">FP$8</f>
        <v>16</v>
      </c>
      <c r="FQ16" s="308" t="str">
        <f t="shared" si="158"/>
        <v>U</v>
      </c>
      <c r="FR16" s="117" t="str">
        <f t="shared" si="158"/>
        <v>U</v>
      </c>
      <c r="FS16" s="117" t="str">
        <f>FS$8</f>
        <v>S</v>
      </c>
      <c r="FT16" s="117" t="str">
        <f>FT$8</f>
        <v>S</v>
      </c>
      <c r="FU16" s="117" t="str">
        <f>FU$8</f>
        <v>U</v>
      </c>
      <c r="FV16" s="117" t="str">
        <f t="shared" ref="FV16:FW16" si="159">FV$8</f>
        <v>U</v>
      </c>
      <c r="FW16" s="117" t="str">
        <f t="shared" si="159"/>
        <v>U</v>
      </c>
      <c r="FX16" s="117" t="str">
        <f>FX$8</f>
        <v>U</v>
      </c>
      <c r="FY16" s="117" t="str">
        <f>FY$8</f>
        <v>U</v>
      </c>
      <c r="FZ16" s="117">
        <f t="shared" si="158"/>
        <v>27</v>
      </c>
      <c r="GA16" s="117">
        <f t="shared" si="158"/>
        <v>19</v>
      </c>
      <c r="GB16" s="117">
        <f t="shared" si="158"/>
        <v>10</v>
      </c>
      <c r="GC16" s="117">
        <f t="shared" si="158"/>
        <v>15.000000000000009</v>
      </c>
      <c r="GD16" s="117">
        <f t="shared" si="158"/>
        <v>1</v>
      </c>
      <c r="GE16" s="117">
        <f t="shared" si="158"/>
        <v>12.000000000000007</v>
      </c>
      <c r="GF16" s="117">
        <f t="shared" si="158"/>
        <v>1</v>
      </c>
      <c r="GG16" s="117">
        <f t="shared" si="158"/>
        <v>1</v>
      </c>
      <c r="GH16" s="117">
        <f t="shared" si="158"/>
        <v>12.000010000000007</v>
      </c>
      <c r="GI16" s="117" t="str">
        <f t="shared" ca="1" si="158"/>
        <v>U</v>
      </c>
      <c r="GJ16" s="117" t="str">
        <f t="shared" ca="1" si="158"/>
        <v>S</v>
      </c>
      <c r="GK16" s="117" t="str">
        <f t="shared" ca="1" si="158"/>
        <v>U</v>
      </c>
      <c r="GL16" s="117" t="str">
        <f t="shared" ca="1" si="158"/>
        <v>U</v>
      </c>
      <c r="GM16" s="117" t="str">
        <f t="shared" ca="1" si="158"/>
        <v>U</v>
      </c>
      <c r="GN16" s="117" t="str">
        <f t="shared" ca="1" si="158"/>
        <v>U</v>
      </c>
      <c r="GO16" s="117" t="str">
        <f t="shared" ca="1" si="158"/>
        <v>U</v>
      </c>
      <c r="GP16" s="117">
        <f t="shared" si="158"/>
        <v>1.0000000005663834E-5</v>
      </c>
      <c r="GQ16" s="117">
        <f t="shared" si="158"/>
        <v>5.9999999999999991</v>
      </c>
      <c r="GR16" s="117">
        <f t="shared" si="158"/>
        <v>1</v>
      </c>
      <c r="GS16" s="117">
        <f t="shared" si="158"/>
        <v>10</v>
      </c>
      <c r="GT16" s="117">
        <f t="shared" si="158"/>
        <v>15.000000000000009</v>
      </c>
      <c r="GU16" s="117">
        <f t="shared" si="158"/>
        <v>0</v>
      </c>
      <c r="GV16" s="117">
        <f t="shared" si="158"/>
        <v>6.0000000000000036</v>
      </c>
      <c r="GW16" s="117">
        <f t="shared" si="158"/>
        <v>1</v>
      </c>
      <c r="GX16" s="117">
        <f t="shared" si="158"/>
        <v>1</v>
      </c>
      <c r="GY16" s="117" t="str">
        <f t="shared" ca="1" si="158"/>
        <v>S</v>
      </c>
      <c r="GZ16" s="117">
        <f t="shared" si="158"/>
        <v>1.500010000000001</v>
      </c>
      <c r="HA16" s="117" t="str">
        <f t="shared" ca="1" si="158"/>
        <v>S</v>
      </c>
      <c r="HB16" s="117" t="str">
        <f t="shared" ca="1" si="158"/>
        <v>S</v>
      </c>
      <c r="HC16" s="117" t="str">
        <f t="shared" ca="1" si="158"/>
        <v>S</v>
      </c>
      <c r="HD16" s="117" t="str">
        <f t="shared" ca="1" si="158"/>
        <v>S</v>
      </c>
      <c r="HE16" s="117" t="str">
        <f t="shared" ca="1" si="158"/>
        <v>S</v>
      </c>
      <c r="HF16" s="208" t="str">
        <f>HF$8</f>
        <v>Yes - Right Side</v>
      </c>
      <c r="HG16" s="117" t="str">
        <f t="shared" si="158"/>
        <v>S</v>
      </c>
      <c r="HH16" s="117" t="str">
        <f t="shared" si="158"/>
        <v>U</v>
      </c>
      <c r="HI16" s="117" t="str">
        <f>HI$8</f>
        <v>U</v>
      </c>
      <c r="HJ16" s="117" t="str">
        <f t="shared" si="158"/>
        <v>S</v>
      </c>
      <c r="HK16" s="117" t="str">
        <f t="shared" si="158"/>
        <v>S</v>
      </c>
      <c r="HL16" s="117">
        <f t="shared" ca="1" si="158"/>
        <v>48</v>
      </c>
      <c r="HM16" s="117">
        <f t="shared" si="158"/>
        <v>3.9999999999999998E-6</v>
      </c>
      <c r="HN16" s="117" t="str">
        <f t="shared" si="158"/>
        <v>S</v>
      </c>
      <c r="HO16" s="117">
        <f t="shared" ca="1" si="158"/>
        <v>18</v>
      </c>
      <c r="HP16" s="117">
        <f t="shared" ca="1" si="158"/>
        <v>48.000003999999997</v>
      </c>
      <c r="HQ16" s="117" t="str">
        <f t="shared" si="158"/>
        <v>S</v>
      </c>
      <c r="HR16" s="117" t="str">
        <f t="shared" si="158"/>
        <v>S</v>
      </c>
      <c r="HS16" s="117">
        <f t="shared" ref="HS16:KR16" ca="1" si="160">HS$8</f>
        <v>359.99999600000001</v>
      </c>
      <c r="HT16" s="117">
        <f t="shared" ca="1" si="160"/>
        <v>23.999968000000024</v>
      </c>
      <c r="HU16" s="117">
        <f t="shared" ca="1" si="160"/>
        <v>23.999968000000024</v>
      </c>
      <c r="HV16" s="117">
        <f t="shared" ca="1" si="160"/>
        <v>3.9999373887056513</v>
      </c>
      <c r="HW16" s="117">
        <f t="shared" ca="1" si="160"/>
        <v>24</v>
      </c>
      <c r="HX16" s="117">
        <f t="shared" si="160"/>
        <v>388.8125</v>
      </c>
      <c r="HY16" s="117">
        <f t="shared" ca="1" si="160"/>
        <v>360.00000399999999</v>
      </c>
      <c r="HZ16" s="117">
        <f ca="1">HZ$8</f>
        <v>3.9999373887056513</v>
      </c>
      <c r="IA16" s="117">
        <f ca="1">IA$8</f>
        <v>24.000035999999973</v>
      </c>
      <c r="IB16" s="117" t="str">
        <f t="shared" si="160"/>
        <v>S</v>
      </c>
      <c r="IC16" s="117" t="str">
        <f t="shared" si="160"/>
        <v>S</v>
      </c>
      <c r="ID16" s="117">
        <f t="shared" ca="1" si="160"/>
        <v>27.999905388705674</v>
      </c>
      <c r="IE16" s="117" t="str">
        <f t="shared" si="160"/>
        <v>S</v>
      </c>
      <c r="IF16" s="117" t="str">
        <f t="shared" si="160"/>
        <v>S</v>
      </c>
      <c r="IG16" s="117" t="str">
        <f t="shared" si="160"/>
        <v>S</v>
      </c>
      <c r="IH16" s="117" t="str">
        <f t="shared" si="160"/>
        <v>S</v>
      </c>
      <c r="II16" s="117" t="str">
        <f t="shared" si="160"/>
        <v>S</v>
      </c>
      <c r="IJ16" s="117">
        <f t="shared" ca="1" si="160"/>
        <v>23.999968000000024</v>
      </c>
      <c r="IK16" s="117">
        <f t="shared" ca="1" si="160"/>
        <v>3.9999373887056513</v>
      </c>
      <c r="IL16" s="117" t="str">
        <f t="shared" si="160"/>
        <v>S</v>
      </c>
      <c r="IM16" s="117" t="str">
        <f t="shared" si="160"/>
        <v>S</v>
      </c>
      <c r="IN16" s="117" t="str">
        <f t="shared" si="160"/>
        <v>S</v>
      </c>
      <c r="IO16" s="117" t="str">
        <f t="shared" si="160"/>
        <v>S</v>
      </c>
      <c r="IP16" s="117" t="str">
        <f t="shared" si="160"/>
        <v>S</v>
      </c>
      <c r="IQ16" s="117" t="str">
        <f t="shared" si="160"/>
        <v>S</v>
      </c>
      <c r="IR16" s="117" t="str">
        <f t="shared" si="160"/>
        <v>S</v>
      </c>
      <c r="IS16" s="117" t="str">
        <f t="shared" si="160"/>
        <v>S</v>
      </c>
      <c r="IT16" s="117" t="str">
        <f t="shared" si="160"/>
        <v>S</v>
      </c>
      <c r="IU16" s="117" t="str">
        <f t="shared" si="160"/>
        <v>S</v>
      </c>
      <c r="IV16" s="117" t="str">
        <f t="shared" si="160"/>
        <v>S</v>
      </c>
      <c r="IW16" s="117" t="str">
        <f t="shared" si="160"/>
        <v>S</v>
      </c>
      <c r="IX16" s="117" t="str">
        <f t="shared" si="160"/>
        <v>S</v>
      </c>
      <c r="IY16" s="117">
        <f t="shared" ca="1" si="160"/>
        <v>1</v>
      </c>
      <c r="IZ16" s="117">
        <f t="shared" ca="1" si="160"/>
        <v>3</v>
      </c>
      <c r="JA16" s="117">
        <f t="shared" ca="1" si="160"/>
        <v>9.9999999999999995E-7</v>
      </c>
      <c r="JB16" s="117">
        <f t="shared" ca="1" si="160"/>
        <v>1.0000000000000001E-5</v>
      </c>
      <c r="JC16" s="117">
        <f t="shared" ca="1" si="160"/>
        <v>1.0000000000000001E-5</v>
      </c>
      <c r="JD16" s="117" t="str">
        <f t="shared" ca="1" si="160"/>
        <v>S</v>
      </c>
      <c r="JE16" s="117" t="str">
        <f t="shared" ca="1" si="160"/>
        <v>S</v>
      </c>
      <c r="JF16" s="117" t="str">
        <f t="shared" ca="1" si="160"/>
        <v>S</v>
      </c>
      <c r="JG16" s="117" t="str">
        <f t="shared" ca="1" si="160"/>
        <v>S</v>
      </c>
      <c r="JH16" s="117" t="str">
        <f t="shared" ca="1" si="160"/>
        <v>S</v>
      </c>
      <c r="JI16" s="117">
        <f t="shared" si="160"/>
        <v>0.1046</v>
      </c>
      <c r="JJ16" s="199">
        <f>JJ$8</f>
        <v>0.39290028474001548</v>
      </c>
      <c r="JK16" s="117">
        <f t="shared" si="160"/>
        <v>0.51790028474001548</v>
      </c>
      <c r="JL16" s="117">
        <f t="shared" si="160"/>
        <v>0.5</v>
      </c>
      <c r="JM16" s="117">
        <f t="shared" si="160"/>
        <v>0.375</v>
      </c>
      <c r="JN16" s="117">
        <f t="shared" si="160"/>
        <v>0.375</v>
      </c>
      <c r="JO16" s="117">
        <f t="shared" si="160"/>
        <v>11.25</v>
      </c>
      <c r="JP16" s="117" t="str">
        <f>JP$8</f>
        <v>S</v>
      </c>
      <c r="JQ16" s="117" t="str">
        <f>JQ$8</f>
        <v>S</v>
      </c>
      <c r="JR16" s="117" t="str">
        <f>JR$8</f>
        <v>S</v>
      </c>
      <c r="JS16" s="117" t="str">
        <f t="shared" si="160"/>
        <v>U</v>
      </c>
      <c r="JT16" s="117" t="str">
        <f t="shared" si="160"/>
        <v>U</v>
      </c>
      <c r="JU16" s="117" t="str">
        <f t="shared" si="160"/>
        <v>S</v>
      </c>
      <c r="JV16" s="117" t="str">
        <f t="shared" si="160"/>
        <v>S</v>
      </c>
      <c r="JW16" s="117" t="str">
        <f t="shared" si="160"/>
        <v>S</v>
      </c>
      <c r="JX16" s="117" t="str">
        <f t="shared" si="160"/>
        <v>S</v>
      </c>
      <c r="JY16" s="117" t="str">
        <f t="shared" si="160"/>
        <v>S</v>
      </c>
      <c r="JZ16" s="117" t="str">
        <f t="shared" si="160"/>
        <v>S</v>
      </c>
      <c r="KA16" s="117" t="str">
        <f t="shared" si="160"/>
        <v>S</v>
      </c>
      <c r="KB16" s="117" t="str">
        <f t="shared" si="160"/>
        <v>S</v>
      </c>
      <c r="KC16" s="117" t="str">
        <f t="shared" si="160"/>
        <v>S</v>
      </c>
      <c r="KD16" s="117" t="str">
        <f t="shared" si="160"/>
        <v>S</v>
      </c>
      <c r="KE16" s="117" t="str">
        <f t="shared" si="160"/>
        <v>S</v>
      </c>
      <c r="KF16" s="117" t="str">
        <f t="shared" si="160"/>
        <v>S</v>
      </c>
      <c r="KG16" s="117" t="str">
        <f t="shared" si="160"/>
        <v>S</v>
      </c>
      <c r="KH16" s="117" t="str">
        <f t="shared" si="160"/>
        <v>S</v>
      </c>
      <c r="KI16" s="117" t="str">
        <f t="shared" si="160"/>
        <v>S</v>
      </c>
      <c r="KJ16" s="117" t="str">
        <f t="shared" si="160"/>
        <v>S</v>
      </c>
      <c r="KK16" s="117" t="str">
        <f t="shared" si="160"/>
        <v>S</v>
      </c>
      <c r="KL16" s="117" t="str">
        <f t="shared" si="160"/>
        <v>S</v>
      </c>
      <c r="KM16" s="117" t="str">
        <f t="shared" si="160"/>
        <v>S</v>
      </c>
      <c r="KN16" s="117">
        <f t="shared" si="160"/>
        <v>1.0000000000000001E-5</v>
      </c>
      <c r="KO16" s="117" t="str">
        <f t="shared" si="160"/>
        <v>S</v>
      </c>
      <c r="KP16" s="117" t="str">
        <f t="shared" si="160"/>
        <v>S</v>
      </c>
      <c r="KQ16" s="117" t="str">
        <f t="shared" si="160"/>
        <v>S</v>
      </c>
      <c r="KR16" s="117" t="str">
        <f t="shared" si="160"/>
        <v>S</v>
      </c>
      <c r="KS16" s="117" t="str">
        <f t="shared" ref="KS16:NF16" si="161">KS$8</f>
        <v>S</v>
      </c>
      <c r="KT16" s="117" t="str">
        <f t="shared" si="161"/>
        <v>S</v>
      </c>
      <c r="KU16" s="117" t="str">
        <f t="shared" si="161"/>
        <v>S</v>
      </c>
      <c r="KV16" s="117" t="str">
        <f t="shared" si="161"/>
        <v>S</v>
      </c>
      <c r="KW16" s="117">
        <f t="shared" si="161"/>
        <v>2</v>
      </c>
      <c r="KX16" s="117">
        <f t="shared" si="161"/>
        <v>3.0000000000000004</v>
      </c>
      <c r="KY16" s="117">
        <f t="shared" si="161"/>
        <v>0.25</v>
      </c>
      <c r="KZ16" s="117">
        <f t="shared" si="161"/>
        <v>0.3125</v>
      </c>
      <c r="LA16" s="117">
        <f t="shared" si="161"/>
        <v>0.25</v>
      </c>
      <c r="LB16" s="117">
        <f t="shared" si="161"/>
        <v>2.0000000000000001E-4</v>
      </c>
      <c r="LC16" s="117" t="str">
        <f t="shared" si="161"/>
        <v>S</v>
      </c>
      <c r="LD16" s="117" t="str">
        <f t="shared" si="161"/>
        <v>S</v>
      </c>
      <c r="LE16" s="117" t="str">
        <f t="shared" si="161"/>
        <v>S</v>
      </c>
      <c r="LF16" s="117" t="str">
        <f t="shared" si="161"/>
        <v>S</v>
      </c>
      <c r="LG16" s="117" t="str">
        <f t="shared" si="161"/>
        <v>S</v>
      </c>
      <c r="LH16" s="117" t="str">
        <f t="shared" si="161"/>
        <v>S</v>
      </c>
      <c r="LI16" s="117" t="str">
        <f t="shared" si="161"/>
        <v>S</v>
      </c>
      <c r="LJ16" s="117" t="str">
        <f t="shared" si="161"/>
        <v>S</v>
      </c>
      <c r="LK16" s="117" t="str">
        <f t="shared" si="161"/>
        <v>S</v>
      </c>
      <c r="LL16" s="117" t="str">
        <f t="shared" si="161"/>
        <v>S</v>
      </c>
      <c r="LM16" s="117" t="str">
        <f t="shared" si="161"/>
        <v>S</v>
      </c>
      <c r="LN16" s="117" t="str">
        <f t="shared" si="161"/>
        <v>S</v>
      </c>
      <c r="LO16" s="117" t="str">
        <f t="shared" si="161"/>
        <v>S</v>
      </c>
      <c r="LP16" s="117" t="str">
        <f t="shared" si="161"/>
        <v>S</v>
      </c>
      <c r="LQ16" s="117">
        <f t="shared" si="161"/>
        <v>3.0000000000000004</v>
      </c>
      <c r="LR16" s="117">
        <f t="shared" si="161"/>
        <v>0.16999999999999998</v>
      </c>
      <c r="LS16" s="117">
        <f t="shared" si="161"/>
        <v>1.41</v>
      </c>
      <c r="LT16" s="117">
        <f t="shared" si="161"/>
        <v>0.27300000000000002</v>
      </c>
      <c r="LU16" s="117">
        <f t="shared" si="161"/>
        <v>0.27</v>
      </c>
      <c r="LV16" s="117">
        <f t="shared" si="161"/>
        <v>0.1</v>
      </c>
      <c r="LW16" s="117">
        <f t="shared" si="161"/>
        <v>9.4629999999999992</v>
      </c>
      <c r="LX16" s="117">
        <f t="shared" si="161"/>
        <v>8.4947435596928661E-2</v>
      </c>
      <c r="LY16" s="117">
        <f t="shared" si="161"/>
        <v>4.0999999999999996</v>
      </c>
      <c r="LZ16" s="117" t="str">
        <f t="shared" si="161"/>
        <v>S</v>
      </c>
      <c r="MA16" s="117" t="str">
        <f t="shared" si="161"/>
        <v>S</v>
      </c>
      <c r="MB16" s="117" t="str">
        <f t="shared" si="161"/>
        <v>S</v>
      </c>
      <c r="MC16" s="117" t="str">
        <f t="shared" si="161"/>
        <v>S</v>
      </c>
      <c r="MD16" s="117" t="str">
        <f t="shared" si="161"/>
        <v>S</v>
      </c>
      <c r="ME16" s="117" t="str">
        <f t="shared" si="161"/>
        <v>S</v>
      </c>
      <c r="MF16" s="117" t="str">
        <f t="shared" si="161"/>
        <v>S</v>
      </c>
      <c r="MG16" s="117" t="str">
        <f t="shared" si="161"/>
        <v>S</v>
      </c>
      <c r="MH16" s="117" t="str">
        <f t="shared" si="161"/>
        <v>S</v>
      </c>
      <c r="MI16" s="117" t="str">
        <f t="shared" si="161"/>
        <v>S</v>
      </c>
      <c r="MJ16" s="117" t="str">
        <f>MJ$8</f>
        <v>S</v>
      </c>
      <c r="MK16" s="117" t="str">
        <f>MK$8</f>
        <v>S</v>
      </c>
      <c r="ML16" s="117" t="str">
        <f>ML$8</f>
        <v>S</v>
      </c>
      <c r="MM16" s="117" t="str">
        <f t="shared" si="161"/>
        <v>S</v>
      </c>
      <c r="MN16" s="117" t="str">
        <f t="shared" si="161"/>
        <v>S</v>
      </c>
      <c r="MO16" s="117" t="str">
        <f t="shared" si="161"/>
        <v>S</v>
      </c>
      <c r="MP16" s="117" t="str">
        <f t="shared" si="161"/>
        <v>S</v>
      </c>
      <c r="MQ16" s="117" t="str">
        <f t="shared" si="161"/>
        <v>S</v>
      </c>
      <c r="MR16" s="117" t="str">
        <f t="shared" si="161"/>
        <v>S</v>
      </c>
      <c r="MS16" s="117" t="str">
        <f t="shared" si="161"/>
        <v>S</v>
      </c>
      <c r="MT16" s="117" t="str">
        <f t="shared" si="161"/>
        <v>S</v>
      </c>
      <c r="MU16" s="117" t="str">
        <f t="shared" si="161"/>
        <v>S</v>
      </c>
      <c r="MV16" s="117" t="str">
        <f t="shared" si="161"/>
        <v>S</v>
      </c>
      <c r="MW16" s="117" t="str">
        <f t="shared" si="161"/>
        <v>S</v>
      </c>
      <c r="MX16" s="117" t="str">
        <f t="shared" si="161"/>
        <v>S</v>
      </c>
      <c r="MY16" s="117" t="str">
        <f t="shared" si="161"/>
        <v>S</v>
      </c>
      <c r="MZ16" s="117" t="str">
        <f t="shared" si="161"/>
        <v>S</v>
      </c>
      <c r="NA16" s="117" t="str">
        <f t="shared" si="161"/>
        <v>S</v>
      </c>
      <c r="NB16" s="117" t="str">
        <f t="shared" si="161"/>
        <v>S</v>
      </c>
      <c r="NC16" s="117" t="str">
        <f t="shared" si="161"/>
        <v>S</v>
      </c>
      <c r="ND16" s="117" t="str">
        <f t="shared" si="161"/>
        <v>S</v>
      </c>
      <c r="NE16" s="117">
        <f t="shared" si="161"/>
        <v>0</v>
      </c>
      <c r="NF16" s="117">
        <f t="shared" si="161"/>
        <v>1.0000000000000001E-5</v>
      </c>
      <c r="NG16" s="117" t="str">
        <f t="shared" ref="NG16:QH16" si="162">NG$8</f>
        <v>S</v>
      </c>
      <c r="NH16" s="117" t="str">
        <f t="shared" si="162"/>
        <v>S</v>
      </c>
      <c r="NI16" s="117" t="str">
        <f t="shared" si="162"/>
        <v>S</v>
      </c>
      <c r="NJ16" s="117" t="str">
        <f t="shared" si="162"/>
        <v>S</v>
      </c>
      <c r="NK16" s="117" t="str">
        <f t="shared" si="162"/>
        <v>S</v>
      </c>
      <c r="NL16" s="117" t="str">
        <f t="shared" si="162"/>
        <v>S</v>
      </c>
      <c r="NM16" s="117" t="str">
        <f t="shared" si="162"/>
        <v>S</v>
      </c>
      <c r="NN16" s="117" t="str">
        <f t="shared" si="162"/>
        <v>S</v>
      </c>
      <c r="NO16" s="117">
        <f t="shared" si="162"/>
        <v>4</v>
      </c>
      <c r="NP16" s="117">
        <f t="shared" si="162"/>
        <v>6.0000000000000009</v>
      </c>
      <c r="NQ16" s="117">
        <f t="shared" si="162"/>
        <v>0.625</v>
      </c>
      <c r="NR16" s="117">
        <f t="shared" si="162"/>
        <v>0.5</v>
      </c>
      <c r="NS16" s="117">
        <f t="shared" si="162"/>
        <v>0.5</v>
      </c>
      <c r="NT16" s="117">
        <f t="shared" si="162"/>
        <v>0.12520000000000001</v>
      </c>
      <c r="NU16" s="117" t="str">
        <f t="shared" si="162"/>
        <v>S</v>
      </c>
      <c r="NV16" s="117" t="str">
        <f t="shared" si="162"/>
        <v>S</v>
      </c>
      <c r="NW16" s="117" t="str">
        <f t="shared" si="162"/>
        <v>S</v>
      </c>
      <c r="NX16" s="117" t="str">
        <f t="shared" si="162"/>
        <v>S</v>
      </c>
      <c r="NY16" s="117" t="str">
        <f t="shared" si="162"/>
        <v>S</v>
      </c>
      <c r="NZ16" s="117" t="str">
        <f t="shared" si="162"/>
        <v>S</v>
      </c>
      <c r="OA16" s="117" t="str">
        <f t="shared" si="162"/>
        <v>S</v>
      </c>
      <c r="OB16" s="117" t="str">
        <f t="shared" si="162"/>
        <v>S</v>
      </c>
      <c r="OC16" s="117" t="str">
        <f t="shared" si="162"/>
        <v>S</v>
      </c>
      <c r="OD16" s="117" t="str">
        <f t="shared" si="162"/>
        <v>S</v>
      </c>
      <c r="OE16" s="117">
        <f t="shared" si="162"/>
        <v>3.0000000000000004</v>
      </c>
      <c r="OF16" s="117">
        <f t="shared" si="162"/>
        <v>0.16999999999999998</v>
      </c>
      <c r="OG16" s="117">
        <f t="shared" si="162"/>
        <v>1.41</v>
      </c>
      <c r="OH16" s="117">
        <f t="shared" si="162"/>
        <v>0.27300000000000002</v>
      </c>
      <c r="OI16" s="117">
        <f t="shared" si="162"/>
        <v>0.27</v>
      </c>
      <c r="OJ16" s="117">
        <f t="shared" si="162"/>
        <v>0.1</v>
      </c>
      <c r="OK16" s="117">
        <f t="shared" si="162"/>
        <v>9.4629999999999992</v>
      </c>
      <c r="OL16" s="117">
        <f t="shared" si="162"/>
        <v>8.4947435596928661E-2</v>
      </c>
      <c r="OM16" s="117">
        <f t="shared" si="162"/>
        <v>4.0999999999999996</v>
      </c>
      <c r="ON16" s="117" t="str">
        <f t="shared" si="162"/>
        <v>S</v>
      </c>
      <c r="OO16" s="117" t="str">
        <f t="shared" ca="1" si="162"/>
        <v>S</v>
      </c>
      <c r="OP16" s="117" t="str">
        <f t="shared" ca="1" si="162"/>
        <v>S</v>
      </c>
      <c r="OQ16" s="117" t="str">
        <f t="shared" ca="1" si="162"/>
        <v>S</v>
      </c>
      <c r="OR16" s="117" t="str">
        <f t="shared" ca="1" si="162"/>
        <v>S</v>
      </c>
      <c r="OS16" s="117" t="str">
        <f t="shared" ca="1" si="162"/>
        <v>S</v>
      </c>
      <c r="OT16" s="117" t="str">
        <f t="shared" ca="1" si="162"/>
        <v>S</v>
      </c>
      <c r="OU16" s="117">
        <f t="shared" si="162"/>
        <v>22.352885682963269</v>
      </c>
      <c r="OV16" s="117">
        <f t="shared" si="162"/>
        <v>1.5625</v>
      </c>
      <c r="OW16" s="117">
        <f t="shared" si="162"/>
        <v>2</v>
      </c>
      <c r="OX16" s="117">
        <f t="shared" ca="1" si="162"/>
        <v>1.0000000000000001E-5</v>
      </c>
      <c r="OY16" s="117" t="str">
        <f t="shared" si="162"/>
        <v>S</v>
      </c>
      <c r="OZ16" s="117" t="str">
        <f t="shared" si="162"/>
        <v>S</v>
      </c>
      <c r="PA16" s="117" t="str">
        <f t="shared" si="162"/>
        <v>S</v>
      </c>
      <c r="PB16" s="117" t="str">
        <f t="shared" si="162"/>
        <v>S</v>
      </c>
      <c r="PC16" s="117">
        <f t="shared" si="162"/>
        <v>1.0000006859324079E-6</v>
      </c>
      <c r="PD16" s="117">
        <f t="shared" si="162"/>
        <v>1.0000000313816476E-6</v>
      </c>
      <c r="PE16" s="117">
        <f>PE$8</f>
        <v>9.9999936016657661E-7</v>
      </c>
      <c r="PF16" s="117">
        <f>PF$8</f>
        <v>9.9999997677932015E-7</v>
      </c>
      <c r="PG16" s="117" t="str">
        <f t="shared" si="162"/>
        <v>S</v>
      </c>
      <c r="PH16" s="117" t="str">
        <f t="shared" si="162"/>
        <v>S</v>
      </c>
      <c r="PI16" s="117" t="str">
        <f t="shared" si="162"/>
        <v>S</v>
      </c>
      <c r="PJ16" s="117" t="str">
        <f t="shared" si="162"/>
        <v>S</v>
      </c>
      <c r="PK16" s="117" t="str">
        <f t="shared" si="162"/>
        <v>Teflon, 2.5 x 2.5</v>
      </c>
      <c r="PL16" s="117" t="str">
        <f t="shared" si="162"/>
        <v>Teflon, 2.5 x 2.5</v>
      </c>
      <c r="PM16" s="117">
        <f t="shared" si="162"/>
        <v>0</v>
      </c>
      <c r="PN16" s="117" t="str">
        <f t="shared" si="162"/>
        <v>Teflon, 2.5 x 2.5</v>
      </c>
      <c r="PO16" s="117" t="str">
        <f t="shared" si="162"/>
        <v>Teflon, 2.5 x 2.5</v>
      </c>
      <c r="PP16" s="117">
        <f t="shared" si="162"/>
        <v>0</v>
      </c>
      <c r="PQ16" s="117">
        <f t="shared" si="162"/>
        <v>0.125</v>
      </c>
      <c r="PR16" s="117">
        <f t="shared" si="162"/>
        <v>0.125</v>
      </c>
      <c r="PS16" s="117">
        <f t="shared" si="162"/>
        <v>0.125</v>
      </c>
      <c r="PT16" s="117">
        <f t="shared" si="162"/>
        <v>0.125</v>
      </c>
      <c r="PU16" s="117" t="str">
        <f t="shared" si="162"/>
        <v>S</v>
      </c>
      <c r="PV16" s="117" t="str">
        <f t="shared" si="162"/>
        <v>S</v>
      </c>
      <c r="PW16" s="117" t="str">
        <f t="shared" si="162"/>
        <v>S</v>
      </c>
      <c r="PX16" s="117" t="str">
        <f t="shared" si="162"/>
        <v>S</v>
      </c>
      <c r="PY16" s="117" t="str">
        <f t="shared" si="162"/>
        <v>S</v>
      </c>
      <c r="PZ16" s="117" t="str">
        <f t="shared" si="162"/>
        <v>S</v>
      </c>
      <c r="QA16" s="117" t="str">
        <f t="shared" si="162"/>
        <v>S</v>
      </c>
      <c r="QB16" s="117" t="str">
        <f t="shared" si="162"/>
        <v>S</v>
      </c>
      <c r="QC16" s="117" t="str">
        <f t="shared" si="162"/>
        <v>S</v>
      </c>
      <c r="QD16" s="117" t="str">
        <f t="shared" si="162"/>
        <v>S</v>
      </c>
      <c r="QE16" s="117" t="str">
        <f t="shared" ca="1" si="162"/>
        <v>S</v>
      </c>
      <c r="QF16" s="117">
        <f t="shared" ca="1" si="162"/>
        <v>3</v>
      </c>
      <c r="QG16" s="117">
        <f t="shared" ca="1" si="162"/>
        <v>1.5</v>
      </c>
      <c r="QH16" s="117">
        <f t="shared" ca="1" si="162"/>
        <v>1</v>
      </c>
      <c r="QI16" s="117">
        <f t="shared" ref="QI16:TJ16" ca="1" si="163">QI$8</f>
        <v>3</v>
      </c>
      <c r="QJ16" s="117" t="str">
        <f t="shared" ca="1" si="163"/>
        <v>S</v>
      </c>
      <c r="QK16" s="117" t="str">
        <f t="shared" si="163"/>
        <v>S</v>
      </c>
      <c r="QL16" s="117" t="str">
        <f t="shared" si="163"/>
        <v>S</v>
      </c>
      <c r="QM16" s="117" t="str">
        <f t="shared" si="163"/>
        <v>S</v>
      </c>
      <c r="QN16" s="117" t="str">
        <f t="shared" si="163"/>
        <v>S</v>
      </c>
      <c r="QO16" s="117" t="str">
        <f t="shared" si="163"/>
        <v>S</v>
      </c>
      <c r="QP16" s="117" t="str">
        <f t="shared" si="163"/>
        <v>S</v>
      </c>
      <c r="QQ16" s="117" t="str">
        <f t="shared" si="163"/>
        <v>S</v>
      </c>
      <c r="QR16" s="117" t="str">
        <f t="shared" ca="1" si="163"/>
        <v>S</v>
      </c>
      <c r="QS16" s="117" t="str">
        <f t="shared" ca="1" si="163"/>
        <v>S</v>
      </c>
      <c r="QT16" s="117" t="str">
        <f t="shared" si="163"/>
        <v>S</v>
      </c>
      <c r="QU16" s="117" t="str">
        <f t="shared" si="163"/>
        <v>S</v>
      </c>
      <c r="QV16" s="117" t="str">
        <f t="shared" si="163"/>
        <v>S</v>
      </c>
      <c r="QW16" s="117" t="str">
        <f t="shared" si="163"/>
        <v>S</v>
      </c>
      <c r="QX16" s="117" t="str">
        <f t="shared" si="163"/>
        <v>S</v>
      </c>
      <c r="QY16" s="117" t="str">
        <f t="shared" si="163"/>
        <v>S</v>
      </c>
      <c r="QZ16" s="117" t="str">
        <f t="shared" si="163"/>
        <v>S</v>
      </c>
      <c r="RA16" s="117" t="str">
        <f t="shared" si="163"/>
        <v>S</v>
      </c>
      <c r="RB16" s="117" t="str">
        <f t="shared" si="163"/>
        <v>S</v>
      </c>
      <c r="RC16" s="117" t="str">
        <f t="shared" si="163"/>
        <v>S</v>
      </c>
      <c r="RD16" s="117">
        <f t="shared" si="163"/>
        <v>2</v>
      </c>
      <c r="RE16" s="117">
        <f t="shared" si="163"/>
        <v>3.0000000000000004</v>
      </c>
      <c r="RF16" s="117">
        <f t="shared" si="163"/>
        <v>0.18750000000000003</v>
      </c>
      <c r="RG16" s="117">
        <f t="shared" si="163"/>
        <v>0.3125</v>
      </c>
      <c r="RH16" s="117">
        <f t="shared" si="163"/>
        <v>0.18750000000000003</v>
      </c>
      <c r="RI16" s="117">
        <f t="shared" si="163"/>
        <v>2.0000000000000001E-4</v>
      </c>
      <c r="RJ16" s="117" t="str">
        <f t="shared" si="163"/>
        <v>S</v>
      </c>
      <c r="RK16" s="117" t="str">
        <f t="shared" si="163"/>
        <v>S</v>
      </c>
      <c r="RL16" s="117" t="str">
        <f t="shared" si="163"/>
        <v>S</v>
      </c>
      <c r="RM16" s="117" t="str">
        <f t="shared" si="163"/>
        <v>S</v>
      </c>
      <c r="RN16" s="117" t="str">
        <f t="shared" si="163"/>
        <v>S</v>
      </c>
      <c r="RO16" s="117" t="str">
        <f t="shared" si="163"/>
        <v>S</v>
      </c>
      <c r="RP16" s="117" t="str">
        <f t="shared" si="163"/>
        <v>S</v>
      </c>
      <c r="RQ16" s="117" t="str">
        <f t="shared" si="163"/>
        <v>S</v>
      </c>
      <c r="RR16" s="117" t="str">
        <f t="shared" si="163"/>
        <v>S</v>
      </c>
      <c r="RS16" s="117" t="str">
        <f t="shared" si="163"/>
        <v>S</v>
      </c>
      <c r="RT16" s="117" t="str">
        <f t="shared" si="163"/>
        <v>S</v>
      </c>
      <c r="RU16" s="117" t="str">
        <f t="shared" si="163"/>
        <v>S</v>
      </c>
      <c r="RV16" s="117" t="str">
        <f t="shared" si="163"/>
        <v>S</v>
      </c>
      <c r="RW16" s="117" t="str">
        <f t="shared" si="163"/>
        <v>S</v>
      </c>
      <c r="RX16" s="117" t="str">
        <f t="shared" si="163"/>
        <v>S</v>
      </c>
      <c r="RY16" s="117" t="str">
        <f t="shared" si="163"/>
        <v>S</v>
      </c>
      <c r="RZ16" s="117" t="str">
        <f t="shared" si="163"/>
        <v>S</v>
      </c>
      <c r="SA16" s="117">
        <f t="shared" si="163"/>
        <v>3.0000000000000004</v>
      </c>
      <c r="SB16" s="117">
        <f t="shared" si="163"/>
        <v>0.16999999999999998</v>
      </c>
      <c r="SC16" s="117">
        <f t="shared" si="163"/>
        <v>1.41</v>
      </c>
      <c r="SD16" s="117">
        <f t="shared" si="163"/>
        <v>0.27300000000000002</v>
      </c>
      <c r="SE16" s="117">
        <f t="shared" si="163"/>
        <v>0.27</v>
      </c>
      <c r="SF16" s="117">
        <f t="shared" si="163"/>
        <v>0.1</v>
      </c>
      <c r="SG16" s="117">
        <f t="shared" si="163"/>
        <v>9.4629999999999992</v>
      </c>
      <c r="SH16" s="117">
        <f t="shared" si="163"/>
        <v>8.4947435596928661E-2</v>
      </c>
      <c r="SI16" s="117">
        <f t="shared" si="163"/>
        <v>4.0999999999999996</v>
      </c>
      <c r="SJ16" s="117" t="str">
        <f t="shared" si="163"/>
        <v>S</v>
      </c>
      <c r="SK16" s="117" t="str">
        <f t="shared" si="163"/>
        <v>S</v>
      </c>
      <c r="SL16" s="117" t="str">
        <f t="shared" si="163"/>
        <v>S</v>
      </c>
      <c r="SM16" s="117" t="str">
        <f t="shared" si="163"/>
        <v>S</v>
      </c>
      <c r="SN16" s="117" t="str">
        <f t="shared" si="163"/>
        <v>S</v>
      </c>
      <c r="SO16" s="117" t="str">
        <f t="shared" si="163"/>
        <v>S</v>
      </c>
      <c r="SP16" s="117" t="str">
        <f t="shared" si="163"/>
        <v>S</v>
      </c>
      <c r="SQ16" s="117" t="str">
        <f t="shared" si="163"/>
        <v>S</v>
      </c>
      <c r="SR16" s="117" t="str">
        <f>SR$8</f>
        <v>S</v>
      </c>
      <c r="SS16" s="117">
        <f t="shared" ref="SS16:SV16" si="164">SS$8</f>
        <v>1.5000000000000002</v>
      </c>
      <c r="ST16" s="117">
        <f t="shared" si="164"/>
        <v>1.5000000000000002</v>
      </c>
      <c r="SU16" s="117">
        <f t="shared" si="164"/>
        <v>0.5</v>
      </c>
      <c r="SV16" s="117">
        <f t="shared" si="164"/>
        <v>0.5</v>
      </c>
      <c r="SW16" s="117" t="str">
        <f t="shared" si="163"/>
        <v>S</v>
      </c>
      <c r="SX16" s="117" t="str">
        <f t="shared" si="163"/>
        <v>S</v>
      </c>
      <c r="SY16" s="117" t="str">
        <f t="shared" si="163"/>
        <v>S</v>
      </c>
      <c r="SZ16" s="117" t="str">
        <f t="shared" si="163"/>
        <v>S</v>
      </c>
      <c r="TA16" s="117" t="str">
        <f t="shared" si="163"/>
        <v>S</v>
      </c>
      <c r="TB16" s="117" t="str">
        <f t="shared" si="163"/>
        <v>S</v>
      </c>
      <c r="TC16" s="117" t="str">
        <f t="shared" si="163"/>
        <v>S</v>
      </c>
      <c r="TD16" s="117" t="str">
        <f t="shared" si="163"/>
        <v>S</v>
      </c>
      <c r="TE16" s="117" t="str">
        <f t="shared" si="163"/>
        <v>S</v>
      </c>
      <c r="TF16" s="117">
        <f t="shared" si="163"/>
        <v>3</v>
      </c>
      <c r="TG16" s="117">
        <f t="shared" si="163"/>
        <v>5.7</v>
      </c>
      <c r="TH16" s="117">
        <f t="shared" si="163"/>
        <v>3.0000000000000004</v>
      </c>
      <c r="TI16" s="117">
        <f t="shared" si="163"/>
        <v>0.16999999999999998</v>
      </c>
      <c r="TJ16" s="117">
        <f t="shared" si="163"/>
        <v>2.33</v>
      </c>
      <c r="TK16" s="117">
        <f t="shared" ref="TK16:VT16" si="165">TK$8</f>
        <v>0.26</v>
      </c>
      <c r="TL16" s="117">
        <f t="shared" si="165"/>
        <v>0.27</v>
      </c>
      <c r="TM16" s="117">
        <f t="shared" si="165"/>
        <v>0.1</v>
      </c>
      <c r="TN16" s="117">
        <f t="shared" si="165"/>
        <v>9.4630000000000312</v>
      </c>
      <c r="TO16" s="117">
        <f t="shared" si="165"/>
        <v>1.8425437273624747</v>
      </c>
      <c r="TP16" s="117" t="str">
        <f t="shared" si="165"/>
        <v>S</v>
      </c>
      <c r="TQ16" s="117" t="str">
        <f t="shared" si="165"/>
        <v>S</v>
      </c>
      <c r="TR16" s="117" t="str">
        <f t="shared" si="165"/>
        <v>S</v>
      </c>
      <c r="TS16" s="117" t="str">
        <f t="shared" si="165"/>
        <v>S</v>
      </c>
      <c r="TT16" s="117" t="str">
        <f t="shared" si="165"/>
        <v>S</v>
      </c>
      <c r="TU16" s="117" t="str">
        <f t="shared" si="165"/>
        <v>S</v>
      </c>
      <c r="TV16" s="117" t="str">
        <f t="shared" si="165"/>
        <v>S</v>
      </c>
      <c r="TW16" s="117" t="str">
        <f t="shared" si="165"/>
        <v>S</v>
      </c>
      <c r="TX16" s="117" t="str">
        <f t="shared" si="165"/>
        <v>S</v>
      </c>
      <c r="TY16" s="117">
        <f t="shared" si="165"/>
        <v>4</v>
      </c>
      <c r="TZ16" s="117">
        <f t="shared" si="165"/>
        <v>13</v>
      </c>
      <c r="UA16" s="117">
        <f t="shared" si="165"/>
        <v>4.16</v>
      </c>
      <c r="UB16" s="117">
        <f t="shared" si="165"/>
        <v>0.28000000000000003</v>
      </c>
      <c r="UC16" s="117">
        <f t="shared" si="165"/>
        <v>4.0599999999999996</v>
      </c>
      <c r="UD16" s="117">
        <f t="shared" si="165"/>
        <v>0.34499999999999992</v>
      </c>
      <c r="UE16" s="117">
        <f t="shared" si="165"/>
        <v>0.25</v>
      </c>
      <c r="UF16" s="117" t="str">
        <f t="shared" si="165"/>
        <v>S</v>
      </c>
      <c r="UG16" s="117" t="str">
        <f t="shared" si="165"/>
        <v>S</v>
      </c>
      <c r="UH16" s="117" t="str">
        <f t="shared" si="165"/>
        <v>S</v>
      </c>
      <c r="UI16" s="117" t="str">
        <f t="shared" si="165"/>
        <v>S</v>
      </c>
      <c r="UJ16" s="117" t="s">
        <v>1205</v>
      </c>
      <c r="UK16" s="117" t="str">
        <f t="shared" si="165"/>
        <v>U</v>
      </c>
      <c r="UL16" s="117" t="str">
        <f t="shared" si="165"/>
        <v>U</v>
      </c>
      <c r="UM16" s="117" t="str">
        <f t="shared" si="165"/>
        <v>S</v>
      </c>
      <c r="UN16" s="117" t="str">
        <f t="shared" si="165"/>
        <v>S</v>
      </c>
      <c r="UO16" s="117" t="str">
        <f t="shared" si="165"/>
        <v>S</v>
      </c>
      <c r="UP16" s="117" t="str">
        <f t="shared" si="165"/>
        <v>S</v>
      </c>
      <c r="UQ16" s="117" t="str">
        <f t="shared" si="165"/>
        <v>S</v>
      </c>
      <c r="UR16" s="117">
        <f t="shared" si="165"/>
        <v>1</v>
      </c>
      <c r="US16" s="117">
        <f t="shared" si="165"/>
        <v>2</v>
      </c>
      <c r="UT16" s="117">
        <f t="shared" si="165"/>
        <v>500</v>
      </c>
      <c r="UU16" s="117" t="str">
        <f t="shared" si="165"/>
        <v>S</v>
      </c>
      <c r="UV16" s="117" t="str">
        <f t="shared" si="165"/>
        <v>S</v>
      </c>
      <c r="UW16" s="117" t="str">
        <f t="shared" si="165"/>
        <v>S</v>
      </c>
      <c r="UX16" s="117" t="str">
        <f t="shared" si="165"/>
        <v>S</v>
      </c>
      <c r="UY16" s="117" t="str">
        <f t="shared" si="165"/>
        <v>S</v>
      </c>
      <c r="UZ16" s="117" t="str">
        <f t="shared" si="165"/>
        <v>S</v>
      </c>
      <c r="VA16" s="117" t="str">
        <f t="shared" si="165"/>
        <v>S</v>
      </c>
      <c r="VB16" s="117" t="str">
        <f t="shared" si="165"/>
        <v>U</v>
      </c>
      <c r="VC16" s="117" t="str">
        <f t="shared" si="165"/>
        <v>S</v>
      </c>
      <c r="VD16" s="117" t="str">
        <f t="shared" si="165"/>
        <v>S</v>
      </c>
      <c r="VE16" s="117" t="str">
        <f t="shared" si="165"/>
        <v>S</v>
      </c>
      <c r="VF16" s="117" t="str">
        <f t="shared" si="165"/>
        <v>S</v>
      </c>
      <c r="VG16" s="117" t="str">
        <f t="shared" si="165"/>
        <v>S</v>
      </c>
      <c r="VH16" s="117" t="str">
        <f t="shared" si="165"/>
        <v>S</v>
      </c>
      <c r="VI16" s="117" t="str">
        <f>VI$8</f>
        <v>3</v>
      </c>
      <c r="VJ16" s="117" t="str">
        <f t="shared" si="165"/>
        <v>.3</v>
      </c>
      <c r="VK16" s="117">
        <f t="shared" si="165"/>
        <v>3</v>
      </c>
      <c r="VL16" s="117" t="str">
        <f t="shared" si="165"/>
        <v>3-SEC</v>
      </c>
      <c r="VM16" s="117" t="str">
        <f t="shared" si="165"/>
        <v>3-SFR-A</v>
      </c>
      <c r="VN16" s="117" t="str">
        <f t="shared" si="165"/>
        <v>SIDE FRAME ASSEMBLY, SIDE A</v>
      </c>
      <c r="VO16" s="117" t="str">
        <f t="shared" si="165"/>
        <v>000000</v>
      </c>
      <c r="VP16" s="410">
        <f t="shared" si="165"/>
        <v>5</v>
      </c>
      <c r="VQ16" s="410">
        <f t="shared" si="165"/>
        <v>5</v>
      </c>
      <c r="VR16" s="410">
        <f t="shared" si="165"/>
        <v>0.125</v>
      </c>
      <c r="VS16" s="410">
        <f t="shared" si="165"/>
        <v>1.125</v>
      </c>
      <c r="VT16" s="410">
        <f t="shared" si="165"/>
        <v>3.5</v>
      </c>
      <c r="VX16" s="117" t="str">
        <f>VX$8</f>
        <v>3-SEC</v>
      </c>
    </row>
    <row r="17" spans="1:596" ht="14.4" hidden="1" outlineLevel="1" x14ac:dyDescent="0.3">
      <c r="A17" s="279" t="s">
        <v>4</v>
      </c>
      <c r="B17" s="117" t="str">
        <f>B$9</f>
        <v>AXC</v>
      </c>
      <c r="C17" s="117">
        <f t="shared" ref="C17:BT17" si="166">C$9</f>
        <v>65</v>
      </c>
      <c r="D17" s="117">
        <f t="shared" si="166"/>
        <v>780</v>
      </c>
      <c r="E17" s="117">
        <f t="shared" si="166"/>
        <v>0.125</v>
      </c>
      <c r="F17" s="117">
        <f t="shared" si="166"/>
        <v>6.25E-2</v>
      </c>
      <c r="G17" s="117">
        <f t="shared" si="166"/>
        <v>777.625</v>
      </c>
      <c r="H17" s="117" t="str">
        <f t="shared" si="166"/>
        <v>MC12x10.6</v>
      </c>
      <c r="I17" s="117" t="str">
        <f t="shared" si="166"/>
        <v>AXC materials:SA-36</v>
      </c>
      <c r="J17" s="117" t="str">
        <f t="shared" si="166"/>
        <v>Galvanized</v>
      </c>
      <c r="K17" s="117" t="str">
        <f t="shared" si="166"/>
        <v>Bolt on Angle</v>
      </c>
      <c r="L17" s="117" t="str">
        <f t="shared" si="166"/>
        <v>EH\VV\VI_</v>
      </c>
      <c r="M17" s="117">
        <f t="shared" ca="1" si="166"/>
        <v>16</v>
      </c>
      <c r="N17" s="117">
        <f t="shared" ca="1" si="166"/>
        <v>48</v>
      </c>
      <c r="O17" s="117">
        <f t="shared" ca="1" si="166"/>
        <v>30</v>
      </c>
      <c r="P17" s="117" t="str">
        <f t="shared" si="166"/>
        <v>Yes - Rear HDR</v>
      </c>
      <c r="Q17" s="117">
        <f t="shared" si="166"/>
        <v>3.9999333887056512</v>
      </c>
      <c r="R17" s="117" t="str">
        <f t="shared" si="166"/>
        <v>Angle</v>
      </c>
      <c r="S17" s="117" t="str">
        <f t="shared" si="166"/>
        <v>L2x3x0.1875</v>
      </c>
      <c r="T17" s="117" t="str">
        <f t="shared" si="166"/>
        <v>Weld On</v>
      </c>
      <c r="U17" s="117" t="str">
        <f>U$9</f>
        <v>Yes</v>
      </c>
      <c r="V17" s="117" t="str">
        <f t="shared" si="166"/>
        <v>Yes</v>
      </c>
      <c r="W17" s="117">
        <f t="shared" si="166"/>
        <v>15</v>
      </c>
      <c r="X17" s="117">
        <f t="shared" si="166"/>
        <v>0</v>
      </c>
      <c r="Y17" s="117">
        <f>Y$9</f>
        <v>0</v>
      </c>
      <c r="Z17" s="117" t="str">
        <f>Z$9</f>
        <v>STD</v>
      </c>
      <c r="AA17" s="117" t="str">
        <f t="shared" si="166"/>
        <v>No</v>
      </c>
      <c r="AB17" s="117" t="str">
        <f>AB$9</f>
        <v>OFF</v>
      </c>
      <c r="AC17" s="117" t="str">
        <f t="shared" si="166"/>
        <v>Yes</v>
      </c>
      <c r="AD17" s="117" t="str">
        <f>AD$9</f>
        <v>AXC Weld On</v>
      </c>
      <c r="AE17" s="117" t="str">
        <f>AE$9</f>
        <v>Outside</v>
      </c>
      <c r="AF17" s="117" t="str">
        <f t="shared" si="166"/>
        <v>0.5"</v>
      </c>
      <c r="AG17" s="117">
        <f t="shared" si="166"/>
        <v>278.125</v>
      </c>
      <c r="AH17" s="117">
        <f t="shared" si="166"/>
        <v>249.75</v>
      </c>
      <c r="AI17" s="117">
        <f t="shared" si="166"/>
        <v>0.5</v>
      </c>
      <c r="AJ17" s="117">
        <f t="shared" si="166"/>
        <v>4</v>
      </c>
      <c r="AK17" s="117">
        <f t="shared" si="166"/>
        <v>500</v>
      </c>
      <c r="AL17" s="117" t="str">
        <f t="shared" si="166"/>
        <v>None</v>
      </c>
      <c r="AM17" s="117" t="str">
        <f t="shared" si="166"/>
        <v>Pick from List</v>
      </c>
      <c r="AN17" s="117" t="str">
        <f t="shared" si="166"/>
        <v>None</v>
      </c>
      <c r="AO17" s="117" t="str">
        <f t="shared" si="166"/>
        <v>None</v>
      </c>
      <c r="AP17" s="117" t="str">
        <f t="shared" si="166"/>
        <v>None</v>
      </c>
      <c r="AQ17" s="117" t="str">
        <f t="shared" si="166"/>
        <v>L4x6x0.625</v>
      </c>
      <c r="AR17" s="117" t="str">
        <f t="shared" si="166"/>
        <v>Bolt on</v>
      </c>
      <c r="AS17" s="117" t="str">
        <f t="shared" si="166"/>
        <v>Yes</v>
      </c>
      <c r="AT17" s="117" t="str">
        <f t="shared" ca="1" si="166"/>
        <v>Bolt On</v>
      </c>
      <c r="AU17" s="117">
        <f t="shared" ca="1" si="166"/>
        <v>16</v>
      </c>
      <c r="AV17" s="117">
        <f t="shared" si="166"/>
        <v>0</v>
      </c>
      <c r="AW17" s="117">
        <f t="shared" si="166"/>
        <v>0</v>
      </c>
      <c r="AX17" s="117">
        <f t="shared" si="166"/>
        <v>6.25E-2</v>
      </c>
      <c r="AY17" s="117">
        <f t="shared" si="166"/>
        <v>21.915385672961552</v>
      </c>
      <c r="AZ17" s="117">
        <f t="shared" si="166"/>
        <v>1.5625</v>
      </c>
      <c r="BA17" s="117">
        <f t="shared" si="166"/>
        <v>2</v>
      </c>
      <c r="BB17" s="117">
        <f t="shared" si="166"/>
        <v>21.915385672961648</v>
      </c>
      <c r="BC17" s="117">
        <f t="shared" si="166"/>
        <v>1.5625</v>
      </c>
      <c r="BD17" s="117">
        <f t="shared" si="166"/>
        <v>2</v>
      </c>
      <c r="BE17" s="117">
        <f t="shared" si="166"/>
        <v>0.6250000000043382</v>
      </c>
      <c r="BF17" s="117">
        <f t="shared" si="166"/>
        <v>1.0937500000075919</v>
      </c>
      <c r="BG17" s="117">
        <f t="shared" si="166"/>
        <v>2</v>
      </c>
      <c r="BH17" s="117">
        <f t="shared" si="166"/>
        <v>0.62500000000430156</v>
      </c>
      <c r="BI17" s="117">
        <f t="shared" si="166"/>
        <v>1.0937500000075278</v>
      </c>
      <c r="BJ17" s="117">
        <f t="shared" si="166"/>
        <v>2</v>
      </c>
      <c r="BK17" s="117">
        <f t="shared" si="166"/>
        <v>1.9999999999999956</v>
      </c>
      <c r="BL17" s="117" t="str">
        <f t="shared" si="166"/>
        <v>Weld Bar</v>
      </c>
      <c r="BM17" s="117">
        <f t="shared" si="166"/>
        <v>0.99999999999999589</v>
      </c>
      <c r="BN17" s="117" t="str">
        <f t="shared" si="166"/>
        <v>Float Bar</v>
      </c>
      <c r="BO17" s="117">
        <f t="shared" si="166"/>
        <v>5</v>
      </c>
      <c r="BP17" s="117" t="str">
        <f t="shared" si="166"/>
        <v>MC12x10.6</v>
      </c>
      <c r="BQ17" s="117" t="str">
        <f t="shared" si="166"/>
        <v>U</v>
      </c>
      <c r="BR17" s="117" t="str">
        <f t="shared" si="166"/>
        <v>S</v>
      </c>
      <c r="BS17" s="117">
        <f t="shared" si="166"/>
        <v>31.374999284744241</v>
      </c>
      <c r="BT17" s="117">
        <f t="shared" si="166"/>
        <v>29.000000000000004</v>
      </c>
      <c r="BU17" s="117">
        <f t="shared" ref="BU17:EK17" si="167">BU$9</f>
        <v>3.9999999999999969</v>
      </c>
      <c r="BV17" s="117">
        <f t="shared" si="167"/>
        <v>0.25000000000000089</v>
      </c>
      <c r="BW17" s="117">
        <f t="shared" si="167"/>
        <v>9.9999999999269527E-6</v>
      </c>
      <c r="BX17" s="117">
        <f t="shared" si="167"/>
        <v>1</v>
      </c>
      <c r="BY17" s="117">
        <f t="shared" si="167"/>
        <v>1</v>
      </c>
      <c r="BZ17" s="117">
        <f t="shared" si="167"/>
        <v>6.2721143170279987</v>
      </c>
      <c r="CA17" s="117">
        <f t="shared" si="167"/>
        <v>360</v>
      </c>
      <c r="CB17" s="117">
        <f t="shared" si="167"/>
        <v>1.0000000000001172</v>
      </c>
      <c r="CC17" s="117">
        <f t="shared" si="167"/>
        <v>0.99999999999983746</v>
      </c>
      <c r="CD17" s="117">
        <f t="shared" si="167"/>
        <v>0</v>
      </c>
      <c r="CE17" s="117">
        <f t="shared" si="167"/>
        <v>1.5000000000000009</v>
      </c>
      <c r="CF17" s="117">
        <f t="shared" si="167"/>
        <v>1.2990381056766582</v>
      </c>
      <c r="CG17" s="117">
        <f t="shared" si="167"/>
        <v>9.9999999969219204E-6</v>
      </c>
      <c r="CH17" s="117" t="str">
        <f t="shared" si="167"/>
        <v>No</v>
      </c>
      <c r="CI17" s="117" t="str">
        <f t="shared" si="167"/>
        <v>U</v>
      </c>
      <c r="CJ17" s="117">
        <f t="shared" si="167"/>
        <v>10.6</v>
      </c>
      <c r="CK17" s="117">
        <f t="shared" si="167"/>
        <v>12.000000000000002</v>
      </c>
      <c r="CL17" s="117">
        <f t="shared" si="167"/>
        <v>0.18999999999999997</v>
      </c>
      <c r="CM17" s="117">
        <f t="shared" si="167"/>
        <v>1.5000000000000002</v>
      </c>
      <c r="CN17" s="117">
        <f t="shared" si="167"/>
        <v>0.30899999999999994</v>
      </c>
      <c r="CO17" s="117">
        <f t="shared" si="167"/>
        <v>0.25</v>
      </c>
      <c r="CP17" s="117">
        <f t="shared" si="167"/>
        <v>0.13</v>
      </c>
      <c r="CQ17" s="117">
        <f t="shared" si="167"/>
        <v>9.4629999999999992</v>
      </c>
      <c r="CR17" s="117">
        <f t="shared" si="167"/>
        <v>8.9700168853607709E-2</v>
      </c>
      <c r="CS17" s="117">
        <f t="shared" si="167"/>
        <v>10.740092274765473</v>
      </c>
      <c r="CT17" s="117">
        <f t="shared" si="167"/>
        <v>0.62995386261726427</v>
      </c>
      <c r="CU17" s="117" t="str">
        <f t="shared" si="167"/>
        <v>S</v>
      </c>
      <c r="CV17" s="117">
        <f t="shared" si="167"/>
        <v>12.000000000000002</v>
      </c>
      <c r="CW17" s="117">
        <f t="shared" si="167"/>
        <v>0.28199999999999997</v>
      </c>
      <c r="CX17" s="117">
        <f t="shared" si="167"/>
        <v>2.9419999999999997</v>
      </c>
      <c r="CY17" s="117">
        <f t="shared" si="167"/>
        <v>0.501</v>
      </c>
      <c r="CZ17" s="117">
        <f t="shared" si="167"/>
        <v>0.37999999999999995</v>
      </c>
      <c r="DA17" s="117">
        <f t="shared" si="167"/>
        <v>0.16999999999999998</v>
      </c>
      <c r="DB17" s="117">
        <f t="shared" si="167"/>
        <v>9.4629999999999992</v>
      </c>
      <c r="DC17" s="117">
        <f t="shared" si="167"/>
        <v>0.13530728481002544</v>
      </c>
      <c r="DD17" s="117">
        <f t="shared" si="167"/>
        <v>20.7</v>
      </c>
      <c r="DE17" s="117" t="str">
        <f t="shared" si="167"/>
        <v>S</v>
      </c>
      <c r="DF17" s="117" t="str">
        <f t="shared" si="167"/>
        <v>S</v>
      </c>
      <c r="DG17" s="117" t="str">
        <f t="shared" si="167"/>
        <v>S</v>
      </c>
      <c r="DH17" s="117" t="str">
        <f t="shared" si="167"/>
        <v>S</v>
      </c>
      <c r="DI17" s="117" t="str">
        <f t="shared" si="167"/>
        <v>S</v>
      </c>
      <c r="DJ17" s="117" t="str">
        <f t="shared" si="167"/>
        <v>S</v>
      </c>
      <c r="DK17" s="117" t="str">
        <f t="shared" si="167"/>
        <v>S</v>
      </c>
      <c r="DL17" s="117" t="str">
        <f t="shared" si="167"/>
        <v>S</v>
      </c>
      <c r="DM17" s="117" t="str">
        <f t="shared" si="167"/>
        <v>U</v>
      </c>
      <c r="DN17" s="117" t="str">
        <f t="shared" si="167"/>
        <v>U</v>
      </c>
      <c r="DO17" s="117" t="str">
        <f t="shared" si="167"/>
        <v>U</v>
      </c>
      <c r="DP17" s="117" t="str">
        <f t="shared" si="167"/>
        <v>U</v>
      </c>
      <c r="DQ17" s="117" t="str">
        <f t="shared" si="167"/>
        <v>S</v>
      </c>
      <c r="DR17" s="117" t="str">
        <f t="shared" si="167"/>
        <v>S</v>
      </c>
      <c r="DS17" s="117" t="str">
        <f t="shared" si="167"/>
        <v>S</v>
      </c>
      <c r="DT17" s="117" t="str">
        <f t="shared" si="167"/>
        <v>S</v>
      </c>
      <c r="DU17" s="117" t="str">
        <f t="shared" si="167"/>
        <v>S</v>
      </c>
      <c r="DV17" s="117" t="str">
        <f t="shared" si="167"/>
        <v>S</v>
      </c>
      <c r="DW17" s="117" t="str">
        <f t="shared" si="167"/>
        <v>S</v>
      </c>
      <c r="DX17" s="117" t="str">
        <f t="shared" si="167"/>
        <v>S</v>
      </c>
      <c r="DY17" s="117">
        <f t="shared" si="167"/>
        <v>29</v>
      </c>
      <c r="DZ17" s="117">
        <f t="shared" si="167"/>
        <v>0.25</v>
      </c>
      <c r="EA17" s="117">
        <f t="shared" si="167"/>
        <v>0.25</v>
      </c>
      <c r="EB17" s="117">
        <f t="shared" si="167"/>
        <v>3.9999999999999969</v>
      </c>
      <c r="EC17" s="117">
        <f t="shared" si="167"/>
        <v>1E-4</v>
      </c>
      <c r="ED17" s="117">
        <f t="shared" si="167"/>
        <v>1E-4</v>
      </c>
      <c r="EE17" s="117">
        <f t="shared" si="167"/>
        <v>0.25000000000000089</v>
      </c>
      <c r="EF17" s="117">
        <f t="shared" si="167"/>
        <v>1.5599999999999999E-2</v>
      </c>
      <c r="EG17" s="117" t="str">
        <f t="shared" ca="1" si="167"/>
        <v>U</v>
      </c>
      <c r="EH17" s="117" t="str">
        <f t="shared" ca="1" si="167"/>
        <v>S</v>
      </c>
      <c r="EI17" s="117" t="str">
        <f t="shared" ca="1" si="167"/>
        <v>U</v>
      </c>
      <c r="EJ17" s="117" t="str">
        <f t="shared" si="167"/>
        <v>S</v>
      </c>
      <c r="EK17" s="117" t="str">
        <f t="shared" ca="1" si="167"/>
        <v>U</v>
      </c>
      <c r="EL17" s="117" t="str">
        <f t="shared" ref="EL17:HR17" ca="1" si="168">EL$9</f>
        <v>S</v>
      </c>
      <c r="EM17" s="117">
        <f t="shared" si="168"/>
        <v>0.75</v>
      </c>
      <c r="EN17" s="117">
        <f t="shared" si="168"/>
        <v>0.19000000000423975</v>
      </c>
      <c r="EO17" s="117">
        <f t="shared" si="168"/>
        <v>0.62500000000001221</v>
      </c>
      <c r="EP17" s="117">
        <f t="shared" si="168"/>
        <v>1.5000000000000016</v>
      </c>
      <c r="EQ17" s="117">
        <f t="shared" si="168"/>
        <v>1.437500284744256</v>
      </c>
      <c r="ER17" s="117">
        <f t="shared" si="168"/>
        <v>0.5</v>
      </c>
      <c r="ES17" s="117" t="str">
        <f t="shared" si="168"/>
        <v>U</v>
      </c>
      <c r="ET17" s="117" t="str">
        <f t="shared" si="168"/>
        <v>U</v>
      </c>
      <c r="EU17" s="117" t="str">
        <f t="shared" si="168"/>
        <v>U</v>
      </c>
      <c r="EV17" s="117" t="str">
        <f t="shared" si="168"/>
        <v>U</v>
      </c>
      <c r="EW17" s="117" t="str">
        <f t="shared" si="168"/>
        <v>U</v>
      </c>
      <c r="EX17" s="117" t="str">
        <f ca="1">EX$9</f>
        <v>U</v>
      </c>
      <c r="EY17" s="117" t="str">
        <f ca="1">EY$9</f>
        <v>U</v>
      </c>
      <c r="EZ17" s="117" t="str">
        <f ca="1">EZ$9</f>
        <v>U</v>
      </c>
      <c r="FA17" s="117" t="str">
        <f t="shared" ca="1" si="168"/>
        <v>U</v>
      </c>
      <c r="FB17" s="117" t="str">
        <f t="shared" ca="1" si="168"/>
        <v>U</v>
      </c>
      <c r="FC17" s="117" t="str">
        <f t="shared" ca="1" si="168"/>
        <v>U</v>
      </c>
      <c r="FD17" s="117" t="str">
        <f t="shared" ca="1" si="168"/>
        <v>U</v>
      </c>
      <c r="FE17" s="117" t="str">
        <f t="shared" ca="1" si="168"/>
        <v>U</v>
      </c>
      <c r="FF17" s="117" t="str">
        <f t="shared" ca="1" si="168"/>
        <v>U</v>
      </c>
      <c r="FG17" s="117">
        <f t="shared" ca="1" si="168"/>
        <v>48</v>
      </c>
      <c r="FH17" s="117" t="str">
        <f t="shared" si="168"/>
        <v>U</v>
      </c>
      <c r="FI17" s="117" t="str">
        <f t="shared" si="168"/>
        <v>S</v>
      </c>
      <c r="FJ17" s="117" t="str">
        <f t="shared" si="168"/>
        <v>S</v>
      </c>
      <c r="FK17" s="117" t="str">
        <f t="shared" si="168"/>
        <v>S</v>
      </c>
      <c r="FL17" s="307" t="str">
        <f t="shared" si="168"/>
        <v>S</v>
      </c>
      <c r="FM17" s="117" t="str">
        <f ca="1">FM$9</f>
        <v>U</v>
      </c>
      <c r="FN17" s="117" t="str">
        <f ca="1">FN$9</f>
        <v>U</v>
      </c>
      <c r="FO17" s="117">
        <f ca="1">FO$9</f>
        <v>48</v>
      </c>
      <c r="FP17" s="117">
        <f ca="1">FP$9</f>
        <v>16</v>
      </c>
      <c r="FQ17" s="308" t="str">
        <f t="shared" si="168"/>
        <v>S</v>
      </c>
      <c r="FR17" s="117" t="str">
        <f t="shared" si="168"/>
        <v>S</v>
      </c>
      <c r="FS17" s="117" t="str">
        <f>FS$9</f>
        <v>S</v>
      </c>
      <c r="FT17" s="117" t="str">
        <f>FT$9</f>
        <v>S</v>
      </c>
      <c r="FU17" s="117" t="str">
        <f>FU$9</f>
        <v>S</v>
      </c>
      <c r="FV17" s="117" t="str">
        <f t="shared" ref="FV17:FW17" si="169">FV$9</f>
        <v>S</v>
      </c>
      <c r="FW17" s="117" t="str">
        <f t="shared" si="169"/>
        <v>S</v>
      </c>
      <c r="FX17" s="117" t="str">
        <f>FX$9</f>
        <v>U</v>
      </c>
      <c r="FY17" s="117" t="str">
        <f>FY$9</f>
        <v>U</v>
      </c>
      <c r="FZ17" s="117">
        <f t="shared" si="168"/>
        <v>27</v>
      </c>
      <c r="GA17" s="117">
        <f t="shared" si="168"/>
        <v>19</v>
      </c>
      <c r="GB17" s="117">
        <f t="shared" si="168"/>
        <v>10</v>
      </c>
      <c r="GC17" s="117">
        <f t="shared" si="168"/>
        <v>15.000000000000009</v>
      </c>
      <c r="GD17" s="117">
        <f t="shared" si="168"/>
        <v>1</v>
      </c>
      <c r="GE17" s="117">
        <f t="shared" si="168"/>
        <v>12.000000000000007</v>
      </c>
      <c r="GF17" s="117">
        <f t="shared" si="168"/>
        <v>1</v>
      </c>
      <c r="GG17" s="117">
        <f t="shared" si="168"/>
        <v>1</v>
      </c>
      <c r="GH17" s="117">
        <f t="shared" si="168"/>
        <v>12.000010000000007</v>
      </c>
      <c r="GI17" s="117" t="str">
        <f t="shared" ca="1" si="168"/>
        <v>U</v>
      </c>
      <c r="GJ17" s="117" t="str">
        <f t="shared" ca="1" si="168"/>
        <v>S</v>
      </c>
      <c r="GK17" s="117" t="str">
        <f t="shared" ca="1" si="168"/>
        <v>U</v>
      </c>
      <c r="GL17" s="117" t="str">
        <f t="shared" ca="1" si="168"/>
        <v>U</v>
      </c>
      <c r="GM17" s="117" t="str">
        <f t="shared" ca="1" si="168"/>
        <v>U</v>
      </c>
      <c r="GN17" s="117" t="str">
        <f t="shared" ca="1" si="168"/>
        <v>U</v>
      </c>
      <c r="GO17" s="117" t="str">
        <f t="shared" ca="1" si="168"/>
        <v>U</v>
      </c>
      <c r="GP17" s="117">
        <f t="shared" si="168"/>
        <v>1.0000000005663834E-5</v>
      </c>
      <c r="GQ17" s="117">
        <f t="shared" si="168"/>
        <v>5.9999999999999991</v>
      </c>
      <c r="GR17" s="117">
        <f t="shared" si="168"/>
        <v>1</v>
      </c>
      <c r="GS17" s="117">
        <f t="shared" si="168"/>
        <v>10</v>
      </c>
      <c r="GT17" s="117">
        <f t="shared" si="168"/>
        <v>15.000000000000009</v>
      </c>
      <c r="GU17" s="117">
        <f t="shared" si="168"/>
        <v>0</v>
      </c>
      <c r="GV17" s="117">
        <f t="shared" si="168"/>
        <v>6.0000000000000036</v>
      </c>
      <c r="GW17" s="117">
        <f t="shared" si="168"/>
        <v>1</v>
      </c>
      <c r="GX17" s="117">
        <f t="shared" si="168"/>
        <v>1</v>
      </c>
      <c r="GY17" s="117" t="str">
        <f t="shared" ca="1" si="168"/>
        <v>S</v>
      </c>
      <c r="GZ17" s="117">
        <f t="shared" si="168"/>
        <v>1.500010000000001</v>
      </c>
      <c r="HA17" s="117" t="str">
        <f t="shared" ca="1" si="168"/>
        <v>S</v>
      </c>
      <c r="HB17" s="117" t="str">
        <f t="shared" ca="1" si="168"/>
        <v>S</v>
      </c>
      <c r="HC17" s="117" t="str">
        <f t="shared" ca="1" si="168"/>
        <v>S</v>
      </c>
      <c r="HD17" s="117" t="str">
        <f t="shared" ca="1" si="168"/>
        <v>S</v>
      </c>
      <c r="HE17" s="117" t="str">
        <f t="shared" ca="1" si="168"/>
        <v>S</v>
      </c>
      <c r="HF17" s="208" t="str">
        <f>HF$9</f>
        <v>Yes - Right Side</v>
      </c>
      <c r="HG17" s="117" t="str">
        <f t="shared" si="168"/>
        <v>S</v>
      </c>
      <c r="HH17" s="117" t="str">
        <f t="shared" si="168"/>
        <v>U</v>
      </c>
      <c r="HI17" s="117" t="str">
        <f>HI$9</f>
        <v>U</v>
      </c>
      <c r="HJ17" s="117" t="str">
        <f t="shared" si="168"/>
        <v>S</v>
      </c>
      <c r="HK17" s="117" t="str">
        <f t="shared" si="168"/>
        <v>S</v>
      </c>
      <c r="HL17" s="117">
        <f t="shared" ca="1" si="168"/>
        <v>48</v>
      </c>
      <c r="HM17" s="117">
        <f t="shared" si="168"/>
        <v>3.9999999999999998E-6</v>
      </c>
      <c r="HN17" s="117" t="str">
        <f t="shared" si="168"/>
        <v>S</v>
      </c>
      <c r="HO17" s="117">
        <f t="shared" ca="1" si="168"/>
        <v>18</v>
      </c>
      <c r="HP17" s="117">
        <f t="shared" ca="1" si="168"/>
        <v>48.000003999999997</v>
      </c>
      <c r="HQ17" s="117" t="str">
        <f t="shared" si="168"/>
        <v>S</v>
      </c>
      <c r="HR17" s="117" t="str">
        <f t="shared" si="168"/>
        <v>S</v>
      </c>
      <c r="HS17" s="117">
        <f t="shared" ref="HS17:KR17" ca="1" si="170">HS$9</f>
        <v>359.99999600000001</v>
      </c>
      <c r="HT17" s="117">
        <f t="shared" ca="1" si="170"/>
        <v>23.999968000000024</v>
      </c>
      <c r="HU17" s="117">
        <f t="shared" ca="1" si="170"/>
        <v>23.999968000000024</v>
      </c>
      <c r="HV17" s="117">
        <f t="shared" ca="1" si="170"/>
        <v>3.9999373887056513</v>
      </c>
      <c r="HW17" s="117">
        <f t="shared" ca="1" si="170"/>
        <v>24</v>
      </c>
      <c r="HX17" s="117">
        <f t="shared" si="170"/>
        <v>388.8125</v>
      </c>
      <c r="HY17" s="117">
        <f t="shared" ca="1" si="170"/>
        <v>360.00000399999999</v>
      </c>
      <c r="HZ17" s="117">
        <f ca="1">HZ$9</f>
        <v>3.9999373887056513</v>
      </c>
      <c r="IA17" s="117">
        <f ca="1">IA$9</f>
        <v>24.000035999999973</v>
      </c>
      <c r="IB17" s="117" t="str">
        <f t="shared" si="170"/>
        <v>S</v>
      </c>
      <c r="IC17" s="117" t="str">
        <f t="shared" si="170"/>
        <v>S</v>
      </c>
      <c r="ID17" s="117">
        <f t="shared" ca="1" si="170"/>
        <v>27.999905388705674</v>
      </c>
      <c r="IE17" s="117" t="str">
        <f t="shared" si="170"/>
        <v>S</v>
      </c>
      <c r="IF17" s="117" t="str">
        <f t="shared" si="170"/>
        <v>S</v>
      </c>
      <c r="IG17" s="117" t="str">
        <f t="shared" si="170"/>
        <v>S</v>
      </c>
      <c r="IH17" s="117" t="str">
        <f t="shared" si="170"/>
        <v>S</v>
      </c>
      <c r="II17" s="117" t="str">
        <f t="shared" si="170"/>
        <v>S</v>
      </c>
      <c r="IJ17" s="117">
        <f t="shared" ca="1" si="170"/>
        <v>23.999968000000024</v>
      </c>
      <c r="IK17" s="117">
        <f t="shared" ca="1" si="170"/>
        <v>3.9999373887056513</v>
      </c>
      <c r="IL17" s="117" t="str">
        <f t="shared" si="170"/>
        <v>S</v>
      </c>
      <c r="IM17" s="117" t="str">
        <f t="shared" si="170"/>
        <v>S</v>
      </c>
      <c r="IN17" s="117" t="str">
        <f t="shared" si="170"/>
        <v>S</v>
      </c>
      <c r="IO17" s="117" t="str">
        <f t="shared" si="170"/>
        <v>S</v>
      </c>
      <c r="IP17" s="117" t="str">
        <f t="shared" si="170"/>
        <v>S</v>
      </c>
      <c r="IQ17" s="117" t="str">
        <f t="shared" si="170"/>
        <v>S</v>
      </c>
      <c r="IR17" s="117" t="str">
        <f t="shared" si="170"/>
        <v>S</v>
      </c>
      <c r="IS17" s="117" t="str">
        <f t="shared" si="170"/>
        <v>S</v>
      </c>
      <c r="IT17" s="117" t="str">
        <f t="shared" si="170"/>
        <v>S</v>
      </c>
      <c r="IU17" s="117" t="str">
        <f t="shared" si="170"/>
        <v>S</v>
      </c>
      <c r="IV17" s="117" t="str">
        <f t="shared" si="170"/>
        <v>S</v>
      </c>
      <c r="IW17" s="117" t="str">
        <f t="shared" si="170"/>
        <v>S</v>
      </c>
      <c r="IX17" s="117" t="str">
        <f t="shared" si="170"/>
        <v>S</v>
      </c>
      <c r="IY17" s="117">
        <f t="shared" ca="1" si="170"/>
        <v>1</v>
      </c>
      <c r="IZ17" s="117">
        <f t="shared" ca="1" si="170"/>
        <v>3</v>
      </c>
      <c r="JA17" s="117">
        <f t="shared" ca="1" si="170"/>
        <v>9.9999999999999995E-7</v>
      </c>
      <c r="JB17" s="117">
        <f t="shared" ca="1" si="170"/>
        <v>1.0000000000000001E-5</v>
      </c>
      <c r="JC17" s="117">
        <f t="shared" ca="1" si="170"/>
        <v>1.0000000000000001E-5</v>
      </c>
      <c r="JD17" s="117" t="str">
        <f t="shared" ca="1" si="170"/>
        <v>S</v>
      </c>
      <c r="JE17" s="117" t="str">
        <f t="shared" ca="1" si="170"/>
        <v>S</v>
      </c>
      <c r="JF17" s="117" t="str">
        <f t="shared" ca="1" si="170"/>
        <v>S</v>
      </c>
      <c r="JG17" s="117" t="str">
        <f t="shared" ca="1" si="170"/>
        <v>S</v>
      </c>
      <c r="JH17" s="117" t="str">
        <f t="shared" ca="1" si="170"/>
        <v>S</v>
      </c>
      <c r="JI17" s="117">
        <f t="shared" si="170"/>
        <v>0.1046</v>
      </c>
      <c r="JJ17" s="199">
        <f>JJ$9</f>
        <v>0.39290028474001548</v>
      </c>
      <c r="JK17" s="117">
        <f t="shared" si="170"/>
        <v>0.51790028474001548</v>
      </c>
      <c r="JL17" s="117">
        <f t="shared" si="170"/>
        <v>0.5</v>
      </c>
      <c r="JM17" s="117">
        <f t="shared" si="170"/>
        <v>0.375</v>
      </c>
      <c r="JN17" s="117">
        <f t="shared" si="170"/>
        <v>0.375</v>
      </c>
      <c r="JO17" s="117">
        <f t="shared" si="170"/>
        <v>11.25</v>
      </c>
      <c r="JP17" s="117" t="str">
        <f>JP$9</f>
        <v>S</v>
      </c>
      <c r="JQ17" s="117" t="str">
        <f>JQ$9</f>
        <v>S</v>
      </c>
      <c r="JR17" s="117" t="str">
        <f>JR$9</f>
        <v>S</v>
      </c>
      <c r="JS17" s="117" t="str">
        <f t="shared" si="170"/>
        <v>U</v>
      </c>
      <c r="JT17" s="117" t="str">
        <f t="shared" si="170"/>
        <v>U</v>
      </c>
      <c r="JU17" s="117" t="str">
        <f t="shared" si="170"/>
        <v>S</v>
      </c>
      <c r="JV17" s="117" t="str">
        <f t="shared" si="170"/>
        <v>S</v>
      </c>
      <c r="JW17" s="117" t="str">
        <f t="shared" si="170"/>
        <v>S</v>
      </c>
      <c r="JX17" s="117" t="str">
        <f t="shared" si="170"/>
        <v>S</v>
      </c>
      <c r="JY17" s="117" t="str">
        <f t="shared" si="170"/>
        <v>S</v>
      </c>
      <c r="JZ17" s="117" t="str">
        <f t="shared" si="170"/>
        <v>S</v>
      </c>
      <c r="KA17" s="117" t="str">
        <f t="shared" si="170"/>
        <v>S</v>
      </c>
      <c r="KB17" s="117" t="str">
        <f t="shared" si="170"/>
        <v>S</v>
      </c>
      <c r="KC17" s="117" t="str">
        <f t="shared" si="170"/>
        <v>S</v>
      </c>
      <c r="KD17" s="117" t="str">
        <f t="shared" si="170"/>
        <v>S</v>
      </c>
      <c r="KE17" s="117" t="str">
        <f t="shared" si="170"/>
        <v>S</v>
      </c>
      <c r="KF17" s="117" t="str">
        <f t="shared" si="170"/>
        <v>S</v>
      </c>
      <c r="KG17" s="117" t="str">
        <f t="shared" si="170"/>
        <v>S</v>
      </c>
      <c r="KH17" s="117" t="str">
        <f t="shared" si="170"/>
        <v>S</v>
      </c>
      <c r="KI17" s="117" t="str">
        <f t="shared" si="170"/>
        <v>S</v>
      </c>
      <c r="KJ17" s="117" t="str">
        <f t="shared" si="170"/>
        <v>S</v>
      </c>
      <c r="KK17" s="117" t="str">
        <f t="shared" si="170"/>
        <v>S</v>
      </c>
      <c r="KL17" s="117" t="str">
        <f t="shared" si="170"/>
        <v>S</v>
      </c>
      <c r="KM17" s="117" t="str">
        <f t="shared" si="170"/>
        <v>S</v>
      </c>
      <c r="KN17" s="117">
        <f t="shared" si="170"/>
        <v>1.0000000000000001E-5</v>
      </c>
      <c r="KO17" s="117" t="str">
        <f t="shared" si="170"/>
        <v>S</v>
      </c>
      <c r="KP17" s="117" t="str">
        <f t="shared" si="170"/>
        <v>S</v>
      </c>
      <c r="KQ17" s="117" t="str">
        <f t="shared" si="170"/>
        <v>S</v>
      </c>
      <c r="KR17" s="117" t="str">
        <f t="shared" si="170"/>
        <v>S</v>
      </c>
      <c r="KS17" s="117" t="str">
        <f t="shared" ref="KS17:NF17" si="171">KS$9</f>
        <v>S</v>
      </c>
      <c r="KT17" s="117" t="str">
        <f t="shared" si="171"/>
        <v>S</v>
      </c>
      <c r="KU17" s="117" t="str">
        <f t="shared" si="171"/>
        <v>S</v>
      </c>
      <c r="KV17" s="117" t="str">
        <f t="shared" si="171"/>
        <v>S</v>
      </c>
      <c r="KW17" s="117">
        <f t="shared" si="171"/>
        <v>2</v>
      </c>
      <c r="KX17" s="117">
        <f t="shared" si="171"/>
        <v>3.0000000000000004</v>
      </c>
      <c r="KY17" s="117">
        <f t="shared" si="171"/>
        <v>0.25</v>
      </c>
      <c r="KZ17" s="117">
        <f t="shared" si="171"/>
        <v>0.3125</v>
      </c>
      <c r="LA17" s="117">
        <f t="shared" si="171"/>
        <v>0.25</v>
      </c>
      <c r="LB17" s="117">
        <f t="shared" si="171"/>
        <v>2.0000000000000001E-4</v>
      </c>
      <c r="LC17" s="117" t="str">
        <f t="shared" si="171"/>
        <v>S</v>
      </c>
      <c r="LD17" s="117" t="str">
        <f t="shared" si="171"/>
        <v>S</v>
      </c>
      <c r="LE17" s="117" t="str">
        <f t="shared" si="171"/>
        <v>S</v>
      </c>
      <c r="LF17" s="117" t="str">
        <f t="shared" si="171"/>
        <v>S</v>
      </c>
      <c r="LG17" s="117" t="str">
        <f t="shared" si="171"/>
        <v>S</v>
      </c>
      <c r="LH17" s="117" t="str">
        <f t="shared" si="171"/>
        <v>S</v>
      </c>
      <c r="LI17" s="117" t="str">
        <f t="shared" si="171"/>
        <v>S</v>
      </c>
      <c r="LJ17" s="117" t="str">
        <f t="shared" si="171"/>
        <v>S</v>
      </c>
      <c r="LK17" s="117" t="str">
        <f t="shared" si="171"/>
        <v>S</v>
      </c>
      <c r="LL17" s="117" t="str">
        <f t="shared" si="171"/>
        <v>S</v>
      </c>
      <c r="LM17" s="117" t="str">
        <f t="shared" si="171"/>
        <v>S</v>
      </c>
      <c r="LN17" s="117" t="str">
        <f t="shared" si="171"/>
        <v>S</v>
      </c>
      <c r="LO17" s="117" t="str">
        <f t="shared" si="171"/>
        <v>S</v>
      </c>
      <c r="LP17" s="117" t="str">
        <f t="shared" si="171"/>
        <v>S</v>
      </c>
      <c r="LQ17" s="117">
        <f t="shared" si="171"/>
        <v>3.0000000000000004</v>
      </c>
      <c r="LR17" s="117">
        <f t="shared" si="171"/>
        <v>0.16999999999999998</v>
      </c>
      <c r="LS17" s="117">
        <f t="shared" si="171"/>
        <v>1.41</v>
      </c>
      <c r="LT17" s="117">
        <f t="shared" si="171"/>
        <v>0.27300000000000002</v>
      </c>
      <c r="LU17" s="117">
        <f t="shared" si="171"/>
        <v>0.27</v>
      </c>
      <c r="LV17" s="117">
        <f t="shared" si="171"/>
        <v>0.1</v>
      </c>
      <c r="LW17" s="117">
        <f t="shared" si="171"/>
        <v>9.4629999999999992</v>
      </c>
      <c r="LX17" s="117">
        <f t="shared" si="171"/>
        <v>8.4947435596928661E-2</v>
      </c>
      <c r="LY17" s="117">
        <f t="shared" si="171"/>
        <v>4.0999999999999996</v>
      </c>
      <c r="LZ17" s="117" t="str">
        <f t="shared" si="171"/>
        <v>S</v>
      </c>
      <c r="MA17" s="117" t="str">
        <f t="shared" si="171"/>
        <v>S</v>
      </c>
      <c r="MB17" s="117" t="str">
        <f t="shared" si="171"/>
        <v>S</v>
      </c>
      <c r="MC17" s="117" t="str">
        <f t="shared" si="171"/>
        <v>S</v>
      </c>
      <c r="MD17" s="117" t="str">
        <f t="shared" si="171"/>
        <v>S</v>
      </c>
      <c r="ME17" s="117" t="str">
        <f t="shared" si="171"/>
        <v>S</v>
      </c>
      <c r="MF17" s="117" t="str">
        <f t="shared" si="171"/>
        <v>S</v>
      </c>
      <c r="MG17" s="117" t="str">
        <f t="shared" si="171"/>
        <v>S</v>
      </c>
      <c r="MH17" s="117" t="str">
        <f t="shared" si="171"/>
        <v>S</v>
      </c>
      <c r="MI17" s="117" t="str">
        <f t="shared" si="171"/>
        <v>S</v>
      </c>
      <c r="MJ17" s="117" t="str">
        <f>MJ$9</f>
        <v>S</v>
      </c>
      <c r="MK17" s="117" t="str">
        <f>MK$9</f>
        <v>S</v>
      </c>
      <c r="ML17" s="117" t="str">
        <f>ML$9</f>
        <v>S</v>
      </c>
      <c r="MM17" s="117" t="str">
        <f t="shared" si="171"/>
        <v>S</v>
      </c>
      <c r="MN17" s="117" t="str">
        <f t="shared" si="171"/>
        <v>S</v>
      </c>
      <c r="MO17" s="117" t="str">
        <f t="shared" si="171"/>
        <v>S</v>
      </c>
      <c r="MP17" s="117" t="str">
        <f t="shared" si="171"/>
        <v>S</v>
      </c>
      <c r="MQ17" s="117" t="str">
        <f t="shared" si="171"/>
        <v>S</v>
      </c>
      <c r="MR17" s="117" t="str">
        <f t="shared" si="171"/>
        <v>S</v>
      </c>
      <c r="MS17" s="117" t="str">
        <f t="shared" si="171"/>
        <v>S</v>
      </c>
      <c r="MT17" s="117" t="str">
        <f t="shared" si="171"/>
        <v>S</v>
      </c>
      <c r="MU17" s="117" t="str">
        <f t="shared" si="171"/>
        <v>S</v>
      </c>
      <c r="MV17" s="117" t="str">
        <f t="shared" si="171"/>
        <v>S</v>
      </c>
      <c r="MW17" s="117" t="str">
        <f t="shared" si="171"/>
        <v>S</v>
      </c>
      <c r="MX17" s="117" t="str">
        <f t="shared" si="171"/>
        <v>S</v>
      </c>
      <c r="MY17" s="117" t="str">
        <f t="shared" si="171"/>
        <v>S</v>
      </c>
      <c r="MZ17" s="117" t="str">
        <f t="shared" si="171"/>
        <v>S</v>
      </c>
      <c r="NA17" s="117" t="str">
        <f t="shared" si="171"/>
        <v>S</v>
      </c>
      <c r="NB17" s="117" t="str">
        <f t="shared" si="171"/>
        <v>S</v>
      </c>
      <c r="NC17" s="117" t="str">
        <f t="shared" si="171"/>
        <v>S</v>
      </c>
      <c r="ND17" s="117" t="str">
        <f t="shared" si="171"/>
        <v>S</v>
      </c>
      <c r="NE17" s="117">
        <f t="shared" si="171"/>
        <v>0</v>
      </c>
      <c r="NF17" s="117">
        <f t="shared" si="171"/>
        <v>1.0000000000000001E-5</v>
      </c>
      <c r="NG17" s="117" t="str">
        <f t="shared" ref="NG17:QH17" si="172">NG$9</f>
        <v>S</v>
      </c>
      <c r="NH17" s="117" t="str">
        <f t="shared" si="172"/>
        <v>S</v>
      </c>
      <c r="NI17" s="117" t="str">
        <f t="shared" si="172"/>
        <v>S</v>
      </c>
      <c r="NJ17" s="117" t="str">
        <f t="shared" si="172"/>
        <v>S</v>
      </c>
      <c r="NK17" s="117" t="str">
        <f t="shared" si="172"/>
        <v>S</v>
      </c>
      <c r="NL17" s="117" t="str">
        <f t="shared" si="172"/>
        <v>S</v>
      </c>
      <c r="NM17" s="117" t="str">
        <f t="shared" si="172"/>
        <v>S</v>
      </c>
      <c r="NN17" s="117" t="str">
        <f t="shared" si="172"/>
        <v>S</v>
      </c>
      <c r="NO17" s="117">
        <f t="shared" si="172"/>
        <v>4</v>
      </c>
      <c r="NP17" s="117">
        <f t="shared" si="172"/>
        <v>6.0000000000000009</v>
      </c>
      <c r="NQ17" s="117">
        <f t="shared" si="172"/>
        <v>0.625</v>
      </c>
      <c r="NR17" s="117">
        <f t="shared" si="172"/>
        <v>0.5</v>
      </c>
      <c r="NS17" s="117">
        <f t="shared" si="172"/>
        <v>0.5</v>
      </c>
      <c r="NT17" s="117">
        <f t="shared" si="172"/>
        <v>0.12520000000000001</v>
      </c>
      <c r="NU17" s="117" t="str">
        <f t="shared" si="172"/>
        <v>S</v>
      </c>
      <c r="NV17" s="117" t="str">
        <f t="shared" si="172"/>
        <v>S</v>
      </c>
      <c r="NW17" s="117" t="str">
        <f t="shared" si="172"/>
        <v>S</v>
      </c>
      <c r="NX17" s="117" t="str">
        <f t="shared" si="172"/>
        <v>S</v>
      </c>
      <c r="NY17" s="117" t="str">
        <f t="shared" si="172"/>
        <v>S</v>
      </c>
      <c r="NZ17" s="117" t="str">
        <f t="shared" si="172"/>
        <v>S</v>
      </c>
      <c r="OA17" s="117" t="str">
        <f t="shared" si="172"/>
        <v>S</v>
      </c>
      <c r="OB17" s="117" t="str">
        <f t="shared" si="172"/>
        <v>S</v>
      </c>
      <c r="OC17" s="117" t="str">
        <f t="shared" si="172"/>
        <v>S</v>
      </c>
      <c r="OD17" s="117" t="str">
        <f t="shared" si="172"/>
        <v>S</v>
      </c>
      <c r="OE17" s="117">
        <f t="shared" si="172"/>
        <v>3.0000000000000004</v>
      </c>
      <c r="OF17" s="117">
        <f t="shared" si="172"/>
        <v>0.16999999999999998</v>
      </c>
      <c r="OG17" s="117">
        <f t="shared" si="172"/>
        <v>1.41</v>
      </c>
      <c r="OH17" s="117">
        <f t="shared" si="172"/>
        <v>0.27300000000000002</v>
      </c>
      <c r="OI17" s="117">
        <f t="shared" si="172"/>
        <v>0.27</v>
      </c>
      <c r="OJ17" s="117">
        <f t="shared" si="172"/>
        <v>0.1</v>
      </c>
      <c r="OK17" s="117">
        <f t="shared" si="172"/>
        <v>9.4629999999999992</v>
      </c>
      <c r="OL17" s="117">
        <f t="shared" si="172"/>
        <v>8.4947435596928661E-2</v>
      </c>
      <c r="OM17" s="117">
        <f t="shared" si="172"/>
        <v>4.0999999999999996</v>
      </c>
      <c r="ON17" s="117" t="str">
        <f t="shared" si="172"/>
        <v>S</v>
      </c>
      <c r="OO17" s="117" t="str">
        <f t="shared" si="172"/>
        <v>S</v>
      </c>
      <c r="OP17" s="117" t="str">
        <f t="shared" si="172"/>
        <v>S</v>
      </c>
      <c r="OQ17" s="117" t="str">
        <f t="shared" si="172"/>
        <v>S</v>
      </c>
      <c r="OR17" s="117" t="str">
        <f t="shared" si="172"/>
        <v>S</v>
      </c>
      <c r="OS17" s="117" t="str">
        <f t="shared" si="172"/>
        <v>S</v>
      </c>
      <c r="OT17" s="117" t="str">
        <f t="shared" si="172"/>
        <v>S</v>
      </c>
      <c r="OU17" s="117">
        <f t="shared" si="172"/>
        <v>22.352885682963269</v>
      </c>
      <c r="OV17" s="117">
        <f t="shared" si="172"/>
        <v>1.5625</v>
      </c>
      <c r="OW17" s="117">
        <f t="shared" si="172"/>
        <v>2</v>
      </c>
      <c r="OX17" s="117">
        <f t="shared" ca="1" si="172"/>
        <v>1.0000000000000001E-5</v>
      </c>
      <c r="OY17" s="117" t="str">
        <f t="shared" ca="1" si="172"/>
        <v>S</v>
      </c>
      <c r="OZ17" s="117" t="str">
        <f t="shared" ca="1" si="172"/>
        <v>S</v>
      </c>
      <c r="PA17" s="117" t="str">
        <f t="shared" ca="1" si="172"/>
        <v>S</v>
      </c>
      <c r="PB17" s="117" t="str">
        <f t="shared" ca="1" si="172"/>
        <v>S</v>
      </c>
      <c r="PC17" s="117">
        <f t="shared" si="172"/>
        <v>1.0000006859324079E-6</v>
      </c>
      <c r="PD17" s="117">
        <f t="shared" si="172"/>
        <v>1.0000000313816476E-6</v>
      </c>
      <c r="PE17" s="117">
        <f>PE$9</f>
        <v>9.9999936016657661E-7</v>
      </c>
      <c r="PF17" s="117">
        <f>PF$9</f>
        <v>9.9999997677932015E-7</v>
      </c>
      <c r="PG17" s="117" t="str">
        <f t="shared" si="172"/>
        <v>S</v>
      </c>
      <c r="PH17" s="117" t="str">
        <f t="shared" si="172"/>
        <v>S</v>
      </c>
      <c r="PI17" s="117" t="str">
        <f t="shared" si="172"/>
        <v>S</v>
      </c>
      <c r="PJ17" s="117" t="str">
        <f t="shared" si="172"/>
        <v>S</v>
      </c>
      <c r="PK17" s="117" t="str">
        <f t="shared" si="172"/>
        <v>Teflon, 2.5 x 2.5</v>
      </c>
      <c r="PL17" s="117" t="str">
        <f t="shared" si="172"/>
        <v>Teflon, 2.5 x 2.5</v>
      </c>
      <c r="PM17" s="117">
        <f t="shared" si="172"/>
        <v>0</v>
      </c>
      <c r="PN17" s="117" t="str">
        <f t="shared" si="172"/>
        <v>Teflon, 2.5 x 2.5</v>
      </c>
      <c r="PO17" s="117" t="str">
        <f t="shared" si="172"/>
        <v>Teflon, 2.5 x 2.5</v>
      </c>
      <c r="PP17" s="117">
        <f t="shared" si="172"/>
        <v>0</v>
      </c>
      <c r="PQ17" s="117">
        <f t="shared" si="172"/>
        <v>0.125</v>
      </c>
      <c r="PR17" s="117">
        <f t="shared" si="172"/>
        <v>0.125</v>
      </c>
      <c r="PS17" s="117">
        <f t="shared" si="172"/>
        <v>0.125</v>
      </c>
      <c r="PT17" s="117">
        <f t="shared" si="172"/>
        <v>0.125</v>
      </c>
      <c r="PU17" s="117" t="str">
        <f t="shared" si="172"/>
        <v>S</v>
      </c>
      <c r="PV17" s="117" t="str">
        <f t="shared" si="172"/>
        <v>S</v>
      </c>
      <c r="PW17" s="117" t="str">
        <f t="shared" si="172"/>
        <v>S</v>
      </c>
      <c r="PX17" s="117" t="str">
        <f t="shared" si="172"/>
        <v>S</v>
      </c>
      <c r="PY17" s="117" t="str">
        <f t="shared" si="172"/>
        <v>S</v>
      </c>
      <c r="PZ17" s="117" t="str">
        <f t="shared" si="172"/>
        <v>S</v>
      </c>
      <c r="QA17" s="117" t="str">
        <f t="shared" si="172"/>
        <v>S</v>
      </c>
      <c r="QB17" s="117" t="str">
        <f t="shared" si="172"/>
        <v>S</v>
      </c>
      <c r="QC17" s="117" t="str">
        <f t="shared" si="172"/>
        <v>S</v>
      </c>
      <c r="QD17" s="117" t="str">
        <f t="shared" si="172"/>
        <v>S</v>
      </c>
      <c r="QE17" s="117" t="str">
        <f t="shared" si="172"/>
        <v>S</v>
      </c>
      <c r="QF17" s="117">
        <f t="shared" ca="1" si="172"/>
        <v>3</v>
      </c>
      <c r="QG17" s="117">
        <f t="shared" ca="1" si="172"/>
        <v>1.5</v>
      </c>
      <c r="QH17" s="117">
        <f t="shared" ca="1" si="172"/>
        <v>1</v>
      </c>
      <c r="QI17" s="117">
        <f t="shared" ref="QI17:TJ17" ca="1" si="173">QI$9</f>
        <v>3</v>
      </c>
      <c r="QJ17" s="117" t="str">
        <f t="shared" ca="1" si="173"/>
        <v>S</v>
      </c>
      <c r="QK17" s="117" t="str">
        <f t="shared" si="173"/>
        <v>S</v>
      </c>
      <c r="QL17" s="117" t="str">
        <f t="shared" si="173"/>
        <v>S</v>
      </c>
      <c r="QM17" s="117" t="str">
        <f t="shared" si="173"/>
        <v>S</v>
      </c>
      <c r="QN17" s="117" t="str">
        <f t="shared" si="173"/>
        <v>S</v>
      </c>
      <c r="QO17" s="117" t="str">
        <f t="shared" si="173"/>
        <v>S</v>
      </c>
      <c r="QP17" s="117" t="str">
        <f t="shared" ca="1" si="173"/>
        <v>S</v>
      </c>
      <c r="QQ17" s="117" t="str">
        <f t="shared" si="173"/>
        <v>S</v>
      </c>
      <c r="QR17" s="117" t="str">
        <f t="shared" si="173"/>
        <v>S</v>
      </c>
      <c r="QS17" s="117" t="str">
        <f t="shared" si="173"/>
        <v>S</v>
      </c>
      <c r="QT17" s="117" t="str">
        <f t="shared" ca="1" si="173"/>
        <v>S</v>
      </c>
      <c r="QU17" s="117" t="str">
        <f t="shared" ca="1" si="173"/>
        <v>U</v>
      </c>
      <c r="QV17" s="117" t="str">
        <f t="shared" ca="1" si="173"/>
        <v>U</v>
      </c>
      <c r="QW17" s="117" t="str">
        <f t="shared" ca="1" si="173"/>
        <v>U</v>
      </c>
      <c r="QX17" s="117" t="str">
        <f t="shared" si="173"/>
        <v>S</v>
      </c>
      <c r="QY17" s="117" t="str">
        <f t="shared" si="173"/>
        <v>S</v>
      </c>
      <c r="QZ17" s="117" t="str">
        <f t="shared" si="173"/>
        <v>S</v>
      </c>
      <c r="RA17" s="117" t="str">
        <f t="shared" ca="1" si="173"/>
        <v>S</v>
      </c>
      <c r="RB17" s="117" t="str">
        <f t="shared" ca="1" si="173"/>
        <v>S</v>
      </c>
      <c r="RC17" s="117" t="str">
        <f t="shared" ca="1" si="173"/>
        <v>S</v>
      </c>
      <c r="RD17" s="117">
        <f t="shared" si="173"/>
        <v>2</v>
      </c>
      <c r="RE17" s="117">
        <f t="shared" si="173"/>
        <v>3.0000000000000004</v>
      </c>
      <c r="RF17" s="117">
        <f t="shared" si="173"/>
        <v>0.18750000000000003</v>
      </c>
      <c r="RG17" s="117">
        <f t="shared" si="173"/>
        <v>0.3125</v>
      </c>
      <c r="RH17" s="117">
        <f t="shared" si="173"/>
        <v>0.18750000000000003</v>
      </c>
      <c r="RI17" s="117">
        <f t="shared" si="173"/>
        <v>2.0000000000000001E-4</v>
      </c>
      <c r="RJ17" s="117" t="str">
        <f t="shared" si="173"/>
        <v>S</v>
      </c>
      <c r="RK17" s="117" t="str">
        <f t="shared" si="173"/>
        <v>S</v>
      </c>
      <c r="RL17" s="117" t="str">
        <f t="shared" si="173"/>
        <v>S</v>
      </c>
      <c r="RM17" s="117" t="str">
        <f t="shared" si="173"/>
        <v>S</v>
      </c>
      <c r="RN17" s="117" t="str">
        <f t="shared" si="173"/>
        <v>S</v>
      </c>
      <c r="RO17" s="117" t="str">
        <f t="shared" si="173"/>
        <v>S</v>
      </c>
      <c r="RP17" s="117" t="str">
        <f t="shared" ca="1" si="173"/>
        <v>S</v>
      </c>
      <c r="RQ17" s="117" t="str">
        <f t="shared" ca="1" si="173"/>
        <v>S</v>
      </c>
      <c r="RR17" s="117" t="str">
        <f t="shared" ca="1" si="173"/>
        <v>S</v>
      </c>
      <c r="RS17" s="117" t="str">
        <f t="shared" ca="1" si="173"/>
        <v>S</v>
      </c>
      <c r="RT17" s="117" t="str">
        <f t="shared" ca="1" si="173"/>
        <v>S</v>
      </c>
      <c r="RU17" s="117" t="str">
        <f t="shared" ca="1" si="173"/>
        <v>S</v>
      </c>
      <c r="RV17" s="117" t="str">
        <f t="shared" si="173"/>
        <v>S</v>
      </c>
      <c r="RW17" s="117" t="str">
        <f t="shared" si="173"/>
        <v>S</v>
      </c>
      <c r="RX17" s="117" t="str">
        <f t="shared" ca="1" si="173"/>
        <v>S</v>
      </c>
      <c r="RY17" s="117" t="str">
        <f t="shared" ca="1" si="173"/>
        <v>S</v>
      </c>
      <c r="RZ17" s="117" t="str">
        <f t="shared" ca="1" si="173"/>
        <v>S</v>
      </c>
      <c r="SA17" s="117">
        <f t="shared" si="173"/>
        <v>3.0000000000000004</v>
      </c>
      <c r="SB17" s="117">
        <f t="shared" si="173"/>
        <v>0.16999999999999998</v>
      </c>
      <c r="SC17" s="117">
        <f t="shared" si="173"/>
        <v>1.41</v>
      </c>
      <c r="SD17" s="117">
        <f t="shared" si="173"/>
        <v>0.27300000000000002</v>
      </c>
      <c r="SE17" s="117">
        <f t="shared" si="173"/>
        <v>0.27</v>
      </c>
      <c r="SF17" s="117">
        <f t="shared" si="173"/>
        <v>0.1</v>
      </c>
      <c r="SG17" s="117">
        <f t="shared" si="173"/>
        <v>9.4629999999999992</v>
      </c>
      <c r="SH17" s="117">
        <f t="shared" si="173"/>
        <v>8.4947435596928661E-2</v>
      </c>
      <c r="SI17" s="117">
        <f t="shared" si="173"/>
        <v>4.0999999999999996</v>
      </c>
      <c r="SJ17" s="117" t="str">
        <f t="shared" si="173"/>
        <v>S</v>
      </c>
      <c r="SK17" s="117" t="str">
        <f t="shared" si="173"/>
        <v>S</v>
      </c>
      <c r="SL17" s="117" t="str">
        <f t="shared" si="173"/>
        <v>S</v>
      </c>
      <c r="SM17" s="117" t="str">
        <f t="shared" si="173"/>
        <v>S</v>
      </c>
      <c r="SN17" s="117" t="str">
        <f t="shared" si="173"/>
        <v>S</v>
      </c>
      <c r="SO17" s="117" t="str">
        <f t="shared" si="173"/>
        <v>S</v>
      </c>
      <c r="SP17" s="117" t="str">
        <f t="shared" ca="1" si="173"/>
        <v>S</v>
      </c>
      <c r="SQ17" s="117" t="str">
        <f t="shared" ca="1" si="173"/>
        <v>S</v>
      </c>
      <c r="SR17" s="117" t="str">
        <f>SR$9</f>
        <v>S</v>
      </c>
      <c r="SS17" s="117">
        <f t="shared" ref="SS17:SV17" si="174">SS$9</f>
        <v>1.5000000000000002</v>
      </c>
      <c r="ST17" s="117">
        <f t="shared" si="174"/>
        <v>1.5000000000000002</v>
      </c>
      <c r="SU17" s="117">
        <f t="shared" si="174"/>
        <v>0.5</v>
      </c>
      <c r="SV17" s="117">
        <f t="shared" si="174"/>
        <v>0.5</v>
      </c>
      <c r="SW17" s="117" t="str">
        <f t="shared" ca="1" si="173"/>
        <v>S</v>
      </c>
      <c r="SX17" s="117" t="str">
        <f t="shared" ca="1" si="173"/>
        <v>S</v>
      </c>
      <c r="SY17" s="117" t="str">
        <f t="shared" ca="1" si="173"/>
        <v>S</v>
      </c>
      <c r="SZ17" s="117" t="str">
        <f t="shared" ca="1" si="173"/>
        <v>S</v>
      </c>
      <c r="TA17" s="117" t="str">
        <f t="shared" si="173"/>
        <v>S</v>
      </c>
      <c r="TB17" s="117" t="str">
        <f t="shared" si="173"/>
        <v>S</v>
      </c>
      <c r="TC17" s="117" t="str">
        <f t="shared" ca="1" si="173"/>
        <v>S</v>
      </c>
      <c r="TD17" s="117" t="str">
        <f t="shared" ca="1" si="173"/>
        <v>S</v>
      </c>
      <c r="TE17" s="117" t="str">
        <f t="shared" ca="1" si="173"/>
        <v>S</v>
      </c>
      <c r="TF17" s="117">
        <f t="shared" si="173"/>
        <v>3</v>
      </c>
      <c r="TG17" s="117">
        <f t="shared" si="173"/>
        <v>5.7</v>
      </c>
      <c r="TH17" s="117">
        <f t="shared" si="173"/>
        <v>3.0000000000000004</v>
      </c>
      <c r="TI17" s="117">
        <f t="shared" si="173"/>
        <v>0.16999999999999998</v>
      </c>
      <c r="TJ17" s="117">
        <f t="shared" si="173"/>
        <v>2.33</v>
      </c>
      <c r="TK17" s="117">
        <f t="shared" ref="TK17:VT17" si="175">TK$9</f>
        <v>0.26</v>
      </c>
      <c r="TL17" s="117">
        <f t="shared" si="175"/>
        <v>0.27</v>
      </c>
      <c r="TM17" s="117">
        <f t="shared" si="175"/>
        <v>0.1</v>
      </c>
      <c r="TN17" s="117">
        <f t="shared" si="175"/>
        <v>9.4630000000000312</v>
      </c>
      <c r="TO17" s="117">
        <f t="shared" si="175"/>
        <v>1.8425437273624747</v>
      </c>
      <c r="TP17" s="117" t="str">
        <f t="shared" ca="1" si="175"/>
        <v>S</v>
      </c>
      <c r="TQ17" s="117" t="str">
        <f t="shared" ca="1" si="175"/>
        <v>S</v>
      </c>
      <c r="TR17" s="117" t="str">
        <f t="shared" ca="1" si="175"/>
        <v>S</v>
      </c>
      <c r="TS17" s="117" t="str">
        <f t="shared" ca="1" si="175"/>
        <v>S</v>
      </c>
      <c r="TT17" s="117" t="str">
        <f t="shared" si="175"/>
        <v>S</v>
      </c>
      <c r="TU17" s="117" t="str">
        <f t="shared" si="175"/>
        <v>S</v>
      </c>
      <c r="TV17" s="117" t="str">
        <f t="shared" ca="1" si="175"/>
        <v>S</v>
      </c>
      <c r="TW17" s="117" t="str">
        <f t="shared" ca="1" si="175"/>
        <v>S</v>
      </c>
      <c r="TX17" s="117" t="str">
        <f t="shared" ca="1" si="175"/>
        <v>S</v>
      </c>
      <c r="TY17" s="117">
        <f t="shared" si="175"/>
        <v>4</v>
      </c>
      <c r="TZ17" s="117">
        <f t="shared" si="175"/>
        <v>13</v>
      </c>
      <c r="UA17" s="117">
        <f t="shared" si="175"/>
        <v>4.16</v>
      </c>
      <c r="UB17" s="117">
        <f t="shared" si="175"/>
        <v>0.28000000000000003</v>
      </c>
      <c r="UC17" s="117">
        <f t="shared" si="175"/>
        <v>4.0599999999999996</v>
      </c>
      <c r="UD17" s="117">
        <f t="shared" si="175"/>
        <v>0.34499999999999992</v>
      </c>
      <c r="UE17" s="117">
        <f t="shared" si="175"/>
        <v>0.25</v>
      </c>
      <c r="UF17" s="117" t="str">
        <f t="shared" ca="1" si="175"/>
        <v>U</v>
      </c>
      <c r="UG17" s="117" t="str">
        <f t="shared" ca="1" si="175"/>
        <v>U</v>
      </c>
      <c r="UH17" s="117" t="str">
        <f t="shared" ca="1" si="175"/>
        <v>U</v>
      </c>
      <c r="UI17" s="117" t="str">
        <f t="shared" ca="1" si="175"/>
        <v>U</v>
      </c>
      <c r="UJ17" s="117"/>
      <c r="UK17" s="117" t="str">
        <f t="shared" si="175"/>
        <v>S</v>
      </c>
      <c r="UL17" s="117" t="str">
        <f t="shared" si="175"/>
        <v>S</v>
      </c>
      <c r="UM17" s="117" t="str">
        <f t="shared" si="175"/>
        <v>S</v>
      </c>
      <c r="UN17" s="117" t="str">
        <f t="shared" si="175"/>
        <v>S</v>
      </c>
      <c r="UO17" s="117" t="str">
        <f t="shared" si="175"/>
        <v>S</v>
      </c>
      <c r="UP17" s="117" t="str">
        <f t="shared" si="175"/>
        <v>S</v>
      </c>
      <c r="UQ17" s="117" t="str">
        <f t="shared" si="175"/>
        <v>S</v>
      </c>
      <c r="UR17" s="117">
        <f t="shared" si="175"/>
        <v>1</v>
      </c>
      <c r="US17" s="117">
        <f t="shared" si="175"/>
        <v>2</v>
      </c>
      <c r="UT17" s="117">
        <f t="shared" si="175"/>
        <v>500</v>
      </c>
      <c r="UU17" s="117" t="str">
        <f t="shared" si="175"/>
        <v>S</v>
      </c>
      <c r="UV17" s="117" t="str">
        <f t="shared" si="175"/>
        <v>S</v>
      </c>
      <c r="UW17" s="117" t="str">
        <f t="shared" si="175"/>
        <v>S</v>
      </c>
      <c r="UX17" s="117" t="str">
        <f t="shared" si="175"/>
        <v>S</v>
      </c>
      <c r="UY17" s="117" t="str">
        <f t="shared" si="175"/>
        <v>S</v>
      </c>
      <c r="UZ17" s="117" t="str">
        <f t="shared" si="175"/>
        <v>S</v>
      </c>
      <c r="VA17" s="117" t="str">
        <f t="shared" si="175"/>
        <v>S</v>
      </c>
      <c r="VB17" s="117" t="str">
        <f t="shared" si="175"/>
        <v>S</v>
      </c>
      <c r="VC17" s="117" t="str">
        <f t="shared" si="175"/>
        <v>U</v>
      </c>
      <c r="VD17" s="117" t="str">
        <f t="shared" si="175"/>
        <v>S</v>
      </c>
      <c r="VE17" s="117" t="str">
        <f t="shared" si="175"/>
        <v>S</v>
      </c>
      <c r="VF17" s="117" t="str">
        <f t="shared" si="175"/>
        <v>S</v>
      </c>
      <c r="VG17" s="117" t="str">
        <f t="shared" si="175"/>
        <v>S</v>
      </c>
      <c r="VH17" s="117" t="str">
        <f t="shared" si="175"/>
        <v>S</v>
      </c>
      <c r="VI17" s="117" t="str">
        <f>VI$9</f>
        <v>3</v>
      </c>
      <c r="VJ17" s="117" t="str">
        <f t="shared" si="175"/>
        <v>.3</v>
      </c>
      <c r="VK17" s="117">
        <f t="shared" si="175"/>
        <v>3</v>
      </c>
      <c r="VL17" s="117" t="str">
        <f t="shared" si="175"/>
        <v>3-SEC</v>
      </c>
      <c r="VM17" s="117" t="str">
        <f t="shared" si="175"/>
        <v>3-BTS</v>
      </c>
      <c r="VN17" s="117" t="str">
        <f t="shared" si="175"/>
        <v>BOTTOM TUBE SUPPORT</v>
      </c>
      <c r="VO17" s="117" t="str">
        <f t="shared" si="175"/>
        <v>000000</v>
      </c>
      <c r="VP17" s="410">
        <f t="shared" si="175"/>
        <v>5</v>
      </c>
      <c r="VQ17" s="410">
        <f t="shared" si="175"/>
        <v>5</v>
      </c>
      <c r="VR17" s="410">
        <f t="shared" si="175"/>
        <v>0.125</v>
      </c>
      <c r="VS17" s="410">
        <f t="shared" si="175"/>
        <v>1.125</v>
      </c>
      <c r="VT17" s="410">
        <f t="shared" si="175"/>
        <v>3.5</v>
      </c>
      <c r="VX17" s="117" t="str">
        <f>VX$9</f>
        <v>3-SEC</v>
      </c>
    </row>
    <row r="18" spans="1:596" ht="14.4" hidden="1" outlineLevel="1" x14ac:dyDescent="0.3">
      <c r="A18" s="278" t="str">
        <f ca="1">IF(A10="$User_Notes","$User_Notes",CONCATENATE(A10,"SM-FLAT-PATTERN"))</f>
        <v>$User_Notes</v>
      </c>
      <c r="B18" s="117" t="str">
        <f>B$10</f>
        <v>AXC</v>
      </c>
      <c r="C18" s="117">
        <f t="shared" ref="C18:BT18" si="176">C$10</f>
        <v>65</v>
      </c>
      <c r="D18" s="117">
        <f t="shared" si="176"/>
        <v>780</v>
      </c>
      <c r="E18" s="117">
        <f t="shared" si="176"/>
        <v>0.125</v>
      </c>
      <c r="F18" s="117">
        <f t="shared" si="176"/>
        <v>6.25E-2</v>
      </c>
      <c r="G18" s="117">
        <f t="shared" si="176"/>
        <v>777.625</v>
      </c>
      <c r="H18" s="117" t="str">
        <f t="shared" si="176"/>
        <v>MC12x10.6</v>
      </c>
      <c r="I18" s="117" t="str">
        <f t="shared" si="176"/>
        <v>AXC materials:SA-36</v>
      </c>
      <c r="J18" s="117" t="str">
        <f t="shared" si="176"/>
        <v>Galvanized</v>
      </c>
      <c r="K18" s="117" t="str">
        <f t="shared" si="176"/>
        <v>Bolt on Angle</v>
      </c>
      <c r="L18" s="117" t="str">
        <f t="shared" si="176"/>
        <v>EH\VV\VI_</v>
      </c>
      <c r="M18" s="117">
        <f t="shared" ca="1" si="176"/>
        <v>16</v>
      </c>
      <c r="N18" s="117">
        <f t="shared" ca="1" si="176"/>
        <v>48</v>
      </c>
      <c r="O18" s="117">
        <f t="shared" ca="1" si="176"/>
        <v>30</v>
      </c>
      <c r="P18" s="117" t="str">
        <f t="shared" si="176"/>
        <v>Yes - Rear HDR</v>
      </c>
      <c r="Q18" s="117">
        <f t="shared" si="176"/>
        <v>3.9999333887056512</v>
      </c>
      <c r="R18" s="117" t="str">
        <f t="shared" si="176"/>
        <v>Angle</v>
      </c>
      <c r="S18" s="117" t="str">
        <f t="shared" si="176"/>
        <v>L2x3x0.1875</v>
      </c>
      <c r="T18" s="117" t="str">
        <f t="shared" si="176"/>
        <v>Weld On</v>
      </c>
      <c r="U18" s="117" t="str">
        <f>U$10</f>
        <v>Yes</v>
      </c>
      <c r="V18" s="117" t="str">
        <f t="shared" si="176"/>
        <v>Yes</v>
      </c>
      <c r="W18" s="117">
        <f t="shared" si="176"/>
        <v>15</v>
      </c>
      <c r="X18" s="117">
        <f t="shared" si="176"/>
        <v>0</v>
      </c>
      <c r="Y18" s="117">
        <f>Y$10</f>
        <v>0</v>
      </c>
      <c r="Z18" s="117" t="str">
        <f>Z$10</f>
        <v>STD</v>
      </c>
      <c r="AA18" s="117" t="str">
        <f t="shared" si="176"/>
        <v>No</v>
      </c>
      <c r="AB18" s="117" t="str">
        <f>AB$10</f>
        <v>OFF</v>
      </c>
      <c r="AC18" s="117" t="str">
        <f t="shared" si="176"/>
        <v>Yes</v>
      </c>
      <c r="AD18" s="117" t="str">
        <f>AD$10</f>
        <v>AXC Weld On</v>
      </c>
      <c r="AE18" s="117" t="str">
        <f>AE$10</f>
        <v>Outside</v>
      </c>
      <c r="AF18" s="117" t="str">
        <f t="shared" si="176"/>
        <v>0.5"</v>
      </c>
      <c r="AG18" s="117">
        <f t="shared" si="176"/>
        <v>278.125</v>
      </c>
      <c r="AH18" s="117">
        <f t="shared" si="176"/>
        <v>249.75</v>
      </c>
      <c r="AI18" s="117">
        <f t="shared" si="176"/>
        <v>0.5</v>
      </c>
      <c r="AJ18" s="117">
        <f t="shared" si="176"/>
        <v>4</v>
      </c>
      <c r="AK18" s="117">
        <f t="shared" si="176"/>
        <v>500</v>
      </c>
      <c r="AL18" s="117" t="str">
        <f t="shared" si="176"/>
        <v>None</v>
      </c>
      <c r="AM18" s="117" t="str">
        <f t="shared" si="176"/>
        <v>Pick from List</v>
      </c>
      <c r="AN18" s="117" t="str">
        <f t="shared" si="176"/>
        <v>None</v>
      </c>
      <c r="AO18" s="117" t="str">
        <f t="shared" si="176"/>
        <v>None</v>
      </c>
      <c r="AP18" s="117" t="str">
        <f t="shared" si="176"/>
        <v>None</v>
      </c>
      <c r="AQ18" s="117" t="str">
        <f t="shared" si="176"/>
        <v>L4x6x0.625</v>
      </c>
      <c r="AR18" s="117" t="str">
        <f t="shared" si="176"/>
        <v>Bolt on</v>
      </c>
      <c r="AS18" s="117" t="str">
        <f t="shared" si="176"/>
        <v>Yes</v>
      </c>
      <c r="AT18" s="117" t="str">
        <f t="shared" ca="1" si="176"/>
        <v>Bolt On</v>
      </c>
      <c r="AU18" s="117">
        <f t="shared" ca="1" si="176"/>
        <v>16</v>
      </c>
      <c r="AV18" s="117">
        <f t="shared" si="176"/>
        <v>0</v>
      </c>
      <c r="AW18" s="117">
        <f t="shared" si="176"/>
        <v>0</v>
      </c>
      <c r="AX18" s="117">
        <f t="shared" si="176"/>
        <v>6.25E-2</v>
      </c>
      <c r="AY18" s="117">
        <f t="shared" si="176"/>
        <v>21.915385672961552</v>
      </c>
      <c r="AZ18" s="117">
        <f t="shared" si="176"/>
        <v>1.5625</v>
      </c>
      <c r="BA18" s="117">
        <f t="shared" si="176"/>
        <v>2</v>
      </c>
      <c r="BB18" s="117">
        <f t="shared" si="176"/>
        <v>21.915385672961648</v>
      </c>
      <c r="BC18" s="117">
        <f t="shared" si="176"/>
        <v>1.5625</v>
      </c>
      <c r="BD18" s="117">
        <f t="shared" si="176"/>
        <v>2</v>
      </c>
      <c r="BE18" s="117">
        <f t="shared" si="176"/>
        <v>0.6250000000043382</v>
      </c>
      <c r="BF18" s="117">
        <f t="shared" si="176"/>
        <v>1.0937500000075919</v>
      </c>
      <c r="BG18" s="117">
        <f t="shared" si="176"/>
        <v>2</v>
      </c>
      <c r="BH18" s="117">
        <f t="shared" si="176"/>
        <v>0.62500000000430156</v>
      </c>
      <c r="BI18" s="117">
        <f t="shared" si="176"/>
        <v>1.0937500000075278</v>
      </c>
      <c r="BJ18" s="117">
        <f t="shared" si="176"/>
        <v>2</v>
      </c>
      <c r="BK18" s="117">
        <f t="shared" si="176"/>
        <v>1.9999999999999956</v>
      </c>
      <c r="BL18" s="117" t="str">
        <f t="shared" si="176"/>
        <v>Weld Bar</v>
      </c>
      <c r="BM18" s="117">
        <f t="shared" si="176"/>
        <v>0.99999999999999589</v>
      </c>
      <c r="BN18" s="117" t="str">
        <f t="shared" si="176"/>
        <v>Float Bar</v>
      </c>
      <c r="BO18" s="117">
        <f t="shared" si="176"/>
        <v>5</v>
      </c>
      <c r="BP18" s="117" t="str">
        <f t="shared" si="176"/>
        <v>MC12x10.6</v>
      </c>
      <c r="BQ18" s="117" t="str">
        <f t="shared" si="176"/>
        <v>U</v>
      </c>
      <c r="BR18" s="117" t="str">
        <f t="shared" si="176"/>
        <v>S</v>
      </c>
      <c r="BS18" s="117">
        <f t="shared" si="176"/>
        <v>31.374999284744241</v>
      </c>
      <c r="BT18" s="117">
        <f t="shared" si="176"/>
        <v>29.000000000000004</v>
      </c>
      <c r="BU18" s="117">
        <f t="shared" ref="BU18:EK18" si="177">BU$10</f>
        <v>3.9999999999999969</v>
      </c>
      <c r="BV18" s="117">
        <f t="shared" si="177"/>
        <v>0.25000000000000089</v>
      </c>
      <c r="BW18" s="117">
        <f t="shared" si="177"/>
        <v>9.9999999999269527E-6</v>
      </c>
      <c r="BX18" s="117">
        <f t="shared" si="177"/>
        <v>1</v>
      </c>
      <c r="BY18" s="117">
        <f t="shared" si="177"/>
        <v>1</v>
      </c>
      <c r="BZ18" s="117">
        <f t="shared" si="177"/>
        <v>6.2721143170279987</v>
      </c>
      <c r="CA18" s="117">
        <f t="shared" si="177"/>
        <v>360</v>
      </c>
      <c r="CB18" s="117">
        <f t="shared" si="177"/>
        <v>1.0000000000001172</v>
      </c>
      <c r="CC18" s="117">
        <f t="shared" si="177"/>
        <v>0.99999999999983746</v>
      </c>
      <c r="CD18" s="117">
        <f t="shared" si="177"/>
        <v>0</v>
      </c>
      <c r="CE18" s="117">
        <f t="shared" si="177"/>
        <v>1.5000000000000009</v>
      </c>
      <c r="CF18" s="117">
        <f t="shared" si="177"/>
        <v>1.2990381056766582</v>
      </c>
      <c r="CG18" s="117">
        <f t="shared" si="177"/>
        <v>9.9999999969219204E-6</v>
      </c>
      <c r="CH18" s="117" t="str">
        <f t="shared" si="177"/>
        <v>No</v>
      </c>
      <c r="CI18" s="117" t="str">
        <f t="shared" si="177"/>
        <v>U</v>
      </c>
      <c r="CJ18" s="117">
        <f t="shared" si="177"/>
        <v>10.6</v>
      </c>
      <c r="CK18" s="117">
        <f t="shared" si="177"/>
        <v>12.000000000000002</v>
      </c>
      <c r="CL18" s="117">
        <f t="shared" si="177"/>
        <v>0.18999999999999997</v>
      </c>
      <c r="CM18" s="117">
        <f t="shared" si="177"/>
        <v>1.5000000000000002</v>
      </c>
      <c r="CN18" s="117">
        <f t="shared" si="177"/>
        <v>0.30899999999999994</v>
      </c>
      <c r="CO18" s="117">
        <f t="shared" si="177"/>
        <v>0.25</v>
      </c>
      <c r="CP18" s="117">
        <f t="shared" si="177"/>
        <v>0.13</v>
      </c>
      <c r="CQ18" s="117">
        <f t="shared" si="177"/>
        <v>9.4629999999999992</v>
      </c>
      <c r="CR18" s="117">
        <f t="shared" si="177"/>
        <v>8.9700168853607709E-2</v>
      </c>
      <c r="CS18" s="117">
        <f t="shared" si="177"/>
        <v>10.740092274765473</v>
      </c>
      <c r="CT18" s="117">
        <f t="shared" si="177"/>
        <v>0.62995386261726427</v>
      </c>
      <c r="CU18" s="117" t="str">
        <f t="shared" si="177"/>
        <v>S</v>
      </c>
      <c r="CV18" s="117">
        <f t="shared" si="177"/>
        <v>12.000000000000002</v>
      </c>
      <c r="CW18" s="117">
        <f t="shared" si="177"/>
        <v>0.28199999999999997</v>
      </c>
      <c r="CX18" s="117">
        <f t="shared" si="177"/>
        <v>2.9419999999999997</v>
      </c>
      <c r="CY18" s="117">
        <f t="shared" si="177"/>
        <v>0.501</v>
      </c>
      <c r="CZ18" s="117">
        <f t="shared" si="177"/>
        <v>0.37999999999999995</v>
      </c>
      <c r="DA18" s="117">
        <f t="shared" si="177"/>
        <v>0.16999999999999998</v>
      </c>
      <c r="DB18" s="117">
        <f t="shared" si="177"/>
        <v>9.4629999999999992</v>
      </c>
      <c r="DC18" s="117">
        <f t="shared" si="177"/>
        <v>0.13530728481002544</v>
      </c>
      <c r="DD18" s="117">
        <f t="shared" si="177"/>
        <v>20.7</v>
      </c>
      <c r="DE18" s="117" t="str">
        <f t="shared" si="177"/>
        <v>S</v>
      </c>
      <c r="DF18" s="117" t="str">
        <f t="shared" si="177"/>
        <v>S</v>
      </c>
      <c r="DG18" s="117" t="str">
        <f t="shared" si="177"/>
        <v>S</v>
      </c>
      <c r="DH18" s="117" t="str">
        <f t="shared" si="177"/>
        <v>S</v>
      </c>
      <c r="DI18" s="117" t="str">
        <f t="shared" si="177"/>
        <v>S</v>
      </c>
      <c r="DJ18" s="117" t="str">
        <f t="shared" si="177"/>
        <v>S</v>
      </c>
      <c r="DK18" s="117" t="str">
        <f t="shared" si="177"/>
        <v>S</v>
      </c>
      <c r="DL18" s="117" t="str">
        <f t="shared" si="177"/>
        <v>S</v>
      </c>
      <c r="DM18" s="117" t="str">
        <f t="shared" si="177"/>
        <v>U</v>
      </c>
      <c r="DN18" s="117" t="str">
        <f t="shared" si="177"/>
        <v>U</v>
      </c>
      <c r="DO18" s="117" t="str">
        <f t="shared" si="177"/>
        <v>U</v>
      </c>
      <c r="DP18" s="117" t="str">
        <f t="shared" si="177"/>
        <v>U</v>
      </c>
      <c r="DQ18" s="117" t="str">
        <f t="shared" si="177"/>
        <v>S</v>
      </c>
      <c r="DR18" s="117" t="str">
        <f t="shared" si="177"/>
        <v>S</v>
      </c>
      <c r="DS18" s="117" t="str">
        <f t="shared" si="177"/>
        <v>S</v>
      </c>
      <c r="DT18" s="117" t="str">
        <f t="shared" si="177"/>
        <v>S</v>
      </c>
      <c r="DU18" s="117" t="str">
        <f t="shared" si="177"/>
        <v>S</v>
      </c>
      <c r="DV18" s="117" t="str">
        <f t="shared" si="177"/>
        <v>S</v>
      </c>
      <c r="DW18" s="117" t="str">
        <f t="shared" si="177"/>
        <v>S</v>
      </c>
      <c r="DX18" s="117" t="str">
        <f t="shared" si="177"/>
        <v>S</v>
      </c>
      <c r="DY18" s="117">
        <f t="shared" si="177"/>
        <v>29</v>
      </c>
      <c r="DZ18" s="117">
        <f t="shared" si="177"/>
        <v>0.25</v>
      </c>
      <c r="EA18" s="117">
        <f t="shared" si="177"/>
        <v>0.25</v>
      </c>
      <c r="EB18" s="117">
        <f t="shared" si="177"/>
        <v>3.9999999999999969</v>
      </c>
      <c r="EC18" s="117">
        <f t="shared" si="177"/>
        <v>1E-4</v>
      </c>
      <c r="ED18" s="117">
        <f t="shared" si="177"/>
        <v>1E-4</v>
      </c>
      <c r="EE18" s="117">
        <f t="shared" si="177"/>
        <v>0.25000000000000089</v>
      </c>
      <c r="EF18" s="117">
        <f t="shared" si="177"/>
        <v>1.5599999999999999E-2</v>
      </c>
      <c r="EG18" s="117" t="str">
        <f t="shared" ca="1" si="177"/>
        <v>U</v>
      </c>
      <c r="EH18" s="117" t="str">
        <f t="shared" ca="1" si="177"/>
        <v>S</v>
      </c>
      <c r="EI18" s="117" t="str">
        <f t="shared" ca="1" si="177"/>
        <v>U</v>
      </c>
      <c r="EJ18" s="117" t="str">
        <f t="shared" si="177"/>
        <v>S</v>
      </c>
      <c r="EK18" s="117" t="str">
        <f t="shared" ca="1" si="177"/>
        <v>U</v>
      </c>
      <c r="EL18" s="117" t="str">
        <f t="shared" ref="EL18:HR18" ca="1" si="178">EL$10</f>
        <v>S</v>
      </c>
      <c r="EM18" s="117">
        <f t="shared" si="178"/>
        <v>0.75</v>
      </c>
      <c r="EN18" s="117">
        <f t="shared" si="178"/>
        <v>0.19000000000423975</v>
      </c>
      <c r="EO18" s="117">
        <f t="shared" si="178"/>
        <v>0.62500000000001221</v>
      </c>
      <c r="EP18" s="117">
        <f t="shared" si="178"/>
        <v>1.5000000000000016</v>
      </c>
      <c r="EQ18" s="117">
        <f t="shared" si="178"/>
        <v>1.437500284744256</v>
      </c>
      <c r="ER18" s="117">
        <f t="shared" si="178"/>
        <v>0.5</v>
      </c>
      <c r="ES18" s="117" t="str">
        <f t="shared" si="178"/>
        <v>U</v>
      </c>
      <c r="ET18" s="117" t="str">
        <f t="shared" si="178"/>
        <v>U</v>
      </c>
      <c r="EU18" s="117" t="str">
        <f t="shared" si="178"/>
        <v>U</v>
      </c>
      <c r="EV18" s="117" t="str">
        <f t="shared" si="178"/>
        <v>U</v>
      </c>
      <c r="EW18" s="117" t="str">
        <f t="shared" si="178"/>
        <v>U</v>
      </c>
      <c r="EX18" s="117" t="str">
        <f ca="1">EX$10</f>
        <v>U</v>
      </c>
      <c r="EY18" s="117" t="str">
        <f ca="1">EY$10</f>
        <v>U</v>
      </c>
      <c r="EZ18" s="117" t="str">
        <f ca="1">EZ$10</f>
        <v>U</v>
      </c>
      <c r="FA18" s="117" t="str">
        <f t="shared" ca="1" si="178"/>
        <v>U</v>
      </c>
      <c r="FB18" s="117" t="str">
        <f t="shared" ca="1" si="178"/>
        <v>U</v>
      </c>
      <c r="FC18" s="117" t="str">
        <f t="shared" ca="1" si="178"/>
        <v>U</v>
      </c>
      <c r="FD18" s="117" t="str">
        <f t="shared" ca="1" si="178"/>
        <v>U</v>
      </c>
      <c r="FE18" s="117" t="str">
        <f t="shared" ca="1" si="178"/>
        <v>U</v>
      </c>
      <c r="FF18" s="117" t="str">
        <f t="shared" ca="1" si="178"/>
        <v>U</v>
      </c>
      <c r="FG18" s="117">
        <f t="shared" ca="1" si="178"/>
        <v>48</v>
      </c>
      <c r="FH18" s="117" t="str">
        <f t="shared" si="178"/>
        <v>U</v>
      </c>
      <c r="FI18" s="117" t="str">
        <f t="shared" si="178"/>
        <v>S</v>
      </c>
      <c r="FJ18" s="117" t="str">
        <f t="shared" ca="1" si="178"/>
        <v>U</v>
      </c>
      <c r="FK18" s="117" t="str">
        <f t="shared" ca="1" si="178"/>
        <v>U</v>
      </c>
      <c r="FL18" s="307" t="str">
        <f t="shared" ca="1" si="178"/>
        <v>U</v>
      </c>
      <c r="FM18" s="117" t="str">
        <f ca="1">FM$10</f>
        <v>U</v>
      </c>
      <c r="FN18" s="117" t="str">
        <f ca="1">FN$10</f>
        <v>U</v>
      </c>
      <c r="FO18" s="117">
        <f ca="1">FO$10</f>
        <v>48</v>
      </c>
      <c r="FP18" s="117">
        <f ca="1">FP$10</f>
        <v>16</v>
      </c>
      <c r="FQ18" s="308" t="str">
        <f t="shared" si="178"/>
        <v>U</v>
      </c>
      <c r="FR18" s="117" t="str">
        <f t="shared" si="178"/>
        <v>U</v>
      </c>
      <c r="FS18" s="117" t="str">
        <f>FS$10</f>
        <v>S</v>
      </c>
      <c r="FT18" s="117" t="str">
        <f>FT$10</f>
        <v>S</v>
      </c>
      <c r="FU18" s="117" t="str">
        <f>FU$10</f>
        <v>U</v>
      </c>
      <c r="FV18" s="117" t="str">
        <f t="shared" ref="FV18:FW18" si="179">FV$10</f>
        <v>U</v>
      </c>
      <c r="FW18" s="117" t="str">
        <f t="shared" si="179"/>
        <v>U</v>
      </c>
      <c r="FX18" s="117" t="str">
        <f>FX$10</f>
        <v>U</v>
      </c>
      <c r="FY18" s="117" t="str">
        <f>FY$10</f>
        <v>U</v>
      </c>
      <c r="FZ18" s="117">
        <f t="shared" si="178"/>
        <v>27</v>
      </c>
      <c r="GA18" s="117">
        <f t="shared" si="178"/>
        <v>19</v>
      </c>
      <c r="GB18" s="117">
        <f t="shared" si="178"/>
        <v>10</v>
      </c>
      <c r="GC18" s="117">
        <f t="shared" si="178"/>
        <v>15.000000000000009</v>
      </c>
      <c r="GD18" s="117">
        <f t="shared" si="178"/>
        <v>1</v>
      </c>
      <c r="GE18" s="117">
        <f t="shared" si="178"/>
        <v>12.000000000000007</v>
      </c>
      <c r="GF18" s="117">
        <f t="shared" si="178"/>
        <v>1</v>
      </c>
      <c r="GG18" s="117">
        <f t="shared" si="178"/>
        <v>1</v>
      </c>
      <c r="GH18" s="117">
        <f t="shared" si="178"/>
        <v>12.000010000000007</v>
      </c>
      <c r="GI18" s="117" t="str">
        <f t="shared" ca="1" si="178"/>
        <v>U</v>
      </c>
      <c r="GJ18" s="117" t="str">
        <f t="shared" ca="1" si="178"/>
        <v>S</v>
      </c>
      <c r="GK18" s="117" t="str">
        <f t="shared" ca="1" si="178"/>
        <v>U</v>
      </c>
      <c r="GL18" s="117" t="str">
        <f t="shared" ca="1" si="178"/>
        <v>U</v>
      </c>
      <c r="GM18" s="117" t="str">
        <f t="shared" ca="1" si="178"/>
        <v>U</v>
      </c>
      <c r="GN18" s="117" t="str">
        <f t="shared" ca="1" si="178"/>
        <v>U</v>
      </c>
      <c r="GO18" s="117" t="str">
        <f t="shared" ca="1" si="178"/>
        <v>U</v>
      </c>
      <c r="GP18" s="117">
        <f t="shared" si="178"/>
        <v>1.0000000005663834E-5</v>
      </c>
      <c r="GQ18" s="117">
        <f t="shared" si="178"/>
        <v>5.9999999999999991</v>
      </c>
      <c r="GR18" s="117">
        <f t="shared" si="178"/>
        <v>1</v>
      </c>
      <c r="GS18" s="117">
        <f t="shared" si="178"/>
        <v>10</v>
      </c>
      <c r="GT18" s="117">
        <f t="shared" si="178"/>
        <v>15.000000000000009</v>
      </c>
      <c r="GU18" s="117">
        <f t="shared" si="178"/>
        <v>0</v>
      </c>
      <c r="GV18" s="117">
        <f t="shared" si="178"/>
        <v>6.0000000000000036</v>
      </c>
      <c r="GW18" s="117">
        <f t="shared" si="178"/>
        <v>1</v>
      </c>
      <c r="GX18" s="117">
        <f t="shared" si="178"/>
        <v>1</v>
      </c>
      <c r="GY18" s="117" t="str">
        <f t="shared" ca="1" si="178"/>
        <v>S</v>
      </c>
      <c r="GZ18" s="117">
        <f t="shared" si="178"/>
        <v>1.500010000000001</v>
      </c>
      <c r="HA18" s="117" t="str">
        <f t="shared" ca="1" si="178"/>
        <v>S</v>
      </c>
      <c r="HB18" s="117" t="str">
        <f t="shared" ca="1" si="178"/>
        <v>S</v>
      </c>
      <c r="HC18" s="117" t="str">
        <f t="shared" ca="1" si="178"/>
        <v>S</v>
      </c>
      <c r="HD18" s="117" t="str">
        <f t="shared" ca="1" si="178"/>
        <v>S</v>
      </c>
      <c r="HE18" s="117" t="str">
        <f t="shared" ca="1" si="178"/>
        <v>S</v>
      </c>
      <c r="HF18" s="208" t="str">
        <f>HF$10</f>
        <v>Yes - Right Side</v>
      </c>
      <c r="HG18" s="117" t="str">
        <f t="shared" si="178"/>
        <v>S</v>
      </c>
      <c r="HH18" s="117" t="str">
        <f t="shared" si="178"/>
        <v>U</v>
      </c>
      <c r="HI18" s="117" t="str">
        <f>HI$10</f>
        <v>U</v>
      </c>
      <c r="HJ18" s="117" t="str">
        <f t="shared" ca="1" si="178"/>
        <v>S</v>
      </c>
      <c r="HK18" s="117" t="str">
        <f t="shared" ca="1" si="178"/>
        <v>S</v>
      </c>
      <c r="HL18" s="117">
        <f t="shared" ca="1" si="178"/>
        <v>48</v>
      </c>
      <c r="HM18" s="117">
        <f t="shared" si="178"/>
        <v>3.9999999999999998E-6</v>
      </c>
      <c r="HN18" s="117" t="str">
        <f t="shared" ca="1" si="178"/>
        <v>S</v>
      </c>
      <c r="HO18" s="117">
        <f t="shared" ca="1" si="178"/>
        <v>18</v>
      </c>
      <c r="HP18" s="117">
        <f t="shared" ca="1" si="178"/>
        <v>48.000003999999997</v>
      </c>
      <c r="HQ18" s="117" t="str">
        <f t="shared" ca="1" si="178"/>
        <v>S</v>
      </c>
      <c r="HR18" s="117" t="str">
        <f t="shared" ca="1" si="178"/>
        <v>S</v>
      </c>
      <c r="HS18" s="117">
        <f t="shared" ref="HS18:KR18" ca="1" si="180">HS$10</f>
        <v>359.99999600000001</v>
      </c>
      <c r="HT18" s="117">
        <f t="shared" ca="1" si="180"/>
        <v>23.999968000000024</v>
      </c>
      <c r="HU18" s="117">
        <f t="shared" ca="1" si="180"/>
        <v>23.999968000000024</v>
      </c>
      <c r="HV18" s="117">
        <f t="shared" ca="1" si="180"/>
        <v>3.9999373887056513</v>
      </c>
      <c r="HW18" s="117">
        <f t="shared" ca="1" si="180"/>
        <v>24</v>
      </c>
      <c r="HX18" s="117">
        <f t="shared" si="180"/>
        <v>388.8125</v>
      </c>
      <c r="HY18" s="117">
        <f t="shared" ca="1" si="180"/>
        <v>360.00000399999999</v>
      </c>
      <c r="HZ18" s="117">
        <f ca="1">HZ$10</f>
        <v>3.9999373887056513</v>
      </c>
      <c r="IA18" s="117">
        <f ca="1">IA$10</f>
        <v>24.000035999999973</v>
      </c>
      <c r="IB18" s="117" t="str">
        <f t="shared" ca="1" si="180"/>
        <v>S</v>
      </c>
      <c r="IC18" s="117" t="str">
        <f t="shared" ca="1" si="180"/>
        <v>S</v>
      </c>
      <c r="ID18" s="117">
        <f t="shared" ca="1" si="180"/>
        <v>27.999905388705674</v>
      </c>
      <c r="IE18" s="117" t="str">
        <f t="shared" ca="1" si="180"/>
        <v>S</v>
      </c>
      <c r="IF18" s="117" t="str">
        <f t="shared" ca="1" si="180"/>
        <v>S</v>
      </c>
      <c r="IG18" s="117" t="str">
        <f t="shared" ca="1" si="180"/>
        <v>S</v>
      </c>
      <c r="IH18" s="117" t="str">
        <f t="shared" ca="1" si="180"/>
        <v>S</v>
      </c>
      <c r="II18" s="117" t="str">
        <f t="shared" ca="1" si="180"/>
        <v>S</v>
      </c>
      <c r="IJ18" s="117">
        <f t="shared" ca="1" si="180"/>
        <v>23.999968000000024</v>
      </c>
      <c r="IK18" s="117">
        <f t="shared" ca="1" si="180"/>
        <v>3.9999373887056513</v>
      </c>
      <c r="IL18" s="117" t="str">
        <f t="shared" ca="1" si="180"/>
        <v>S</v>
      </c>
      <c r="IM18" s="117" t="str">
        <f t="shared" ca="1" si="180"/>
        <v>S</v>
      </c>
      <c r="IN18" s="117" t="str">
        <f t="shared" ca="1" si="180"/>
        <v>S</v>
      </c>
      <c r="IO18" s="117" t="str">
        <f t="shared" ca="1" si="180"/>
        <v>S</v>
      </c>
      <c r="IP18" s="117" t="str">
        <f t="shared" ca="1" si="180"/>
        <v>S</v>
      </c>
      <c r="IQ18" s="117" t="str">
        <f t="shared" ca="1" si="180"/>
        <v>S</v>
      </c>
      <c r="IR18" s="117" t="str">
        <f t="shared" ca="1" si="180"/>
        <v>S</v>
      </c>
      <c r="IS18" s="117" t="str">
        <f t="shared" ca="1" si="180"/>
        <v>S</v>
      </c>
      <c r="IT18" s="117" t="str">
        <f t="shared" ca="1" si="180"/>
        <v>S</v>
      </c>
      <c r="IU18" s="117" t="str">
        <f t="shared" ca="1" si="180"/>
        <v>S</v>
      </c>
      <c r="IV18" s="117" t="str">
        <f t="shared" ca="1" si="180"/>
        <v>S</v>
      </c>
      <c r="IW18" s="117" t="str">
        <f t="shared" si="180"/>
        <v>S</v>
      </c>
      <c r="IX18" s="117" t="str">
        <f t="shared" si="180"/>
        <v>U</v>
      </c>
      <c r="IY18" s="117">
        <f t="shared" ca="1" si="180"/>
        <v>1</v>
      </c>
      <c r="IZ18" s="117">
        <f t="shared" ca="1" si="180"/>
        <v>3</v>
      </c>
      <c r="JA18" s="117">
        <f t="shared" ca="1" si="180"/>
        <v>9.9999999999999995E-7</v>
      </c>
      <c r="JB18" s="117">
        <f t="shared" ca="1" si="180"/>
        <v>1.0000000000000001E-5</v>
      </c>
      <c r="JC18" s="117">
        <f t="shared" ca="1" si="180"/>
        <v>1.0000000000000001E-5</v>
      </c>
      <c r="JD18" s="117" t="str">
        <f t="shared" ca="1" si="180"/>
        <v>S</v>
      </c>
      <c r="JE18" s="117" t="str">
        <f t="shared" ca="1" si="180"/>
        <v>S</v>
      </c>
      <c r="JF18" s="117" t="str">
        <f t="shared" ca="1" si="180"/>
        <v>S</v>
      </c>
      <c r="JG18" s="117" t="str">
        <f t="shared" ca="1" si="180"/>
        <v>S</v>
      </c>
      <c r="JH18" s="117" t="str">
        <f t="shared" ca="1" si="180"/>
        <v>S</v>
      </c>
      <c r="JI18" s="117">
        <f t="shared" si="180"/>
        <v>0.1046</v>
      </c>
      <c r="JJ18" s="199">
        <f>JJ$10</f>
        <v>0.39290028474001548</v>
      </c>
      <c r="JK18" s="117">
        <f t="shared" si="180"/>
        <v>0.51790028474001548</v>
      </c>
      <c r="JL18" s="117">
        <f t="shared" si="180"/>
        <v>0.5</v>
      </c>
      <c r="JM18" s="117">
        <f t="shared" si="180"/>
        <v>0.375</v>
      </c>
      <c r="JN18" s="117">
        <f t="shared" si="180"/>
        <v>0.375</v>
      </c>
      <c r="JO18" s="117">
        <f t="shared" si="180"/>
        <v>11.25</v>
      </c>
      <c r="JP18" s="117" t="str">
        <f>JP$10</f>
        <v>S</v>
      </c>
      <c r="JQ18" s="117" t="str">
        <f>JQ$10</f>
        <v>S</v>
      </c>
      <c r="JR18" s="117" t="str">
        <f>JR$10</f>
        <v>S</v>
      </c>
      <c r="JS18" s="117" t="str">
        <f t="shared" si="180"/>
        <v>U</v>
      </c>
      <c r="JT18" s="117" t="str">
        <f t="shared" si="180"/>
        <v>U</v>
      </c>
      <c r="JU18" s="117" t="str">
        <f t="shared" si="180"/>
        <v>S</v>
      </c>
      <c r="JV18" s="117" t="str">
        <f t="shared" si="180"/>
        <v>S</v>
      </c>
      <c r="JW18" s="117" t="str">
        <f t="shared" si="180"/>
        <v>S</v>
      </c>
      <c r="JX18" s="117" t="str">
        <f t="shared" si="180"/>
        <v>S</v>
      </c>
      <c r="JY18" s="117" t="str">
        <f t="shared" si="180"/>
        <v>S</v>
      </c>
      <c r="JZ18" s="117" t="str">
        <f t="shared" si="180"/>
        <v>S</v>
      </c>
      <c r="KA18" s="117" t="str">
        <f t="shared" si="180"/>
        <v>S</v>
      </c>
      <c r="KB18" s="117" t="str">
        <f t="shared" si="180"/>
        <v>S</v>
      </c>
      <c r="KC18" s="117" t="str">
        <f t="shared" si="180"/>
        <v>S</v>
      </c>
      <c r="KD18" s="117" t="str">
        <f t="shared" si="180"/>
        <v>S</v>
      </c>
      <c r="KE18" s="117" t="str">
        <f t="shared" si="180"/>
        <v>S</v>
      </c>
      <c r="KF18" s="117" t="str">
        <f t="shared" si="180"/>
        <v>S</v>
      </c>
      <c r="KG18" s="117" t="str">
        <f t="shared" si="180"/>
        <v>S</v>
      </c>
      <c r="KH18" s="117" t="str">
        <f t="shared" si="180"/>
        <v>S</v>
      </c>
      <c r="KI18" s="117" t="str">
        <f t="shared" si="180"/>
        <v>S</v>
      </c>
      <c r="KJ18" s="117" t="str">
        <f t="shared" si="180"/>
        <v>S</v>
      </c>
      <c r="KK18" s="117" t="str">
        <f t="shared" si="180"/>
        <v>S</v>
      </c>
      <c r="KL18" s="117" t="str">
        <f t="shared" si="180"/>
        <v>S</v>
      </c>
      <c r="KM18" s="117" t="str">
        <f t="shared" si="180"/>
        <v>S</v>
      </c>
      <c r="KN18" s="117">
        <f t="shared" si="180"/>
        <v>1.0000000000000001E-5</v>
      </c>
      <c r="KO18" s="117" t="str">
        <f t="shared" si="180"/>
        <v>S</v>
      </c>
      <c r="KP18" s="117" t="str">
        <f t="shared" si="180"/>
        <v>S</v>
      </c>
      <c r="KQ18" s="117" t="str">
        <f t="shared" si="180"/>
        <v>S</v>
      </c>
      <c r="KR18" s="117" t="str">
        <f t="shared" si="180"/>
        <v>S</v>
      </c>
      <c r="KS18" s="117" t="str">
        <f t="shared" ref="KS18:NF18" si="181">KS$10</f>
        <v>S</v>
      </c>
      <c r="KT18" s="117" t="str">
        <f t="shared" si="181"/>
        <v>S</v>
      </c>
      <c r="KU18" s="117" t="str">
        <f t="shared" si="181"/>
        <v>S</v>
      </c>
      <c r="KV18" s="117" t="str">
        <f t="shared" si="181"/>
        <v>S</v>
      </c>
      <c r="KW18" s="117">
        <f t="shared" si="181"/>
        <v>2</v>
      </c>
      <c r="KX18" s="117">
        <f t="shared" si="181"/>
        <v>3.0000000000000004</v>
      </c>
      <c r="KY18" s="117">
        <f t="shared" si="181"/>
        <v>0.25</v>
      </c>
      <c r="KZ18" s="117">
        <f t="shared" si="181"/>
        <v>0.3125</v>
      </c>
      <c r="LA18" s="117">
        <f t="shared" si="181"/>
        <v>0.25</v>
      </c>
      <c r="LB18" s="117">
        <f t="shared" si="181"/>
        <v>2.0000000000000001E-4</v>
      </c>
      <c r="LC18" s="117" t="str">
        <f t="shared" si="181"/>
        <v>S</v>
      </c>
      <c r="LD18" s="117" t="str">
        <f t="shared" si="181"/>
        <v>S</v>
      </c>
      <c r="LE18" s="117" t="str">
        <f t="shared" si="181"/>
        <v>S</v>
      </c>
      <c r="LF18" s="117" t="str">
        <f t="shared" si="181"/>
        <v>S</v>
      </c>
      <c r="LG18" s="117" t="str">
        <f t="shared" si="181"/>
        <v>S</v>
      </c>
      <c r="LH18" s="117" t="str">
        <f t="shared" si="181"/>
        <v>S</v>
      </c>
      <c r="LI18" s="117" t="str">
        <f t="shared" si="181"/>
        <v>S</v>
      </c>
      <c r="LJ18" s="117" t="str">
        <f t="shared" si="181"/>
        <v>S</v>
      </c>
      <c r="LK18" s="117" t="str">
        <f t="shared" si="181"/>
        <v>S</v>
      </c>
      <c r="LL18" s="117" t="str">
        <f t="shared" si="181"/>
        <v>S</v>
      </c>
      <c r="LM18" s="117" t="str">
        <f t="shared" si="181"/>
        <v>S</v>
      </c>
      <c r="LN18" s="117" t="str">
        <f t="shared" si="181"/>
        <v>S</v>
      </c>
      <c r="LO18" s="117" t="str">
        <f t="shared" si="181"/>
        <v>S</v>
      </c>
      <c r="LP18" s="117" t="str">
        <f t="shared" si="181"/>
        <v>S</v>
      </c>
      <c r="LQ18" s="117">
        <f t="shared" si="181"/>
        <v>3.0000000000000004</v>
      </c>
      <c r="LR18" s="117">
        <f t="shared" si="181"/>
        <v>0.16999999999999998</v>
      </c>
      <c r="LS18" s="117">
        <f t="shared" si="181"/>
        <v>1.41</v>
      </c>
      <c r="LT18" s="117">
        <f t="shared" si="181"/>
        <v>0.27300000000000002</v>
      </c>
      <c r="LU18" s="117">
        <f t="shared" si="181"/>
        <v>0.27</v>
      </c>
      <c r="LV18" s="117">
        <f t="shared" si="181"/>
        <v>0.1</v>
      </c>
      <c r="LW18" s="117">
        <f t="shared" si="181"/>
        <v>9.4629999999999992</v>
      </c>
      <c r="LX18" s="117">
        <f t="shared" si="181"/>
        <v>8.4947435596928661E-2</v>
      </c>
      <c r="LY18" s="117">
        <f t="shared" si="181"/>
        <v>4.0999999999999996</v>
      </c>
      <c r="LZ18" s="117" t="str">
        <f t="shared" si="181"/>
        <v>S</v>
      </c>
      <c r="MA18" s="117" t="str">
        <f t="shared" si="181"/>
        <v>S</v>
      </c>
      <c r="MB18" s="117" t="str">
        <f t="shared" si="181"/>
        <v>S</v>
      </c>
      <c r="MC18" s="117" t="str">
        <f t="shared" si="181"/>
        <v>S</v>
      </c>
      <c r="MD18" s="117" t="str">
        <f t="shared" si="181"/>
        <v>S</v>
      </c>
      <c r="ME18" s="117" t="str">
        <f t="shared" si="181"/>
        <v>S</v>
      </c>
      <c r="MF18" s="117" t="str">
        <f t="shared" si="181"/>
        <v>S</v>
      </c>
      <c r="MG18" s="117" t="str">
        <f t="shared" si="181"/>
        <v>S</v>
      </c>
      <c r="MH18" s="117" t="str">
        <f t="shared" si="181"/>
        <v>S</v>
      </c>
      <c r="MI18" s="117" t="str">
        <f t="shared" si="181"/>
        <v>S</v>
      </c>
      <c r="MJ18" s="117" t="str">
        <f>MJ$10</f>
        <v>S</v>
      </c>
      <c r="MK18" s="117" t="str">
        <f>MK$10</f>
        <v>S</v>
      </c>
      <c r="ML18" s="117" t="str">
        <f>ML$10</f>
        <v>S</v>
      </c>
      <c r="MM18" s="117" t="str">
        <f t="shared" si="181"/>
        <v>S</v>
      </c>
      <c r="MN18" s="117" t="str">
        <f t="shared" si="181"/>
        <v>S</v>
      </c>
      <c r="MO18" s="117" t="str">
        <f t="shared" si="181"/>
        <v>S</v>
      </c>
      <c r="MP18" s="117" t="str">
        <f t="shared" si="181"/>
        <v>S</v>
      </c>
      <c r="MQ18" s="117" t="str">
        <f t="shared" si="181"/>
        <v>S</v>
      </c>
      <c r="MR18" s="117" t="str">
        <f t="shared" si="181"/>
        <v>S</v>
      </c>
      <c r="MS18" s="117" t="str">
        <f t="shared" si="181"/>
        <v>S</v>
      </c>
      <c r="MT18" s="117" t="str">
        <f t="shared" si="181"/>
        <v>S</v>
      </c>
      <c r="MU18" s="117" t="str">
        <f t="shared" si="181"/>
        <v>S</v>
      </c>
      <c r="MV18" s="117" t="str">
        <f t="shared" si="181"/>
        <v>S</v>
      </c>
      <c r="MW18" s="117" t="str">
        <f t="shared" si="181"/>
        <v>S</v>
      </c>
      <c r="MX18" s="117" t="str">
        <f t="shared" si="181"/>
        <v>S</v>
      </c>
      <c r="MY18" s="117" t="str">
        <f t="shared" si="181"/>
        <v>S</v>
      </c>
      <c r="MZ18" s="117" t="str">
        <f t="shared" si="181"/>
        <v>S</v>
      </c>
      <c r="NA18" s="117" t="str">
        <f t="shared" si="181"/>
        <v>S</v>
      </c>
      <c r="NB18" s="117" t="str">
        <f t="shared" si="181"/>
        <v>S</v>
      </c>
      <c r="NC18" s="117" t="str">
        <f t="shared" si="181"/>
        <v>S</v>
      </c>
      <c r="ND18" s="117" t="str">
        <f t="shared" si="181"/>
        <v>S</v>
      </c>
      <c r="NE18" s="117">
        <f t="shared" si="181"/>
        <v>0</v>
      </c>
      <c r="NF18" s="117">
        <f t="shared" si="181"/>
        <v>1.0000000000000001E-5</v>
      </c>
      <c r="NG18" s="117" t="str">
        <f t="shared" ref="NG18:QH18" si="182">NG$10</f>
        <v>S</v>
      </c>
      <c r="NH18" s="117" t="str">
        <f t="shared" si="182"/>
        <v>S</v>
      </c>
      <c r="NI18" s="117" t="str">
        <f t="shared" si="182"/>
        <v>S</v>
      </c>
      <c r="NJ18" s="117" t="str">
        <f t="shared" si="182"/>
        <v>S</v>
      </c>
      <c r="NK18" s="117" t="str">
        <f t="shared" si="182"/>
        <v>S</v>
      </c>
      <c r="NL18" s="117" t="str">
        <f t="shared" si="182"/>
        <v>S</v>
      </c>
      <c r="NM18" s="117" t="str">
        <f t="shared" si="182"/>
        <v>S</v>
      </c>
      <c r="NN18" s="117" t="str">
        <f t="shared" si="182"/>
        <v>S</v>
      </c>
      <c r="NO18" s="117">
        <f t="shared" si="182"/>
        <v>4</v>
      </c>
      <c r="NP18" s="117">
        <f t="shared" si="182"/>
        <v>6.0000000000000009</v>
      </c>
      <c r="NQ18" s="117">
        <f t="shared" si="182"/>
        <v>0.625</v>
      </c>
      <c r="NR18" s="117">
        <f t="shared" si="182"/>
        <v>0.5</v>
      </c>
      <c r="NS18" s="117">
        <f t="shared" si="182"/>
        <v>0.5</v>
      </c>
      <c r="NT18" s="117">
        <f t="shared" si="182"/>
        <v>0.12520000000000001</v>
      </c>
      <c r="NU18" s="117" t="str">
        <f t="shared" si="182"/>
        <v>S</v>
      </c>
      <c r="NV18" s="117" t="str">
        <f t="shared" si="182"/>
        <v>S</v>
      </c>
      <c r="NW18" s="117" t="str">
        <f t="shared" si="182"/>
        <v>S</v>
      </c>
      <c r="NX18" s="117" t="str">
        <f t="shared" si="182"/>
        <v>S</v>
      </c>
      <c r="NY18" s="117" t="str">
        <f t="shared" si="182"/>
        <v>S</v>
      </c>
      <c r="NZ18" s="117" t="str">
        <f t="shared" si="182"/>
        <v>S</v>
      </c>
      <c r="OA18" s="117" t="str">
        <f t="shared" si="182"/>
        <v>S</v>
      </c>
      <c r="OB18" s="117" t="str">
        <f t="shared" si="182"/>
        <v>S</v>
      </c>
      <c r="OC18" s="117" t="str">
        <f t="shared" si="182"/>
        <v>S</v>
      </c>
      <c r="OD18" s="117" t="str">
        <f t="shared" si="182"/>
        <v>S</v>
      </c>
      <c r="OE18" s="117">
        <f t="shared" si="182"/>
        <v>3.0000000000000004</v>
      </c>
      <c r="OF18" s="117">
        <f t="shared" si="182"/>
        <v>0.16999999999999998</v>
      </c>
      <c r="OG18" s="117">
        <f t="shared" si="182"/>
        <v>1.41</v>
      </c>
      <c r="OH18" s="117">
        <f t="shared" si="182"/>
        <v>0.27300000000000002</v>
      </c>
      <c r="OI18" s="117">
        <f t="shared" si="182"/>
        <v>0.27</v>
      </c>
      <c r="OJ18" s="117">
        <f t="shared" si="182"/>
        <v>0.1</v>
      </c>
      <c r="OK18" s="117">
        <f t="shared" si="182"/>
        <v>9.4629999999999992</v>
      </c>
      <c r="OL18" s="117">
        <f t="shared" si="182"/>
        <v>8.4947435596928661E-2</v>
      </c>
      <c r="OM18" s="117">
        <f t="shared" si="182"/>
        <v>4.0999999999999996</v>
      </c>
      <c r="ON18" s="117" t="str">
        <f t="shared" si="182"/>
        <v>S</v>
      </c>
      <c r="OO18" s="117" t="str">
        <f t="shared" ca="1" si="182"/>
        <v>S</v>
      </c>
      <c r="OP18" s="117" t="str">
        <f t="shared" ca="1" si="182"/>
        <v>S</v>
      </c>
      <c r="OQ18" s="117" t="str">
        <f t="shared" ca="1" si="182"/>
        <v>S</v>
      </c>
      <c r="OR18" s="117" t="str">
        <f t="shared" ca="1" si="182"/>
        <v>S</v>
      </c>
      <c r="OS18" s="117" t="str">
        <f t="shared" ca="1" si="182"/>
        <v>S</v>
      </c>
      <c r="OT18" s="117" t="str">
        <f t="shared" ca="1" si="182"/>
        <v>S</v>
      </c>
      <c r="OU18" s="117">
        <f t="shared" si="182"/>
        <v>22.352885682963269</v>
      </c>
      <c r="OV18" s="117">
        <f t="shared" si="182"/>
        <v>1.5625</v>
      </c>
      <c r="OW18" s="117">
        <f t="shared" si="182"/>
        <v>2</v>
      </c>
      <c r="OX18" s="117">
        <f t="shared" ca="1" si="182"/>
        <v>1.0000000000000001E-5</v>
      </c>
      <c r="OY18" s="117" t="str">
        <f t="shared" ca="1" si="182"/>
        <v>S</v>
      </c>
      <c r="OZ18" s="117" t="str">
        <f t="shared" ca="1" si="182"/>
        <v>S</v>
      </c>
      <c r="PA18" s="117" t="str">
        <f t="shared" ca="1" si="182"/>
        <v>S</v>
      </c>
      <c r="PB18" s="117" t="str">
        <f t="shared" ca="1" si="182"/>
        <v>S</v>
      </c>
      <c r="PC18" s="117">
        <f t="shared" si="182"/>
        <v>1.0000006859324079E-6</v>
      </c>
      <c r="PD18" s="117">
        <f t="shared" si="182"/>
        <v>1.0000000313816476E-6</v>
      </c>
      <c r="PE18" s="117">
        <f>PE$10</f>
        <v>9.9999936016657661E-7</v>
      </c>
      <c r="PF18" s="117">
        <f>PF$10</f>
        <v>9.9999997677932015E-7</v>
      </c>
      <c r="PG18" s="117" t="str">
        <f t="shared" si="182"/>
        <v>S</v>
      </c>
      <c r="PH18" s="117" t="str">
        <f t="shared" si="182"/>
        <v>S</v>
      </c>
      <c r="PI18" s="117" t="str">
        <f t="shared" si="182"/>
        <v>S</v>
      </c>
      <c r="PJ18" s="117" t="str">
        <f t="shared" si="182"/>
        <v>S</v>
      </c>
      <c r="PK18" s="117" t="str">
        <f t="shared" si="182"/>
        <v>Teflon, 2.5 x 2.5</v>
      </c>
      <c r="PL18" s="117" t="str">
        <f t="shared" si="182"/>
        <v>Teflon, 2.5 x 2.5</v>
      </c>
      <c r="PM18" s="117">
        <f t="shared" si="182"/>
        <v>0</v>
      </c>
      <c r="PN18" s="117" t="str">
        <f t="shared" si="182"/>
        <v>Teflon, 2.5 x 2.5</v>
      </c>
      <c r="PO18" s="117" t="str">
        <f t="shared" si="182"/>
        <v>Teflon, 2.5 x 2.5</v>
      </c>
      <c r="PP18" s="117">
        <f t="shared" si="182"/>
        <v>0</v>
      </c>
      <c r="PQ18" s="117">
        <f t="shared" si="182"/>
        <v>0.125</v>
      </c>
      <c r="PR18" s="117">
        <f t="shared" si="182"/>
        <v>0.125</v>
      </c>
      <c r="PS18" s="117">
        <f t="shared" si="182"/>
        <v>0.125</v>
      </c>
      <c r="PT18" s="117">
        <f t="shared" si="182"/>
        <v>0.125</v>
      </c>
      <c r="PU18" s="117" t="str">
        <f t="shared" si="182"/>
        <v>S</v>
      </c>
      <c r="PV18" s="117" t="str">
        <f t="shared" si="182"/>
        <v>S</v>
      </c>
      <c r="PW18" s="117" t="str">
        <f t="shared" si="182"/>
        <v>S</v>
      </c>
      <c r="PX18" s="117" t="str">
        <f t="shared" si="182"/>
        <v>S</v>
      </c>
      <c r="PY18" s="117" t="str">
        <f t="shared" si="182"/>
        <v>S</v>
      </c>
      <c r="PZ18" s="117" t="str">
        <f t="shared" si="182"/>
        <v>S</v>
      </c>
      <c r="QA18" s="117" t="str">
        <f t="shared" si="182"/>
        <v>S</v>
      </c>
      <c r="QB18" s="117" t="str">
        <f t="shared" si="182"/>
        <v>S</v>
      </c>
      <c r="QC18" s="117" t="str">
        <f t="shared" ca="1" si="182"/>
        <v>S</v>
      </c>
      <c r="QD18" s="117" t="str">
        <f t="shared" si="182"/>
        <v>S</v>
      </c>
      <c r="QE18" s="117" t="str">
        <f t="shared" ca="1" si="182"/>
        <v>S</v>
      </c>
      <c r="QF18" s="117">
        <f t="shared" ca="1" si="182"/>
        <v>3</v>
      </c>
      <c r="QG18" s="117">
        <f t="shared" ca="1" si="182"/>
        <v>1.5</v>
      </c>
      <c r="QH18" s="117">
        <f t="shared" ca="1" si="182"/>
        <v>1</v>
      </c>
      <c r="QI18" s="117">
        <f t="shared" ref="QI18:TJ18" ca="1" si="183">QI$10</f>
        <v>3</v>
      </c>
      <c r="QJ18" s="117" t="str">
        <f t="shared" ca="1" si="183"/>
        <v>S</v>
      </c>
      <c r="QK18" s="117" t="str">
        <f t="shared" si="183"/>
        <v>S</v>
      </c>
      <c r="QL18" s="117" t="str">
        <f t="shared" si="183"/>
        <v>S</v>
      </c>
      <c r="QM18" s="117" t="str">
        <f t="shared" si="183"/>
        <v>S</v>
      </c>
      <c r="QN18" s="117" t="str">
        <f t="shared" ca="1" si="183"/>
        <v>S</v>
      </c>
      <c r="QO18" s="117" t="str">
        <f t="shared" si="183"/>
        <v>S</v>
      </c>
      <c r="QP18" s="117" t="str">
        <f t="shared" ca="1" si="183"/>
        <v>S</v>
      </c>
      <c r="QQ18" s="117" t="str">
        <f t="shared" si="183"/>
        <v>S</v>
      </c>
      <c r="QR18" s="117" t="str">
        <f t="shared" si="183"/>
        <v>S</v>
      </c>
      <c r="QS18" s="117" t="str">
        <f t="shared" si="183"/>
        <v>S</v>
      </c>
      <c r="QT18" s="117" t="str">
        <f t="shared" ca="1" si="183"/>
        <v>S</v>
      </c>
      <c r="QU18" s="117" t="str">
        <f t="shared" ca="1" si="183"/>
        <v>U</v>
      </c>
      <c r="QV18" s="117" t="str">
        <f t="shared" ca="1" si="183"/>
        <v>U</v>
      </c>
      <c r="QW18" s="117" t="str">
        <f t="shared" ca="1" si="183"/>
        <v>U</v>
      </c>
      <c r="QX18" s="117" t="str">
        <f t="shared" ca="1" si="183"/>
        <v>U</v>
      </c>
      <c r="QY18" s="117" t="str">
        <f t="shared" ca="1" si="183"/>
        <v>S</v>
      </c>
      <c r="QZ18" s="117" t="str">
        <f t="shared" ca="1" si="183"/>
        <v>S</v>
      </c>
      <c r="RA18" s="117" t="str">
        <f t="shared" ca="1" si="183"/>
        <v>S</v>
      </c>
      <c r="RB18" s="117" t="str">
        <f t="shared" ca="1" si="183"/>
        <v>S</v>
      </c>
      <c r="RC18" s="117" t="str">
        <f t="shared" ca="1" si="183"/>
        <v>S</v>
      </c>
      <c r="RD18" s="117">
        <f t="shared" si="183"/>
        <v>2</v>
      </c>
      <c r="RE18" s="117">
        <f t="shared" si="183"/>
        <v>3.0000000000000004</v>
      </c>
      <c r="RF18" s="117">
        <f t="shared" si="183"/>
        <v>0.18750000000000003</v>
      </c>
      <c r="RG18" s="117">
        <f t="shared" si="183"/>
        <v>0.3125</v>
      </c>
      <c r="RH18" s="117">
        <f t="shared" si="183"/>
        <v>0.18750000000000003</v>
      </c>
      <c r="RI18" s="117">
        <f t="shared" si="183"/>
        <v>2.0000000000000001E-4</v>
      </c>
      <c r="RJ18" s="117" t="str">
        <f t="shared" si="183"/>
        <v>S</v>
      </c>
      <c r="RK18" s="117" t="str">
        <f t="shared" si="183"/>
        <v>S</v>
      </c>
      <c r="RL18" s="117" t="str">
        <f t="shared" si="183"/>
        <v>S</v>
      </c>
      <c r="RM18" s="117" t="str">
        <f t="shared" si="183"/>
        <v>S</v>
      </c>
      <c r="RN18" s="117" t="str">
        <f t="shared" si="183"/>
        <v>S</v>
      </c>
      <c r="RO18" s="117" t="str">
        <f t="shared" si="183"/>
        <v>S</v>
      </c>
      <c r="RP18" s="117" t="str">
        <f t="shared" ca="1" si="183"/>
        <v>S</v>
      </c>
      <c r="RQ18" s="117" t="str">
        <f t="shared" ca="1" si="183"/>
        <v>S</v>
      </c>
      <c r="RR18" s="117" t="str">
        <f t="shared" ca="1" si="183"/>
        <v>S</v>
      </c>
      <c r="RS18" s="117" t="str">
        <f t="shared" ca="1" si="183"/>
        <v>S</v>
      </c>
      <c r="RT18" s="117" t="str">
        <f t="shared" ca="1" si="183"/>
        <v>S</v>
      </c>
      <c r="RU18" s="117" t="str">
        <f t="shared" ca="1" si="183"/>
        <v>S</v>
      </c>
      <c r="RV18" s="117" t="str">
        <f t="shared" ca="1" si="183"/>
        <v>S</v>
      </c>
      <c r="RW18" s="117" t="str">
        <f t="shared" ca="1" si="183"/>
        <v>S</v>
      </c>
      <c r="RX18" s="117" t="str">
        <f t="shared" ca="1" si="183"/>
        <v>S</v>
      </c>
      <c r="RY18" s="117" t="str">
        <f t="shared" ca="1" si="183"/>
        <v>S</v>
      </c>
      <c r="RZ18" s="117" t="str">
        <f t="shared" ca="1" si="183"/>
        <v>S</v>
      </c>
      <c r="SA18" s="117">
        <f t="shared" si="183"/>
        <v>3.0000000000000004</v>
      </c>
      <c r="SB18" s="117">
        <f t="shared" si="183"/>
        <v>0.16999999999999998</v>
      </c>
      <c r="SC18" s="117">
        <f t="shared" si="183"/>
        <v>1.41</v>
      </c>
      <c r="SD18" s="117">
        <f t="shared" si="183"/>
        <v>0.27300000000000002</v>
      </c>
      <c r="SE18" s="117">
        <f t="shared" si="183"/>
        <v>0.27</v>
      </c>
      <c r="SF18" s="117">
        <f t="shared" si="183"/>
        <v>0.1</v>
      </c>
      <c r="SG18" s="117">
        <f t="shared" si="183"/>
        <v>9.4629999999999992</v>
      </c>
      <c r="SH18" s="117">
        <f t="shared" si="183"/>
        <v>8.4947435596928661E-2</v>
      </c>
      <c r="SI18" s="117">
        <f t="shared" si="183"/>
        <v>4.0999999999999996</v>
      </c>
      <c r="SJ18" s="117" t="str">
        <f t="shared" si="183"/>
        <v>S</v>
      </c>
      <c r="SK18" s="117" t="str">
        <f t="shared" si="183"/>
        <v>S</v>
      </c>
      <c r="SL18" s="117" t="str">
        <f t="shared" si="183"/>
        <v>S</v>
      </c>
      <c r="SM18" s="117" t="str">
        <f t="shared" si="183"/>
        <v>S</v>
      </c>
      <c r="SN18" s="117" t="str">
        <f t="shared" si="183"/>
        <v>S</v>
      </c>
      <c r="SO18" s="117" t="str">
        <f t="shared" si="183"/>
        <v>S</v>
      </c>
      <c r="SP18" s="117" t="str">
        <f t="shared" ca="1" si="183"/>
        <v>S</v>
      </c>
      <c r="SQ18" s="117" t="str">
        <f t="shared" ca="1" si="183"/>
        <v>S</v>
      </c>
      <c r="SR18" s="117" t="str">
        <f>SR$10</f>
        <v>S</v>
      </c>
      <c r="SS18" s="117">
        <f t="shared" ref="SS18:SV18" si="184">SS$10</f>
        <v>1.5000000000000002</v>
      </c>
      <c r="ST18" s="117">
        <f t="shared" si="184"/>
        <v>1.5000000000000002</v>
      </c>
      <c r="SU18" s="117">
        <f t="shared" si="184"/>
        <v>0.5</v>
      </c>
      <c r="SV18" s="117">
        <f t="shared" si="184"/>
        <v>0.5</v>
      </c>
      <c r="SW18" s="117" t="str">
        <f t="shared" ca="1" si="183"/>
        <v>S</v>
      </c>
      <c r="SX18" s="117" t="str">
        <f t="shared" ca="1" si="183"/>
        <v>S</v>
      </c>
      <c r="SY18" s="117" t="str">
        <f t="shared" ca="1" si="183"/>
        <v>S</v>
      </c>
      <c r="SZ18" s="117" t="str">
        <f t="shared" ca="1" si="183"/>
        <v>S</v>
      </c>
      <c r="TA18" s="117" t="str">
        <f t="shared" ca="1" si="183"/>
        <v>S</v>
      </c>
      <c r="TB18" s="117" t="str">
        <f t="shared" ca="1" si="183"/>
        <v>S</v>
      </c>
      <c r="TC18" s="117" t="str">
        <f t="shared" ca="1" si="183"/>
        <v>S</v>
      </c>
      <c r="TD18" s="117" t="str">
        <f t="shared" ca="1" si="183"/>
        <v>S</v>
      </c>
      <c r="TE18" s="117" t="str">
        <f t="shared" ca="1" si="183"/>
        <v>S</v>
      </c>
      <c r="TF18" s="117">
        <f t="shared" si="183"/>
        <v>3</v>
      </c>
      <c r="TG18" s="117">
        <f t="shared" si="183"/>
        <v>5.7</v>
      </c>
      <c r="TH18" s="117">
        <f t="shared" si="183"/>
        <v>3.0000000000000004</v>
      </c>
      <c r="TI18" s="117">
        <f t="shared" si="183"/>
        <v>0.16999999999999998</v>
      </c>
      <c r="TJ18" s="117">
        <f t="shared" si="183"/>
        <v>2.33</v>
      </c>
      <c r="TK18" s="117">
        <f t="shared" ref="TK18:VT18" si="185">TK$10</f>
        <v>0.26</v>
      </c>
      <c r="TL18" s="117">
        <f t="shared" si="185"/>
        <v>0.27</v>
      </c>
      <c r="TM18" s="117">
        <f t="shared" si="185"/>
        <v>0.1</v>
      </c>
      <c r="TN18" s="117">
        <f t="shared" si="185"/>
        <v>9.4630000000000312</v>
      </c>
      <c r="TO18" s="117">
        <f t="shared" si="185"/>
        <v>1.8425437273624747</v>
      </c>
      <c r="TP18" s="117" t="str">
        <f t="shared" ca="1" si="185"/>
        <v>S</v>
      </c>
      <c r="TQ18" s="117" t="str">
        <f t="shared" ca="1" si="185"/>
        <v>S</v>
      </c>
      <c r="TR18" s="117" t="str">
        <f t="shared" ca="1" si="185"/>
        <v>S</v>
      </c>
      <c r="TS18" s="117" t="str">
        <f t="shared" ca="1" si="185"/>
        <v>S</v>
      </c>
      <c r="TT18" s="117" t="str">
        <f t="shared" ca="1" si="185"/>
        <v>S</v>
      </c>
      <c r="TU18" s="117" t="str">
        <f t="shared" ca="1" si="185"/>
        <v>S</v>
      </c>
      <c r="TV18" s="117" t="str">
        <f t="shared" ca="1" si="185"/>
        <v>S</v>
      </c>
      <c r="TW18" s="117" t="str">
        <f t="shared" ca="1" si="185"/>
        <v>S</v>
      </c>
      <c r="TX18" s="117" t="str">
        <f t="shared" ca="1" si="185"/>
        <v>S</v>
      </c>
      <c r="TY18" s="117">
        <f t="shared" si="185"/>
        <v>4</v>
      </c>
      <c r="TZ18" s="117">
        <f t="shared" si="185"/>
        <v>13</v>
      </c>
      <c r="UA18" s="117">
        <f t="shared" si="185"/>
        <v>4.16</v>
      </c>
      <c r="UB18" s="117">
        <f t="shared" si="185"/>
        <v>0.28000000000000003</v>
      </c>
      <c r="UC18" s="117">
        <f t="shared" si="185"/>
        <v>4.0599999999999996</v>
      </c>
      <c r="UD18" s="117">
        <f t="shared" si="185"/>
        <v>0.34499999999999992</v>
      </c>
      <c r="UE18" s="117">
        <f t="shared" si="185"/>
        <v>0.25</v>
      </c>
      <c r="UF18" s="117" t="str">
        <f t="shared" ca="1" si="185"/>
        <v>U</v>
      </c>
      <c r="UG18" s="117" t="str">
        <f t="shared" ca="1" si="185"/>
        <v>U</v>
      </c>
      <c r="UH18" s="117" t="str">
        <f t="shared" ca="1" si="185"/>
        <v>U</v>
      </c>
      <c r="UI18" s="117" t="str">
        <f t="shared" ca="1" si="185"/>
        <v>U</v>
      </c>
      <c r="UJ18" s="117"/>
      <c r="UK18" s="117" t="str">
        <f t="shared" si="185"/>
        <v>U</v>
      </c>
      <c r="UL18" s="117" t="str">
        <f t="shared" si="185"/>
        <v>U</v>
      </c>
      <c r="UM18" s="117" t="str">
        <f t="shared" si="185"/>
        <v>S</v>
      </c>
      <c r="UN18" s="117" t="str">
        <f t="shared" si="185"/>
        <v>S</v>
      </c>
      <c r="UO18" s="117" t="str">
        <f t="shared" si="185"/>
        <v>S</v>
      </c>
      <c r="UP18" s="117" t="str">
        <f t="shared" si="185"/>
        <v>S</v>
      </c>
      <c r="UQ18" s="117" t="str">
        <f t="shared" si="185"/>
        <v>S</v>
      </c>
      <c r="UR18" s="117">
        <f t="shared" si="185"/>
        <v>1</v>
      </c>
      <c r="US18" s="117">
        <f t="shared" si="185"/>
        <v>2</v>
      </c>
      <c r="UT18" s="117">
        <f t="shared" si="185"/>
        <v>500</v>
      </c>
      <c r="UU18" s="117" t="str">
        <f t="shared" si="185"/>
        <v>S</v>
      </c>
      <c r="UV18" s="117" t="str">
        <f t="shared" si="185"/>
        <v>S</v>
      </c>
      <c r="UW18" s="117" t="str">
        <f t="shared" si="185"/>
        <v>S</v>
      </c>
      <c r="UX18" s="117" t="str">
        <f t="shared" si="185"/>
        <v>S</v>
      </c>
      <c r="UY18" s="117" t="str">
        <f t="shared" si="185"/>
        <v>S</v>
      </c>
      <c r="UZ18" s="117" t="str">
        <f t="shared" si="185"/>
        <v>S</v>
      </c>
      <c r="VA18" s="117" t="str">
        <f t="shared" si="185"/>
        <v>S</v>
      </c>
      <c r="VB18" s="117" t="str">
        <f t="shared" si="185"/>
        <v>S</v>
      </c>
      <c r="VC18" s="121" t="str">
        <f>VC$10</f>
        <v>S</v>
      </c>
      <c r="VD18" s="117" t="str">
        <f t="shared" si="185"/>
        <v>U</v>
      </c>
      <c r="VE18" s="117" t="str">
        <f t="shared" si="185"/>
        <v>S</v>
      </c>
      <c r="VF18" s="117" t="str">
        <f t="shared" si="185"/>
        <v>S</v>
      </c>
      <c r="VG18" s="117" t="str">
        <f t="shared" si="185"/>
        <v>S</v>
      </c>
      <c r="VH18" s="117" t="str">
        <f t="shared" si="185"/>
        <v>S</v>
      </c>
      <c r="VI18" s="117" t="str">
        <f>VI$10</f>
        <v>3</v>
      </c>
      <c r="VJ18" s="117" t="str">
        <f t="shared" si="185"/>
        <v>.3</v>
      </c>
      <c r="VK18" s="117">
        <f t="shared" si="185"/>
        <v>3</v>
      </c>
      <c r="VL18" s="117" t="str">
        <f t="shared" si="185"/>
        <v>3-SEC</v>
      </c>
      <c r="VM18" s="117" t="str">
        <f t="shared" si="185"/>
        <v>3-BTS-M</v>
      </c>
      <c r="VN18" s="117" t="str">
        <f t="shared" si="185"/>
        <v>BOTTOM TUBE SUPPORT, MID WITH AIR SEAL</v>
      </c>
      <c r="VO18" s="117" t="str">
        <f t="shared" si="185"/>
        <v>000000</v>
      </c>
      <c r="VP18" s="410">
        <f t="shared" si="185"/>
        <v>5</v>
      </c>
      <c r="VQ18" s="410">
        <f t="shared" si="185"/>
        <v>5</v>
      </c>
      <c r="VR18" s="410">
        <f t="shared" si="185"/>
        <v>0.125</v>
      </c>
      <c r="VS18" s="410">
        <f t="shared" si="185"/>
        <v>1.125</v>
      </c>
      <c r="VT18" s="410">
        <f t="shared" si="185"/>
        <v>3.5</v>
      </c>
      <c r="VX18" s="117" t="str">
        <f>VX$10</f>
        <v>3-SEC</v>
      </c>
    </row>
    <row r="19" spans="1:596" ht="14.4" hidden="1" outlineLevel="1" x14ac:dyDescent="0.3">
      <c r="A19" s="123" t="str">
        <f>IF(A11="$User_Notes","$User_Notes",CONCATENATE(A11,"SM-FLAT-PATTERN"))</f>
        <v>$User_Notes</v>
      </c>
      <c r="B19" s="117" t="str">
        <f>B$11</f>
        <v>AXC</v>
      </c>
      <c r="C19" s="117">
        <f t="shared" ref="C19:BT19" si="186">C$11</f>
        <v>65</v>
      </c>
      <c r="D19" s="117">
        <f t="shared" si="186"/>
        <v>780</v>
      </c>
      <c r="E19" s="117">
        <f t="shared" si="186"/>
        <v>0.125</v>
      </c>
      <c r="F19" s="117">
        <f t="shared" si="186"/>
        <v>6.25E-2</v>
      </c>
      <c r="G19" s="117">
        <f t="shared" si="186"/>
        <v>777.625</v>
      </c>
      <c r="H19" s="117" t="str">
        <f t="shared" si="186"/>
        <v>MC12x10.6</v>
      </c>
      <c r="I19" s="117" t="str">
        <f t="shared" si="186"/>
        <v>AXC materials:SA-36</v>
      </c>
      <c r="J19" s="117" t="str">
        <f t="shared" si="186"/>
        <v>Galvanized</v>
      </c>
      <c r="K19" s="117" t="str">
        <f t="shared" si="186"/>
        <v>Bolt on Angle</v>
      </c>
      <c r="L19" s="117" t="str">
        <f t="shared" si="186"/>
        <v>EH\VV\VI_</v>
      </c>
      <c r="M19" s="117">
        <f t="shared" ca="1" si="186"/>
        <v>16</v>
      </c>
      <c r="N19" s="117">
        <f t="shared" ca="1" si="186"/>
        <v>48</v>
      </c>
      <c r="O19" s="117">
        <f t="shared" ca="1" si="186"/>
        <v>30</v>
      </c>
      <c r="P19" s="117" t="str">
        <f t="shared" si="186"/>
        <v>Yes - Rear HDR</v>
      </c>
      <c r="Q19" s="117">
        <f t="shared" si="186"/>
        <v>3.9999333887056512</v>
      </c>
      <c r="R19" s="117" t="str">
        <f t="shared" si="186"/>
        <v>Angle</v>
      </c>
      <c r="S19" s="117" t="str">
        <f t="shared" si="186"/>
        <v>L2x3x0.1875</v>
      </c>
      <c r="T19" s="117" t="str">
        <f t="shared" si="186"/>
        <v>Weld On</v>
      </c>
      <c r="U19" s="117" t="str">
        <f>U$11</f>
        <v>Yes</v>
      </c>
      <c r="V19" s="117" t="str">
        <f t="shared" si="186"/>
        <v>Yes</v>
      </c>
      <c r="W19" s="117">
        <f t="shared" si="186"/>
        <v>15</v>
      </c>
      <c r="X19" s="117">
        <f t="shared" si="186"/>
        <v>0</v>
      </c>
      <c r="Y19" s="117">
        <f>Y$11</f>
        <v>0</v>
      </c>
      <c r="Z19" s="117" t="str">
        <f>Z$11</f>
        <v>STD</v>
      </c>
      <c r="AA19" s="117" t="str">
        <f t="shared" si="186"/>
        <v>No</v>
      </c>
      <c r="AB19" s="117" t="str">
        <f>AB$11</f>
        <v>OFF</v>
      </c>
      <c r="AC19" s="117" t="str">
        <f t="shared" si="186"/>
        <v>Yes</v>
      </c>
      <c r="AD19" s="117" t="str">
        <f>AD$11</f>
        <v>AXC Weld On</v>
      </c>
      <c r="AE19" s="117" t="str">
        <f>AE$11</f>
        <v>Outside</v>
      </c>
      <c r="AF19" s="117" t="str">
        <f t="shared" si="186"/>
        <v>0.5"</v>
      </c>
      <c r="AG19" s="117">
        <f t="shared" si="186"/>
        <v>278.125</v>
      </c>
      <c r="AH19" s="117">
        <f t="shared" si="186"/>
        <v>249.75</v>
      </c>
      <c r="AI19" s="117">
        <f t="shared" si="186"/>
        <v>0.5</v>
      </c>
      <c r="AJ19" s="117">
        <f t="shared" si="186"/>
        <v>4</v>
      </c>
      <c r="AK19" s="117">
        <f t="shared" si="186"/>
        <v>500</v>
      </c>
      <c r="AL19" s="117" t="str">
        <f t="shared" si="186"/>
        <v>None</v>
      </c>
      <c r="AM19" s="117" t="str">
        <f t="shared" si="186"/>
        <v>Pick from List</v>
      </c>
      <c r="AN19" s="117" t="str">
        <f t="shared" si="186"/>
        <v>None</v>
      </c>
      <c r="AO19" s="117" t="str">
        <f t="shared" si="186"/>
        <v>None</v>
      </c>
      <c r="AP19" s="117" t="str">
        <f t="shared" si="186"/>
        <v>None</v>
      </c>
      <c r="AQ19" s="117" t="str">
        <f t="shared" si="186"/>
        <v>L4x6x0.625</v>
      </c>
      <c r="AR19" s="117" t="str">
        <f t="shared" si="186"/>
        <v>Bolt on</v>
      </c>
      <c r="AS19" s="117" t="str">
        <f t="shared" si="186"/>
        <v>Yes</v>
      </c>
      <c r="AT19" s="117" t="str">
        <f t="shared" ca="1" si="186"/>
        <v>Bolt On</v>
      </c>
      <c r="AU19" s="117">
        <f t="shared" ca="1" si="186"/>
        <v>16</v>
      </c>
      <c r="AV19" s="117">
        <f t="shared" si="186"/>
        <v>0</v>
      </c>
      <c r="AW19" s="117">
        <f t="shared" si="186"/>
        <v>0</v>
      </c>
      <c r="AX19" s="117">
        <f t="shared" si="186"/>
        <v>6.25E-2</v>
      </c>
      <c r="AY19" s="117">
        <f t="shared" si="186"/>
        <v>21.915385672961552</v>
      </c>
      <c r="AZ19" s="117">
        <f t="shared" si="186"/>
        <v>1.5625</v>
      </c>
      <c r="BA19" s="117">
        <f t="shared" si="186"/>
        <v>2</v>
      </c>
      <c r="BB19" s="117">
        <f t="shared" si="186"/>
        <v>21.915385672961648</v>
      </c>
      <c r="BC19" s="117">
        <f t="shared" si="186"/>
        <v>1.5625</v>
      </c>
      <c r="BD19" s="117">
        <f t="shared" si="186"/>
        <v>2</v>
      </c>
      <c r="BE19" s="117">
        <f t="shared" si="186"/>
        <v>0.6250000000043382</v>
      </c>
      <c r="BF19" s="117">
        <f t="shared" si="186"/>
        <v>1.0937500000075919</v>
      </c>
      <c r="BG19" s="117">
        <f t="shared" si="186"/>
        <v>2</v>
      </c>
      <c r="BH19" s="117">
        <f t="shared" si="186"/>
        <v>0.62500000000430156</v>
      </c>
      <c r="BI19" s="117">
        <f t="shared" si="186"/>
        <v>1.0937500000075278</v>
      </c>
      <c r="BJ19" s="117">
        <f t="shared" si="186"/>
        <v>2</v>
      </c>
      <c r="BK19" s="117">
        <f t="shared" si="186"/>
        <v>1.9999999999999956</v>
      </c>
      <c r="BL19" s="117" t="str">
        <f t="shared" si="186"/>
        <v>Weld Bar</v>
      </c>
      <c r="BM19" s="117">
        <f t="shared" si="186"/>
        <v>0.99999999999999589</v>
      </c>
      <c r="BN19" s="117" t="str">
        <f t="shared" si="186"/>
        <v>Float Bar</v>
      </c>
      <c r="BO19" s="117">
        <f t="shared" si="186"/>
        <v>5</v>
      </c>
      <c r="BP19" s="117" t="str">
        <f t="shared" si="186"/>
        <v>MC12x10.6</v>
      </c>
      <c r="BQ19" s="117" t="str">
        <f t="shared" si="186"/>
        <v>U</v>
      </c>
      <c r="BR19" s="117" t="str">
        <f t="shared" si="186"/>
        <v>S</v>
      </c>
      <c r="BS19" s="117">
        <f t="shared" si="186"/>
        <v>31.374999284744241</v>
      </c>
      <c r="BT19" s="117">
        <f t="shared" si="186"/>
        <v>29.000000000000004</v>
      </c>
      <c r="BU19" s="117">
        <f t="shared" ref="BU19:EK19" si="187">BU$11</f>
        <v>3.9999999999999969</v>
      </c>
      <c r="BV19" s="117">
        <f t="shared" si="187"/>
        <v>0.25000000000000089</v>
      </c>
      <c r="BW19" s="117">
        <f t="shared" si="187"/>
        <v>9.9999999999269527E-6</v>
      </c>
      <c r="BX19" s="117">
        <f t="shared" si="187"/>
        <v>1</v>
      </c>
      <c r="BY19" s="117">
        <f t="shared" si="187"/>
        <v>1</v>
      </c>
      <c r="BZ19" s="117">
        <f t="shared" si="187"/>
        <v>6.2721143170279987</v>
      </c>
      <c r="CA19" s="117">
        <f t="shared" si="187"/>
        <v>360</v>
      </c>
      <c r="CB19" s="117">
        <f t="shared" si="187"/>
        <v>1.0000000000001172</v>
      </c>
      <c r="CC19" s="117">
        <f t="shared" si="187"/>
        <v>0.99999999999983746</v>
      </c>
      <c r="CD19" s="117">
        <f t="shared" si="187"/>
        <v>0</v>
      </c>
      <c r="CE19" s="117">
        <f t="shared" si="187"/>
        <v>1.5000000000000009</v>
      </c>
      <c r="CF19" s="117">
        <f t="shared" si="187"/>
        <v>1.2990381056766582</v>
      </c>
      <c r="CG19" s="117">
        <f t="shared" si="187"/>
        <v>9.9999999969219204E-6</v>
      </c>
      <c r="CH19" s="117" t="str">
        <f t="shared" si="187"/>
        <v>No</v>
      </c>
      <c r="CI19" s="117" t="str">
        <f t="shared" si="187"/>
        <v>U</v>
      </c>
      <c r="CJ19" s="117">
        <f t="shared" si="187"/>
        <v>10.6</v>
      </c>
      <c r="CK19" s="117">
        <f t="shared" si="187"/>
        <v>12.000000000000002</v>
      </c>
      <c r="CL19" s="117">
        <f t="shared" si="187"/>
        <v>0.18999999999999997</v>
      </c>
      <c r="CM19" s="117">
        <f t="shared" si="187"/>
        <v>1.5000000000000002</v>
      </c>
      <c r="CN19" s="117">
        <f t="shared" si="187"/>
        <v>0.30899999999999994</v>
      </c>
      <c r="CO19" s="117">
        <f t="shared" si="187"/>
        <v>0.25</v>
      </c>
      <c r="CP19" s="117">
        <f t="shared" si="187"/>
        <v>0.13</v>
      </c>
      <c r="CQ19" s="117">
        <f t="shared" si="187"/>
        <v>9.4629999999999992</v>
      </c>
      <c r="CR19" s="117">
        <f t="shared" si="187"/>
        <v>8.9700168853607709E-2</v>
      </c>
      <c r="CS19" s="117">
        <f t="shared" si="187"/>
        <v>10.740092274765473</v>
      </c>
      <c r="CT19" s="117">
        <f t="shared" si="187"/>
        <v>0.62995386261726427</v>
      </c>
      <c r="CU19" s="117" t="str">
        <f t="shared" si="187"/>
        <v>S</v>
      </c>
      <c r="CV19" s="117">
        <f t="shared" si="187"/>
        <v>12.000000000000002</v>
      </c>
      <c r="CW19" s="117">
        <f t="shared" si="187"/>
        <v>0.28199999999999997</v>
      </c>
      <c r="CX19" s="117">
        <f t="shared" si="187"/>
        <v>2.9419999999999997</v>
      </c>
      <c r="CY19" s="117">
        <f t="shared" si="187"/>
        <v>0.501</v>
      </c>
      <c r="CZ19" s="117">
        <f t="shared" si="187"/>
        <v>0.37999999999999995</v>
      </c>
      <c r="DA19" s="117">
        <f t="shared" si="187"/>
        <v>0.16999999999999998</v>
      </c>
      <c r="DB19" s="117">
        <f t="shared" si="187"/>
        <v>9.4629999999999992</v>
      </c>
      <c r="DC19" s="117">
        <f t="shared" si="187"/>
        <v>0.13530728481002544</v>
      </c>
      <c r="DD19" s="117">
        <f t="shared" si="187"/>
        <v>20.7</v>
      </c>
      <c r="DE19" s="117" t="str">
        <f t="shared" si="187"/>
        <v>S</v>
      </c>
      <c r="DF19" s="117" t="str">
        <f t="shared" si="187"/>
        <v>S</v>
      </c>
      <c r="DG19" s="117" t="str">
        <f t="shared" si="187"/>
        <v>S</v>
      </c>
      <c r="DH19" s="117" t="str">
        <f t="shared" si="187"/>
        <v>S</v>
      </c>
      <c r="DI19" s="117" t="str">
        <f t="shared" si="187"/>
        <v>S</v>
      </c>
      <c r="DJ19" s="117" t="str">
        <f t="shared" si="187"/>
        <v>S</v>
      </c>
      <c r="DK19" s="117" t="str">
        <f t="shared" si="187"/>
        <v>S</v>
      </c>
      <c r="DL19" s="117" t="str">
        <f t="shared" si="187"/>
        <v>S</v>
      </c>
      <c r="DM19" s="117" t="str">
        <f t="shared" si="187"/>
        <v>U</v>
      </c>
      <c r="DN19" s="117" t="str">
        <f t="shared" si="187"/>
        <v>U</v>
      </c>
      <c r="DO19" s="117" t="str">
        <f t="shared" si="187"/>
        <v>U</v>
      </c>
      <c r="DP19" s="117" t="str">
        <f t="shared" si="187"/>
        <v>U</v>
      </c>
      <c r="DQ19" s="117" t="str">
        <f t="shared" si="187"/>
        <v>S</v>
      </c>
      <c r="DR19" s="117" t="str">
        <f t="shared" si="187"/>
        <v>S</v>
      </c>
      <c r="DS19" s="117" t="str">
        <f t="shared" si="187"/>
        <v>S</v>
      </c>
      <c r="DT19" s="117" t="str">
        <f t="shared" si="187"/>
        <v>S</v>
      </c>
      <c r="DU19" s="117" t="str">
        <f t="shared" si="187"/>
        <v>S</v>
      </c>
      <c r="DV19" s="117" t="str">
        <f t="shared" si="187"/>
        <v>S</v>
      </c>
      <c r="DW19" s="117" t="str">
        <f t="shared" si="187"/>
        <v>S</v>
      </c>
      <c r="DX19" s="117" t="str">
        <f t="shared" si="187"/>
        <v>S</v>
      </c>
      <c r="DY19" s="117">
        <f t="shared" si="187"/>
        <v>29</v>
      </c>
      <c r="DZ19" s="117">
        <f t="shared" si="187"/>
        <v>0.25</v>
      </c>
      <c r="EA19" s="117">
        <f t="shared" si="187"/>
        <v>0.25</v>
      </c>
      <c r="EB19" s="117">
        <f t="shared" si="187"/>
        <v>3.9999999999999969</v>
      </c>
      <c r="EC19" s="117">
        <f t="shared" si="187"/>
        <v>1E-4</v>
      </c>
      <c r="ED19" s="117">
        <f t="shared" si="187"/>
        <v>1E-4</v>
      </c>
      <c r="EE19" s="117">
        <f t="shared" si="187"/>
        <v>0.25000000000000089</v>
      </c>
      <c r="EF19" s="117">
        <f t="shared" si="187"/>
        <v>1.5599999999999999E-2</v>
      </c>
      <c r="EG19" s="117" t="str">
        <f t="shared" ca="1" si="187"/>
        <v>U</v>
      </c>
      <c r="EH19" s="117" t="str">
        <f t="shared" ca="1" si="187"/>
        <v>S</v>
      </c>
      <c r="EI19" s="117" t="str">
        <f t="shared" ca="1" si="187"/>
        <v>U</v>
      </c>
      <c r="EJ19" s="117" t="str">
        <f t="shared" si="187"/>
        <v>S</v>
      </c>
      <c r="EK19" s="117" t="str">
        <f t="shared" ca="1" si="187"/>
        <v>U</v>
      </c>
      <c r="EL19" s="117" t="str">
        <f t="shared" ref="EL19:HR19" ca="1" si="188">EL$11</f>
        <v>S</v>
      </c>
      <c r="EM19" s="117">
        <f t="shared" si="188"/>
        <v>0.75</v>
      </c>
      <c r="EN19" s="117">
        <f t="shared" si="188"/>
        <v>0.19000000000423975</v>
      </c>
      <c r="EO19" s="117">
        <f t="shared" si="188"/>
        <v>0.62500000000001221</v>
      </c>
      <c r="EP19" s="117">
        <f t="shared" si="188"/>
        <v>1.5000000000000016</v>
      </c>
      <c r="EQ19" s="117">
        <f t="shared" si="188"/>
        <v>1.437500284744256</v>
      </c>
      <c r="ER19" s="117">
        <f t="shared" si="188"/>
        <v>0.5</v>
      </c>
      <c r="ES19" s="117" t="str">
        <f t="shared" si="188"/>
        <v>U</v>
      </c>
      <c r="ET19" s="117" t="str">
        <f t="shared" si="188"/>
        <v>U</v>
      </c>
      <c r="EU19" s="117" t="str">
        <f t="shared" si="188"/>
        <v>U</v>
      </c>
      <c r="EV19" s="117" t="str">
        <f t="shared" si="188"/>
        <v>U</v>
      </c>
      <c r="EW19" s="117" t="str">
        <f t="shared" si="188"/>
        <v>U</v>
      </c>
      <c r="EX19" s="117" t="str">
        <f ca="1">EX$11</f>
        <v>U</v>
      </c>
      <c r="EY19" s="117" t="str">
        <f ca="1">EY$11</f>
        <v>U</v>
      </c>
      <c r="EZ19" s="117" t="str">
        <f ca="1">EZ$11</f>
        <v>U</v>
      </c>
      <c r="FA19" s="117" t="str">
        <f t="shared" ca="1" si="188"/>
        <v>U</v>
      </c>
      <c r="FB19" s="117" t="str">
        <f t="shared" ca="1" si="188"/>
        <v>U</v>
      </c>
      <c r="FC19" s="117" t="str">
        <f t="shared" ca="1" si="188"/>
        <v>U</v>
      </c>
      <c r="FD19" s="117" t="str">
        <f t="shared" ca="1" si="188"/>
        <v>U</v>
      </c>
      <c r="FE19" s="117" t="str">
        <f t="shared" ca="1" si="188"/>
        <v>U</v>
      </c>
      <c r="FF19" s="117" t="str">
        <f t="shared" ca="1" si="188"/>
        <v>U</v>
      </c>
      <c r="FG19" s="117">
        <f t="shared" ca="1" si="188"/>
        <v>48</v>
      </c>
      <c r="FH19" s="117" t="str">
        <f t="shared" si="188"/>
        <v>U</v>
      </c>
      <c r="FI19" s="117" t="str">
        <f t="shared" si="188"/>
        <v>S</v>
      </c>
      <c r="FJ19" s="117" t="str">
        <f t="shared" si="188"/>
        <v>S</v>
      </c>
      <c r="FK19" s="117" t="str">
        <f t="shared" si="188"/>
        <v>S</v>
      </c>
      <c r="FL19" s="307" t="str">
        <f t="shared" si="188"/>
        <v>S</v>
      </c>
      <c r="FM19" s="117" t="str">
        <f ca="1">FM$11</f>
        <v>U</v>
      </c>
      <c r="FN19" s="117" t="str">
        <f ca="1">FN$11</f>
        <v>U</v>
      </c>
      <c r="FO19" s="117">
        <f ca="1">FO$11</f>
        <v>48</v>
      </c>
      <c r="FP19" s="117">
        <f ca="1">FP$11</f>
        <v>16</v>
      </c>
      <c r="FQ19" s="308" t="str">
        <f t="shared" si="188"/>
        <v>S</v>
      </c>
      <c r="FR19" s="117" t="str">
        <f t="shared" si="188"/>
        <v>S</v>
      </c>
      <c r="FS19" s="117" t="str">
        <f>FS$11</f>
        <v>S</v>
      </c>
      <c r="FT19" s="117" t="str">
        <f>FT$11</f>
        <v>S</v>
      </c>
      <c r="FU19" s="117" t="str">
        <f>FU$11</f>
        <v>S</v>
      </c>
      <c r="FV19" s="117" t="str">
        <f t="shared" ref="FV19:FW19" si="189">FV$11</f>
        <v>S</v>
      </c>
      <c r="FW19" s="117" t="str">
        <f t="shared" si="189"/>
        <v>S</v>
      </c>
      <c r="FX19" s="117" t="str">
        <f>FX$11</f>
        <v>U</v>
      </c>
      <c r="FY19" s="117" t="str">
        <f>FY$11</f>
        <v>U</v>
      </c>
      <c r="FZ19" s="117">
        <f t="shared" si="188"/>
        <v>27</v>
      </c>
      <c r="GA19" s="117">
        <f t="shared" si="188"/>
        <v>19</v>
      </c>
      <c r="GB19" s="117">
        <f t="shared" si="188"/>
        <v>10</v>
      </c>
      <c r="GC19" s="117">
        <f t="shared" si="188"/>
        <v>15.000000000000009</v>
      </c>
      <c r="GD19" s="117">
        <f t="shared" si="188"/>
        <v>1</v>
      </c>
      <c r="GE19" s="117">
        <f t="shared" si="188"/>
        <v>12.000000000000007</v>
      </c>
      <c r="GF19" s="117">
        <f t="shared" si="188"/>
        <v>1</v>
      </c>
      <c r="GG19" s="117">
        <f t="shared" si="188"/>
        <v>1</v>
      </c>
      <c r="GH19" s="117">
        <f t="shared" si="188"/>
        <v>12.000010000000007</v>
      </c>
      <c r="GI19" s="117" t="str">
        <f t="shared" ca="1" si="188"/>
        <v>U</v>
      </c>
      <c r="GJ19" s="117" t="str">
        <f t="shared" ca="1" si="188"/>
        <v>S</v>
      </c>
      <c r="GK19" s="117" t="str">
        <f t="shared" ca="1" si="188"/>
        <v>U</v>
      </c>
      <c r="GL19" s="117" t="str">
        <f t="shared" ca="1" si="188"/>
        <v>U</v>
      </c>
      <c r="GM19" s="117" t="str">
        <f t="shared" ca="1" si="188"/>
        <v>U</v>
      </c>
      <c r="GN19" s="117" t="str">
        <f t="shared" ca="1" si="188"/>
        <v>U</v>
      </c>
      <c r="GO19" s="117" t="str">
        <f t="shared" ca="1" si="188"/>
        <v>U</v>
      </c>
      <c r="GP19" s="117">
        <f t="shared" si="188"/>
        <v>1.0000000005663834E-5</v>
      </c>
      <c r="GQ19" s="117">
        <f t="shared" si="188"/>
        <v>5.9999999999999991</v>
      </c>
      <c r="GR19" s="117">
        <f t="shared" si="188"/>
        <v>1</v>
      </c>
      <c r="GS19" s="117">
        <f t="shared" si="188"/>
        <v>10</v>
      </c>
      <c r="GT19" s="117">
        <f t="shared" si="188"/>
        <v>15.000000000000009</v>
      </c>
      <c r="GU19" s="117">
        <f t="shared" si="188"/>
        <v>0</v>
      </c>
      <c r="GV19" s="117">
        <f t="shared" si="188"/>
        <v>6.0000000000000036</v>
      </c>
      <c r="GW19" s="117">
        <f t="shared" si="188"/>
        <v>1</v>
      </c>
      <c r="GX19" s="117">
        <f t="shared" si="188"/>
        <v>1</v>
      </c>
      <c r="GY19" s="117" t="str">
        <f t="shared" ca="1" si="188"/>
        <v>S</v>
      </c>
      <c r="GZ19" s="117">
        <f t="shared" si="188"/>
        <v>1.500010000000001</v>
      </c>
      <c r="HA19" s="117" t="str">
        <f t="shared" ca="1" si="188"/>
        <v>S</v>
      </c>
      <c r="HB19" s="117" t="str">
        <f t="shared" ca="1" si="188"/>
        <v>S</v>
      </c>
      <c r="HC19" s="117" t="str">
        <f t="shared" ca="1" si="188"/>
        <v>S</v>
      </c>
      <c r="HD19" s="117" t="str">
        <f t="shared" ca="1" si="188"/>
        <v>S</v>
      </c>
      <c r="HE19" s="117" t="str">
        <f t="shared" ca="1" si="188"/>
        <v>S</v>
      </c>
      <c r="HF19" s="208" t="str">
        <f>HF$11</f>
        <v>Yes - Right Side</v>
      </c>
      <c r="HG19" s="117" t="str">
        <f t="shared" si="188"/>
        <v>S</v>
      </c>
      <c r="HH19" s="117" t="str">
        <f t="shared" si="188"/>
        <v>U</v>
      </c>
      <c r="HI19" s="117" t="str">
        <f>HI$11</f>
        <v>U</v>
      </c>
      <c r="HJ19" s="117" t="str">
        <f t="shared" si="188"/>
        <v>S</v>
      </c>
      <c r="HK19" s="117" t="str">
        <f t="shared" si="188"/>
        <v>S</v>
      </c>
      <c r="HL19" s="117">
        <f t="shared" ca="1" si="188"/>
        <v>48</v>
      </c>
      <c r="HM19" s="117">
        <f t="shared" si="188"/>
        <v>3.9999999999999998E-6</v>
      </c>
      <c r="HN19" s="117" t="str">
        <f t="shared" si="188"/>
        <v>S</v>
      </c>
      <c r="HO19" s="117">
        <f t="shared" ca="1" si="188"/>
        <v>18</v>
      </c>
      <c r="HP19" s="117">
        <f t="shared" ca="1" si="188"/>
        <v>48.000003999999997</v>
      </c>
      <c r="HQ19" s="117" t="str">
        <f t="shared" si="188"/>
        <v>S</v>
      </c>
      <c r="HR19" s="117" t="str">
        <f t="shared" si="188"/>
        <v>S</v>
      </c>
      <c r="HS19" s="117">
        <f t="shared" ref="HS19:KR19" ca="1" si="190">HS$11</f>
        <v>359.99999600000001</v>
      </c>
      <c r="HT19" s="117">
        <f t="shared" ca="1" si="190"/>
        <v>23.999968000000024</v>
      </c>
      <c r="HU19" s="117">
        <f t="shared" ca="1" si="190"/>
        <v>23.999968000000024</v>
      </c>
      <c r="HV19" s="117">
        <f t="shared" ca="1" si="190"/>
        <v>3.9999373887056513</v>
      </c>
      <c r="HW19" s="117">
        <f t="shared" ca="1" si="190"/>
        <v>24</v>
      </c>
      <c r="HX19" s="117">
        <f t="shared" si="190"/>
        <v>388.8125</v>
      </c>
      <c r="HY19" s="117">
        <f t="shared" ca="1" si="190"/>
        <v>360.00000399999999</v>
      </c>
      <c r="HZ19" s="117">
        <f ca="1">HZ$11</f>
        <v>3.9999373887056513</v>
      </c>
      <c r="IA19" s="117">
        <f ca="1">IA$11</f>
        <v>24.000035999999973</v>
      </c>
      <c r="IB19" s="117" t="str">
        <f t="shared" si="190"/>
        <v>S</v>
      </c>
      <c r="IC19" s="117" t="str">
        <f t="shared" si="190"/>
        <v>S</v>
      </c>
      <c r="ID19" s="117">
        <f t="shared" ca="1" si="190"/>
        <v>27.999905388705674</v>
      </c>
      <c r="IE19" s="117" t="str">
        <f t="shared" si="190"/>
        <v>S</v>
      </c>
      <c r="IF19" s="117" t="str">
        <f t="shared" si="190"/>
        <v>S</v>
      </c>
      <c r="IG19" s="117" t="str">
        <f t="shared" si="190"/>
        <v>S</v>
      </c>
      <c r="IH19" s="117" t="str">
        <f t="shared" si="190"/>
        <v>S</v>
      </c>
      <c r="II19" s="117" t="str">
        <f t="shared" si="190"/>
        <v>S</v>
      </c>
      <c r="IJ19" s="117">
        <f t="shared" ca="1" si="190"/>
        <v>23.999968000000024</v>
      </c>
      <c r="IK19" s="117">
        <f t="shared" ca="1" si="190"/>
        <v>3.9999373887056513</v>
      </c>
      <c r="IL19" s="117" t="str">
        <f t="shared" si="190"/>
        <v>S</v>
      </c>
      <c r="IM19" s="117" t="str">
        <f t="shared" si="190"/>
        <v>S</v>
      </c>
      <c r="IN19" s="117" t="str">
        <f t="shared" si="190"/>
        <v>S</v>
      </c>
      <c r="IO19" s="117" t="str">
        <f t="shared" si="190"/>
        <v>S</v>
      </c>
      <c r="IP19" s="117" t="str">
        <f t="shared" si="190"/>
        <v>S</v>
      </c>
      <c r="IQ19" s="117" t="str">
        <f t="shared" si="190"/>
        <v>S</v>
      </c>
      <c r="IR19" s="117" t="str">
        <f t="shared" si="190"/>
        <v>S</v>
      </c>
      <c r="IS19" s="117" t="str">
        <f t="shared" si="190"/>
        <v>S</v>
      </c>
      <c r="IT19" s="117" t="str">
        <f t="shared" si="190"/>
        <v>S</v>
      </c>
      <c r="IU19" s="117" t="str">
        <f t="shared" si="190"/>
        <v>S</v>
      </c>
      <c r="IV19" s="117" t="str">
        <f t="shared" si="190"/>
        <v>S</v>
      </c>
      <c r="IW19" s="117" t="str">
        <f t="shared" si="190"/>
        <v>S</v>
      </c>
      <c r="IX19" s="117" t="str">
        <f t="shared" si="190"/>
        <v>S</v>
      </c>
      <c r="IY19" s="117">
        <f t="shared" ca="1" si="190"/>
        <v>1</v>
      </c>
      <c r="IZ19" s="117">
        <f t="shared" ca="1" si="190"/>
        <v>3</v>
      </c>
      <c r="JA19" s="117">
        <f t="shared" ca="1" si="190"/>
        <v>9.9999999999999995E-7</v>
      </c>
      <c r="JB19" s="117">
        <f t="shared" ca="1" si="190"/>
        <v>1.0000000000000001E-5</v>
      </c>
      <c r="JC19" s="117">
        <f t="shared" ca="1" si="190"/>
        <v>1.0000000000000001E-5</v>
      </c>
      <c r="JD19" s="117" t="str">
        <f t="shared" ca="1" si="190"/>
        <v>S</v>
      </c>
      <c r="JE19" s="117" t="str">
        <f t="shared" ca="1" si="190"/>
        <v>S</v>
      </c>
      <c r="JF19" s="117" t="str">
        <f t="shared" ca="1" si="190"/>
        <v>S</v>
      </c>
      <c r="JG19" s="117" t="str">
        <f t="shared" ca="1" si="190"/>
        <v>S</v>
      </c>
      <c r="JH19" s="117" t="str">
        <f t="shared" ca="1" si="190"/>
        <v>S</v>
      </c>
      <c r="JI19" s="117">
        <f t="shared" si="190"/>
        <v>0.1046</v>
      </c>
      <c r="JJ19" s="199">
        <f>JJ$11</f>
        <v>0.39290028474001548</v>
      </c>
      <c r="JK19" s="117">
        <f t="shared" si="190"/>
        <v>0.51790028474001548</v>
      </c>
      <c r="JL19" s="117">
        <f t="shared" si="190"/>
        <v>0.5</v>
      </c>
      <c r="JM19" s="117">
        <f t="shared" si="190"/>
        <v>0.375</v>
      </c>
      <c r="JN19" s="117">
        <f t="shared" si="190"/>
        <v>0.375</v>
      </c>
      <c r="JO19" s="117">
        <f t="shared" si="190"/>
        <v>11.25</v>
      </c>
      <c r="JP19" s="117" t="str">
        <f>JP$11</f>
        <v>S</v>
      </c>
      <c r="JQ19" s="117" t="str">
        <f>JQ$11</f>
        <v>S</v>
      </c>
      <c r="JR19" s="117" t="str">
        <f>JR$11</f>
        <v>S</v>
      </c>
      <c r="JS19" s="117" t="str">
        <f t="shared" si="190"/>
        <v>U</v>
      </c>
      <c r="JT19" s="117" t="str">
        <f t="shared" si="190"/>
        <v>U</v>
      </c>
      <c r="JU19" s="117" t="str">
        <f t="shared" si="190"/>
        <v>S</v>
      </c>
      <c r="JV19" s="117" t="str">
        <f t="shared" si="190"/>
        <v>S</v>
      </c>
      <c r="JW19" s="117" t="str">
        <f t="shared" si="190"/>
        <v>S</v>
      </c>
      <c r="JX19" s="117" t="str">
        <f t="shared" si="190"/>
        <v>S</v>
      </c>
      <c r="JY19" s="117" t="str">
        <f t="shared" si="190"/>
        <v>S</v>
      </c>
      <c r="JZ19" s="117" t="str">
        <f t="shared" si="190"/>
        <v>S</v>
      </c>
      <c r="KA19" s="117" t="str">
        <f t="shared" si="190"/>
        <v>S</v>
      </c>
      <c r="KB19" s="117" t="str">
        <f t="shared" si="190"/>
        <v>S</v>
      </c>
      <c r="KC19" s="117" t="str">
        <f t="shared" si="190"/>
        <v>S</v>
      </c>
      <c r="KD19" s="117" t="str">
        <f t="shared" si="190"/>
        <v>S</v>
      </c>
      <c r="KE19" s="117" t="str">
        <f t="shared" si="190"/>
        <v>S</v>
      </c>
      <c r="KF19" s="117" t="str">
        <f t="shared" si="190"/>
        <v>S</v>
      </c>
      <c r="KG19" s="117" t="str">
        <f t="shared" si="190"/>
        <v>S</v>
      </c>
      <c r="KH19" s="117" t="str">
        <f t="shared" si="190"/>
        <v>S</v>
      </c>
      <c r="KI19" s="117" t="str">
        <f t="shared" si="190"/>
        <v>S</v>
      </c>
      <c r="KJ19" s="117" t="str">
        <f t="shared" si="190"/>
        <v>S</v>
      </c>
      <c r="KK19" s="117" t="str">
        <f t="shared" si="190"/>
        <v>S</v>
      </c>
      <c r="KL19" s="117" t="str">
        <f t="shared" si="190"/>
        <v>S</v>
      </c>
      <c r="KM19" s="117" t="str">
        <f t="shared" si="190"/>
        <v>S</v>
      </c>
      <c r="KN19" s="117">
        <f t="shared" si="190"/>
        <v>1.0000000000000001E-5</v>
      </c>
      <c r="KO19" s="117" t="str">
        <f t="shared" si="190"/>
        <v>S</v>
      </c>
      <c r="KP19" s="117" t="str">
        <f t="shared" si="190"/>
        <v>S</v>
      </c>
      <c r="KQ19" s="117" t="str">
        <f t="shared" si="190"/>
        <v>S</v>
      </c>
      <c r="KR19" s="117" t="str">
        <f t="shared" si="190"/>
        <v>S</v>
      </c>
      <c r="KS19" s="117" t="str">
        <f t="shared" ref="KS19:NF19" si="191">KS$11</f>
        <v>S</v>
      </c>
      <c r="KT19" s="117" t="str">
        <f t="shared" si="191"/>
        <v>S</v>
      </c>
      <c r="KU19" s="117" t="str">
        <f t="shared" si="191"/>
        <v>S</v>
      </c>
      <c r="KV19" s="117" t="str">
        <f t="shared" si="191"/>
        <v>S</v>
      </c>
      <c r="KW19" s="117">
        <f t="shared" si="191"/>
        <v>2</v>
      </c>
      <c r="KX19" s="117">
        <f t="shared" si="191"/>
        <v>3.0000000000000004</v>
      </c>
      <c r="KY19" s="117">
        <f t="shared" si="191"/>
        <v>0.25</v>
      </c>
      <c r="KZ19" s="117">
        <f t="shared" si="191"/>
        <v>0.3125</v>
      </c>
      <c r="LA19" s="117">
        <f t="shared" si="191"/>
        <v>0.25</v>
      </c>
      <c r="LB19" s="117">
        <f t="shared" si="191"/>
        <v>2.0000000000000001E-4</v>
      </c>
      <c r="LC19" s="117" t="str">
        <f t="shared" si="191"/>
        <v>S</v>
      </c>
      <c r="LD19" s="117" t="str">
        <f t="shared" si="191"/>
        <v>S</v>
      </c>
      <c r="LE19" s="117" t="str">
        <f t="shared" si="191"/>
        <v>S</v>
      </c>
      <c r="LF19" s="117" t="str">
        <f t="shared" si="191"/>
        <v>S</v>
      </c>
      <c r="LG19" s="117" t="str">
        <f t="shared" si="191"/>
        <v>S</v>
      </c>
      <c r="LH19" s="117" t="str">
        <f t="shared" si="191"/>
        <v>S</v>
      </c>
      <c r="LI19" s="117" t="str">
        <f t="shared" si="191"/>
        <v>S</v>
      </c>
      <c r="LJ19" s="117" t="str">
        <f t="shared" si="191"/>
        <v>S</v>
      </c>
      <c r="LK19" s="117" t="str">
        <f t="shared" si="191"/>
        <v>S</v>
      </c>
      <c r="LL19" s="117" t="str">
        <f t="shared" si="191"/>
        <v>S</v>
      </c>
      <c r="LM19" s="117" t="str">
        <f t="shared" si="191"/>
        <v>S</v>
      </c>
      <c r="LN19" s="117" t="str">
        <f t="shared" si="191"/>
        <v>S</v>
      </c>
      <c r="LO19" s="117" t="str">
        <f t="shared" si="191"/>
        <v>S</v>
      </c>
      <c r="LP19" s="117" t="str">
        <f t="shared" si="191"/>
        <v>S</v>
      </c>
      <c r="LQ19" s="117">
        <f t="shared" si="191"/>
        <v>3.0000000000000004</v>
      </c>
      <c r="LR19" s="117">
        <f t="shared" si="191"/>
        <v>0.16999999999999998</v>
      </c>
      <c r="LS19" s="117">
        <f t="shared" si="191"/>
        <v>1.41</v>
      </c>
      <c r="LT19" s="117">
        <f t="shared" si="191"/>
        <v>0.27300000000000002</v>
      </c>
      <c r="LU19" s="117">
        <f t="shared" si="191"/>
        <v>0.27</v>
      </c>
      <c r="LV19" s="117">
        <f t="shared" si="191"/>
        <v>0.1</v>
      </c>
      <c r="LW19" s="117">
        <f t="shared" si="191"/>
        <v>9.4629999999999992</v>
      </c>
      <c r="LX19" s="117">
        <f t="shared" si="191"/>
        <v>8.4947435596928661E-2</v>
      </c>
      <c r="LY19" s="117">
        <f t="shared" si="191"/>
        <v>4.0999999999999996</v>
      </c>
      <c r="LZ19" s="117" t="str">
        <f t="shared" si="191"/>
        <v>S</v>
      </c>
      <c r="MA19" s="117" t="str">
        <f t="shared" si="191"/>
        <v>S</v>
      </c>
      <c r="MB19" s="117" t="str">
        <f t="shared" si="191"/>
        <v>S</v>
      </c>
      <c r="MC19" s="117" t="str">
        <f t="shared" si="191"/>
        <v>S</v>
      </c>
      <c r="MD19" s="117" t="str">
        <f t="shared" si="191"/>
        <v>S</v>
      </c>
      <c r="ME19" s="117" t="str">
        <f t="shared" si="191"/>
        <v>S</v>
      </c>
      <c r="MF19" s="117" t="str">
        <f t="shared" si="191"/>
        <v>S</v>
      </c>
      <c r="MG19" s="117" t="str">
        <f t="shared" si="191"/>
        <v>S</v>
      </c>
      <c r="MH19" s="117" t="str">
        <f t="shared" si="191"/>
        <v>S</v>
      </c>
      <c r="MI19" s="117" t="str">
        <f t="shared" si="191"/>
        <v>S</v>
      </c>
      <c r="MJ19" s="117" t="str">
        <f>MJ$11</f>
        <v>S</v>
      </c>
      <c r="MK19" s="117" t="str">
        <f>MK$11</f>
        <v>S</v>
      </c>
      <c r="ML19" s="117" t="str">
        <f>ML$11</f>
        <v>S</v>
      </c>
      <c r="MM19" s="117" t="str">
        <f t="shared" si="191"/>
        <v>S</v>
      </c>
      <c r="MN19" s="117" t="str">
        <f t="shared" si="191"/>
        <v>S</v>
      </c>
      <c r="MO19" s="117" t="str">
        <f t="shared" si="191"/>
        <v>S</v>
      </c>
      <c r="MP19" s="117" t="str">
        <f t="shared" si="191"/>
        <v>S</v>
      </c>
      <c r="MQ19" s="117" t="str">
        <f t="shared" si="191"/>
        <v>S</v>
      </c>
      <c r="MR19" s="117" t="str">
        <f t="shared" si="191"/>
        <v>S</v>
      </c>
      <c r="MS19" s="117" t="str">
        <f t="shared" si="191"/>
        <v>S</v>
      </c>
      <c r="MT19" s="117" t="str">
        <f t="shared" si="191"/>
        <v>S</v>
      </c>
      <c r="MU19" s="117" t="str">
        <f t="shared" si="191"/>
        <v>S</v>
      </c>
      <c r="MV19" s="117" t="str">
        <f t="shared" si="191"/>
        <v>S</v>
      </c>
      <c r="MW19" s="117" t="str">
        <f t="shared" si="191"/>
        <v>S</v>
      </c>
      <c r="MX19" s="117" t="str">
        <f t="shared" si="191"/>
        <v>S</v>
      </c>
      <c r="MY19" s="117" t="str">
        <f t="shared" si="191"/>
        <v>S</v>
      </c>
      <c r="MZ19" s="117" t="str">
        <f t="shared" si="191"/>
        <v>S</v>
      </c>
      <c r="NA19" s="117" t="str">
        <f t="shared" si="191"/>
        <v>S</v>
      </c>
      <c r="NB19" s="117" t="str">
        <f t="shared" si="191"/>
        <v>S</v>
      </c>
      <c r="NC19" s="117" t="str">
        <f t="shared" si="191"/>
        <v>S</v>
      </c>
      <c r="ND19" s="117" t="str">
        <f t="shared" si="191"/>
        <v>S</v>
      </c>
      <c r="NE19" s="117">
        <f t="shared" si="191"/>
        <v>0</v>
      </c>
      <c r="NF19" s="117">
        <f t="shared" si="191"/>
        <v>1.0000000000000001E-5</v>
      </c>
      <c r="NG19" s="117" t="str">
        <f t="shared" ref="NG19:QH19" si="192">NG$11</f>
        <v>S</v>
      </c>
      <c r="NH19" s="117" t="str">
        <f t="shared" si="192"/>
        <v>S</v>
      </c>
      <c r="NI19" s="117" t="str">
        <f t="shared" si="192"/>
        <v>S</v>
      </c>
      <c r="NJ19" s="117" t="str">
        <f t="shared" si="192"/>
        <v>S</v>
      </c>
      <c r="NK19" s="117" t="str">
        <f t="shared" si="192"/>
        <v>S</v>
      </c>
      <c r="NL19" s="117" t="str">
        <f t="shared" si="192"/>
        <v>S</v>
      </c>
      <c r="NM19" s="117" t="str">
        <f t="shared" si="192"/>
        <v>S</v>
      </c>
      <c r="NN19" s="117" t="str">
        <f t="shared" si="192"/>
        <v>S</v>
      </c>
      <c r="NO19" s="117">
        <f t="shared" si="192"/>
        <v>4</v>
      </c>
      <c r="NP19" s="117">
        <f t="shared" si="192"/>
        <v>6.0000000000000009</v>
      </c>
      <c r="NQ19" s="117">
        <f t="shared" si="192"/>
        <v>0.625</v>
      </c>
      <c r="NR19" s="117">
        <f t="shared" si="192"/>
        <v>0.5</v>
      </c>
      <c r="NS19" s="117">
        <f t="shared" si="192"/>
        <v>0.5</v>
      </c>
      <c r="NT19" s="117">
        <f t="shared" si="192"/>
        <v>0.12520000000000001</v>
      </c>
      <c r="NU19" s="117" t="str">
        <f t="shared" si="192"/>
        <v>S</v>
      </c>
      <c r="NV19" s="117" t="str">
        <f t="shared" si="192"/>
        <v>S</v>
      </c>
      <c r="NW19" s="117" t="str">
        <f t="shared" si="192"/>
        <v>S</v>
      </c>
      <c r="NX19" s="117" t="str">
        <f t="shared" si="192"/>
        <v>S</v>
      </c>
      <c r="NY19" s="117" t="str">
        <f t="shared" si="192"/>
        <v>S</v>
      </c>
      <c r="NZ19" s="117" t="str">
        <f t="shared" si="192"/>
        <v>S</v>
      </c>
      <c r="OA19" s="117" t="str">
        <f t="shared" si="192"/>
        <v>S</v>
      </c>
      <c r="OB19" s="117" t="str">
        <f t="shared" si="192"/>
        <v>S</v>
      </c>
      <c r="OC19" s="117" t="str">
        <f t="shared" si="192"/>
        <v>S</v>
      </c>
      <c r="OD19" s="117" t="str">
        <f t="shared" si="192"/>
        <v>S</v>
      </c>
      <c r="OE19" s="117">
        <f t="shared" si="192"/>
        <v>3.0000000000000004</v>
      </c>
      <c r="OF19" s="117">
        <f t="shared" si="192"/>
        <v>0.16999999999999998</v>
      </c>
      <c r="OG19" s="117">
        <f t="shared" si="192"/>
        <v>1.41</v>
      </c>
      <c r="OH19" s="117">
        <f t="shared" si="192"/>
        <v>0.27300000000000002</v>
      </c>
      <c r="OI19" s="117">
        <f t="shared" si="192"/>
        <v>0.27</v>
      </c>
      <c r="OJ19" s="117">
        <f t="shared" si="192"/>
        <v>0.1</v>
      </c>
      <c r="OK19" s="117">
        <f t="shared" si="192"/>
        <v>9.4629999999999992</v>
      </c>
      <c r="OL19" s="117">
        <f t="shared" si="192"/>
        <v>8.4947435596928661E-2</v>
      </c>
      <c r="OM19" s="117">
        <f t="shared" si="192"/>
        <v>4.0999999999999996</v>
      </c>
      <c r="ON19" s="117" t="str">
        <f t="shared" si="192"/>
        <v>S</v>
      </c>
      <c r="OO19" s="117" t="str">
        <f t="shared" si="192"/>
        <v>S</v>
      </c>
      <c r="OP19" s="117" t="str">
        <f t="shared" si="192"/>
        <v>S</v>
      </c>
      <c r="OQ19" s="117" t="str">
        <f t="shared" si="192"/>
        <v>S</v>
      </c>
      <c r="OR19" s="117" t="str">
        <f t="shared" si="192"/>
        <v>S</v>
      </c>
      <c r="OS19" s="117" t="str">
        <f t="shared" si="192"/>
        <v>S</v>
      </c>
      <c r="OT19" s="117" t="str">
        <f t="shared" si="192"/>
        <v>S</v>
      </c>
      <c r="OU19" s="117">
        <f t="shared" si="192"/>
        <v>22.352885682963269</v>
      </c>
      <c r="OV19" s="117">
        <f t="shared" si="192"/>
        <v>1.5625</v>
      </c>
      <c r="OW19" s="117">
        <f t="shared" si="192"/>
        <v>2</v>
      </c>
      <c r="OX19" s="117">
        <f t="shared" ca="1" si="192"/>
        <v>1.0000000000000001E-5</v>
      </c>
      <c r="OY19" s="117" t="str">
        <f t="shared" si="192"/>
        <v>S</v>
      </c>
      <c r="OZ19" s="117" t="str">
        <f t="shared" si="192"/>
        <v>S</v>
      </c>
      <c r="PA19" s="117" t="str">
        <f t="shared" si="192"/>
        <v>S</v>
      </c>
      <c r="PB19" s="117" t="str">
        <f t="shared" si="192"/>
        <v>S</v>
      </c>
      <c r="PC19" s="117">
        <f t="shared" si="192"/>
        <v>1.0000006859324079E-6</v>
      </c>
      <c r="PD19" s="117">
        <f t="shared" si="192"/>
        <v>1.0000000313816476E-6</v>
      </c>
      <c r="PE19" s="117">
        <f>PE$11</f>
        <v>9.9999936016657661E-7</v>
      </c>
      <c r="PF19" s="117">
        <f>PF$11</f>
        <v>9.9999997677932015E-7</v>
      </c>
      <c r="PG19" s="117" t="str">
        <f t="shared" si="192"/>
        <v>S</v>
      </c>
      <c r="PH19" s="117" t="str">
        <f t="shared" si="192"/>
        <v>S</v>
      </c>
      <c r="PI19" s="117" t="str">
        <f t="shared" si="192"/>
        <v>S</v>
      </c>
      <c r="PJ19" s="117" t="str">
        <f t="shared" si="192"/>
        <v>S</v>
      </c>
      <c r="PK19" s="117" t="str">
        <f t="shared" si="192"/>
        <v>Teflon, 2.5 x 2.5</v>
      </c>
      <c r="PL19" s="117" t="str">
        <f t="shared" si="192"/>
        <v>Teflon, 2.5 x 2.5</v>
      </c>
      <c r="PM19" s="117">
        <f t="shared" si="192"/>
        <v>0</v>
      </c>
      <c r="PN19" s="117" t="str">
        <f t="shared" si="192"/>
        <v>Teflon, 2.5 x 2.5</v>
      </c>
      <c r="PO19" s="117" t="str">
        <f t="shared" si="192"/>
        <v>Teflon, 2.5 x 2.5</v>
      </c>
      <c r="PP19" s="117">
        <f t="shared" si="192"/>
        <v>0</v>
      </c>
      <c r="PQ19" s="117">
        <f t="shared" si="192"/>
        <v>0.125</v>
      </c>
      <c r="PR19" s="117">
        <f t="shared" si="192"/>
        <v>0.125</v>
      </c>
      <c r="PS19" s="117">
        <f t="shared" si="192"/>
        <v>0.125</v>
      </c>
      <c r="PT19" s="117">
        <f t="shared" si="192"/>
        <v>0.125</v>
      </c>
      <c r="PU19" s="117" t="str">
        <f t="shared" si="192"/>
        <v>S</v>
      </c>
      <c r="PV19" s="117" t="str">
        <f t="shared" si="192"/>
        <v>S</v>
      </c>
      <c r="PW19" s="117" t="str">
        <f t="shared" si="192"/>
        <v>S</v>
      </c>
      <c r="PX19" s="117" t="str">
        <f t="shared" si="192"/>
        <v>S</v>
      </c>
      <c r="PY19" s="117" t="str">
        <f t="shared" si="192"/>
        <v>S</v>
      </c>
      <c r="PZ19" s="117" t="str">
        <f t="shared" si="192"/>
        <v>S</v>
      </c>
      <c r="QA19" s="117" t="str">
        <f t="shared" si="192"/>
        <v>S</v>
      </c>
      <c r="QB19" s="117" t="str">
        <f t="shared" si="192"/>
        <v>S</v>
      </c>
      <c r="QC19" s="117" t="str">
        <f t="shared" si="192"/>
        <v>S</v>
      </c>
      <c r="QD19" s="117" t="str">
        <f t="shared" si="192"/>
        <v>S</v>
      </c>
      <c r="QE19" s="117" t="str">
        <f t="shared" si="192"/>
        <v>S</v>
      </c>
      <c r="QF19" s="117">
        <f t="shared" ca="1" si="192"/>
        <v>3</v>
      </c>
      <c r="QG19" s="117">
        <f t="shared" ca="1" si="192"/>
        <v>1.5</v>
      </c>
      <c r="QH19" s="117">
        <f t="shared" ca="1" si="192"/>
        <v>1</v>
      </c>
      <c r="QI19" s="117">
        <f t="shared" ref="QI19:TJ19" ca="1" si="193">QI$11</f>
        <v>3</v>
      </c>
      <c r="QJ19" s="117" t="str">
        <f t="shared" ca="1" si="193"/>
        <v>S</v>
      </c>
      <c r="QK19" s="117" t="str">
        <f t="shared" si="193"/>
        <v>S</v>
      </c>
      <c r="QL19" s="117" t="str">
        <f t="shared" si="193"/>
        <v>S</v>
      </c>
      <c r="QM19" s="117" t="str">
        <f t="shared" si="193"/>
        <v>S</v>
      </c>
      <c r="QN19" s="117" t="str">
        <f t="shared" si="193"/>
        <v>S</v>
      </c>
      <c r="QO19" s="117" t="str">
        <f t="shared" si="193"/>
        <v>S</v>
      </c>
      <c r="QP19" s="117" t="str">
        <f t="shared" si="193"/>
        <v>S</v>
      </c>
      <c r="QQ19" s="117" t="str">
        <f t="shared" si="193"/>
        <v>S</v>
      </c>
      <c r="QR19" s="117" t="str">
        <f t="shared" si="193"/>
        <v>S</v>
      </c>
      <c r="QS19" s="117" t="str">
        <f t="shared" si="193"/>
        <v>S</v>
      </c>
      <c r="QT19" s="117" t="str">
        <f t="shared" si="193"/>
        <v>S</v>
      </c>
      <c r="QU19" s="117" t="str">
        <f t="shared" si="193"/>
        <v>S</v>
      </c>
      <c r="QV19" s="117" t="str">
        <f t="shared" si="193"/>
        <v>S</v>
      </c>
      <c r="QW19" s="117" t="str">
        <f t="shared" si="193"/>
        <v>S</v>
      </c>
      <c r="QX19" s="117" t="str">
        <f t="shared" si="193"/>
        <v>S</v>
      </c>
      <c r="QY19" s="117" t="str">
        <f t="shared" si="193"/>
        <v>S</v>
      </c>
      <c r="QZ19" s="117" t="str">
        <f t="shared" si="193"/>
        <v>S</v>
      </c>
      <c r="RA19" s="117" t="str">
        <f t="shared" si="193"/>
        <v>S</v>
      </c>
      <c r="RB19" s="117" t="str">
        <f t="shared" si="193"/>
        <v>S</v>
      </c>
      <c r="RC19" s="117" t="str">
        <f t="shared" si="193"/>
        <v>S</v>
      </c>
      <c r="RD19" s="117">
        <f t="shared" si="193"/>
        <v>2</v>
      </c>
      <c r="RE19" s="117">
        <f t="shared" si="193"/>
        <v>3.0000000000000004</v>
      </c>
      <c r="RF19" s="117">
        <f t="shared" si="193"/>
        <v>0.18750000000000003</v>
      </c>
      <c r="RG19" s="117">
        <f t="shared" si="193"/>
        <v>0.3125</v>
      </c>
      <c r="RH19" s="117">
        <f t="shared" si="193"/>
        <v>0.18750000000000003</v>
      </c>
      <c r="RI19" s="117">
        <f t="shared" si="193"/>
        <v>2.0000000000000001E-4</v>
      </c>
      <c r="RJ19" s="117" t="str">
        <f t="shared" si="193"/>
        <v>S</v>
      </c>
      <c r="RK19" s="117" t="str">
        <f t="shared" si="193"/>
        <v>S</v>
      </c>
      <c r="RL19" s="117" t="str">
        <f t="shared" si="193"/>
        <v>S</v>
      </c>
      <c r="RM19" s="117" t="str">
        <f t="shared" si="193"/>
        <v>S</v>
      </c>
      <c r="RN19" s="117" t="str">
        <f t="shared" si="193"/>
        <v>S</v>
      </c>
      <c r="RO19" s="117" t="str">
        <f t="shared" si="193"/>
        <v>S</v>
      </c>
      <c r="RP19" s="117" t="str">
        <f t="shared" si="193"/>
        <v>S</v>
      </c>
      <c r="RQ19" s="117" t="str">
        <f t="shared" si="193"/>
        <v>S</v>
      </c>
      <c r="RR19" s="117" t="str">
        <f t="shared" si="193"/>
        <v>S</v>
      </c>
      <c r="RS19" s="117" t="str">
        <f t="shared" si="193"/>
        <v>S</v>
      </c>
      <c r="RT19" s="117" t="str">
        <f t="shared" si="193"/>
        <v>S</v>
      </c>
      <c r="RU19" s="117" t="str">
        <f t="shared" si="193"/>
        <v>S</v>
      </c>
      <c r="RV19" s="117" t="str">
        <f t="shared" si="193"/>
        <v>S</v>
      </c>
      <c r="RW19" s="117" t="str">
        <f t="shared" si="193"/>
        <v>S</v>
      </c>
      <c r="RX19" s="117" t="str">
        <f t="shared" si="193"/>
        <v>S</v>
      </c>
      <c r="RY19" s="117" t="str">
        <f t="shared" si="193"/>
        <v>S</v>
      </c>
      <c r="RZ19" s="117" t="str">
        <f t="shared" si="193"/>
        <v>S</v>
      </c>
      <c r="SA19" s="117">
        <f t="shared" si="193"/>
        <v>3.0000000000000004</v>
      </c>
      <c r="SB19" s="117">
        <f t="shared" si="193"/>
        <v>0.16999999999999998</v>
      </c>
      <c r="SC19" s="117">
        <f t="shared" si="193"/>
        <v>1.41</v>
      </c>
      <c r="SD19" s="117">
        <f t="shared" si="193"/>
        <v>0.27300000000000002</v>
      </c>
      <c r="SE19" s="117">
        <f t="shared" si="193"/>
        <v>0.27</v>
      </c>
      <c r="SF19" s="117">
        <f t="shared" si="193"/>
        <v>0.1</v>
      </c>
      <c r="SG19" s="117">
        <f t="shared" si="193"/>
        <v>9.4629999999999992</v>
      </c>
      <c r="SH19" s="117">
        <f t="shared" si="193"/>
        <v>8.4947435596928661E-2</v>
      </c>
      <c r="SI19" s="117">
        <f t="shared" si="193"/>
        <v>4.0999999999999996</v>
      </c>
      <c r="SJ19" s="117" t="str">
        <f t="shared" si="193"/>
        <v>S</v>
      </c>
      <c r="SK19" s="117" t="str">
        <f t="shared" si="193"/>
        <v>S</v>
      </c>
      <c r="SL19" s="117" t="str">
        <f t="shared" si="193"/>
        <v>S</v>
      </c>
      <c r="SM19" s="117" t="str">
        <f t="shared" si="193"/>
        <v>S</v>
      </c>
      <c r="SN19" s="117" t="str">
        <f t="shared" si="193"/>
        <v>S</v>
      </c>
      <c r="SO19" s="117" t="str">
        <f t="shared" si="193"/>
        <v>S</v>
      </c>
      <c r="SP19" s="117" t="str">
        <f t="shared" si="193"/>
        <v>S</v>
      </c>
      <c r="SQ19" s="117" t="str">
        <f t="shared" si="193"/>
        <v>S</v>
      </c>
      <c r="SR19" s="117" t="str">
        <f>SR$11</f>
        <v>S</v>
      </c>
      <c r="SS19" s="117">
        <f t="shared" ref="SS19:SV19" si="194">SS$11</f>
        <v>1.5000000000000002</v>
      </c>
      <c r="ST19" s="117">
        <f t="shared" si="194"/>
        <v>1.5000000000000002</v>
      </c>
      <c r="SU19" s="117">
        <f t="shared" si="194"/>
        <v>0.5</v>
      </c>
      <c r="SV19" s="117">
        <f t="shared" si="194"/>
        <v>0.5</v>
      </c>
      <c r="SW19" s="117" t="str">
        <f t="shared" si="193"/>
        <v>S</v>
      </c>
      <c r="SX19" s="117" t="str">
        <f t="shared" si="193"/>
        <v>S</v>
      </c>
      <c r="SY19" s="117" t="str">
        <f t="shared" si="193"/>
        <v>S</v>
      </c>
      <c r="SZ19" s="117" t="str">
        <f t="shared" si="193"/>
        <v>S</v>
      </c>
      <c r="TA19" s="117" t="str">
        <f t="shared" si="193"/>
        <v>S</v>
      </c>
      <c r="TB19" s="117" t="str">
        <f t="shared" si="193"/>
        <v>S</v>
      </c>
      <c r="TC19" s="117" t="str">
        <f t="shared" si="193"/>
        <v>S</v>
      </c>
      <c r="TD19" s="117" t="str">
        <f t="shared" si="193"/>
        <v>S</v>
      </c>
      <c r="TE19" s="117" t="str">
        <f t="shared" si="193"/>
        <v>S</v>
      </c>
      <c r="TF19" s="117">
        <f t="shared" si="193"/>
        <v>3</v>
      </c>
      <c r="TG19" s="117">
        <f t="shared" si="193"/>
        <v>5.7</v>
      </c>
      <c r="TH19" s="117">
        <f t="shared" si="193"/>
        <v>3.0000000000000004</v>
      </c>
      <c r="TI19" s="117">
        <f t="shared" si="193"/>
        <v>0.16999999999999998</v>
      </c>
      <c r="TJ19" s="117">
        <f t="shared" si="193"/>
        <v>2.33</v>
      </c>
      <c r="TK19" s="117">
        <f t="shared" ref="TK19:VT19" si="195">TK$11</f>
        <v>0.26</v>
      </c>
      <c r="TL19" s="117">
        <f t="shared" si="195"/>
        <v>0.27</v>
      </c>
      <c r="TM19" s="117">
        <f t="shared" si="195"/>
        <v>0.1</v>
      </c>
      <c r="TN19" s="117">
        <f t="shared" si="195"/>
        <v>9.4630000000000312</v>
      </c>
      <c r="TO19" s="117">
        <f t="shared" si="195"/>
        <v>1.8425437273624747</v>
      </c>
      <c r="TP19" s="117" t="str">
        <f t="shared" si="195"/>
        <v>S</v>
      </c>
      <c r="TQ19" s="117" t="str">
        <f t="shared" si="195"/>
        <v>S</v>
      </c>
      <c r="TR19" s="117" t="str">
        <f t="shared" si="195"/>
        <v>S</v>
      </c>
      <c r="TS19" s="117" t="str">
        <f t="shared" si="195"/>
        <v>S</v>
      </c>
      <c r="TT19" s="117" t="str">
        <f t="shared" si="195"/>
        <v>S</v>
      </c>
      <c r="TU19" s="117" t="str">
        <f t="shared" si="195"/>
        <v>S</v>
      </c>
      <c r="TV19" s="117" t="str">
        <f t="shared" si="195"/>
        <v>S</v>
      </c>
      <c r="TW19" s="117" t="str">
        <f t="shared" si="195"/>
        <v>S</v>
      </c>
      <c r="TX19" s="117" t="str">
        <f t="shared" si="195"/>
        <v>S</v>
      </c>
      <c r="TY19" s="117">
        <f t="shared" si="195"/>
        <v>4</v>
      </c>
      <c r="TZ19" s="117">
        <f t="shared" si="195"/>
        <v>13</v>
      </c>
      <c r="UA19" s="117">
        <f t="shared" si="195"/>
        <v>4.16</v>
      </c>
      <c r="UB19" s="117">
        <f t="shared" si="195"/>
        <v>0.28000000000000003</v>
      </c>
      <c r="UC19" s="117">
        <f t="shared" si="195"/>
        <v>4.0599999999999996</v>
      </c>
      <c r="UD19" s="117">
        <f t="shared" si="195"/>
        <v>0.34499999999999992</v>
      </c>
      <c r="UE19" s="117">
        <f t="shared" si="195"/>
        <v>0.25</v>
      </c>
      <c r="UF19" s="117" t="str">
        <f t="shared" si="195"/>
        <v>S</v>
      </c>
      <c r="UG19" s="117" t="str">
        <f t="shared" si="195"/>
        <v>S</v>
      </c>
      <c r="UH19" s="117" t="str">
        <f t="shared" si="195"/>
        <v>S</v>
      </c>
      <c r="UI19" s="117" t="str">
        <f t="shared" si="195"/>
        <v>S</v>
      </c>
      <c r="UJ19" s="117"/>
      <c r="UK19" s="117" t="str">
        <f t="shared" si="195"/>
        <v>S</v>
      </c>
      <c r="UL19" s="117" t="str">
        <f t="shared" si="195"/>
        <v>S</v>
      </c>
      <c r="UM19" s="117" t="str">
        <f t="shared" si="195"/>
        <v>S</v>
      </c>
      <c r="UN19" s="117" t="str">
        <f t="shared" si="195"/>
        <v>S</v>
      </c>
      <c r="UO19" s="117" t="str">
        <f t="shared" si="195"/>
        <v>S</v>
      </c>
      <c r="UP19" s="117" t="str">
        <f t="shared" si="195"/>
        <v>S</v>
      </c>
      <c r="UQ19" s="117" t="str">
        <f t="shared" si="195"/>
        <v>S</v>
      </c>
      <c r="UR19" s="117">
        <f t="shared" si="195"/>
        <v>1</v>
      </c>
      <c r="US19" s="117">
        <f t="shared" si="195"/>
        <v>2</v>
      </c>
      <c r="UT19" s="117">
        <f t="shared" si="195"/>
        <v>500</v>
      </c>
      <c r="UU19" s="117" t="str">
        <f t="shared" si="195"/>
        <v>S</v>
      </c>
      <c r="UV19" s="117" t="str">
        <f t="shared" si="195"/>
        <v>S</v>
      </c>
      <c r="UW19" s="117" t="str">
        <f t="shared" si="195"/>
        <v>S</v>
      </c>
      <c r="UX19" s="117" t="str">
        <f t="shared" si="195"/>
        <v>S</v>
      </c>
      <c r="UY19" s="117" t="str">
        <f t="shared" si="195"/>
        <v>S</v>
      </c>
      <c r="UZ19" s="117" t="str">
        <f t="shared" si="195"/>
        <v>S</v>
      </c>
      <c r="VA19" s="117" t="str">
        <f t="shared" si="195"/>
        <v>S</v>
      </c>
      <c r="VB19" s="117" t="str">
        <f t="shared" si="195"/>
        <v>S</v>
      </c>
      <c r="VC19" s="117" t="str">
        <f t="shared" si="195"/>
        <v>S</v>
      </c>
      <c r="VD19" s="117" t="str">
        <f t="shared" si="195"/>
        <v>S</v>
      </c>
      <c r="VE19" s="117" t="str">
        <f t="shared" si="195"/>
        <v>U</v>
      </c>
      <c r="VF19" s="117" t="str">
        <f t="shared" si="195"/>
        <v>S</v>
      </c>
      <c r="VG19" s="117" t="str">
        <f t="shared" si="195"/>
        <v>S</v>
      </c>
      <c r="VH19" s="117" t="str">
        <f t="shared" si="195"/>
        <v>S</v>
      </c>
      <c r="VI19" s="117" t="str">
        <f>VI$11</f>
        <v>3</v>
      </c>
      <c r="VJ19" s="117" t="str">
        <f t="shared" si="195"/>
        <v>.3</v>
      </c>
      <c r="VK19" s="117">
        <f t="shared" si="195"/>
        <v>3</v>
      </c>
      <c r="VL19" s="117" t="str">
        <f t="shared" si="195"/>
        <v>3-SEC</v>
      </c>
      <c r="VM19" s="117" t="str">
        <f t="shared" si="195"/>
        <v>3-HS-B</v>
      </c>
      <c r="VN19" s="117" t="str">
        <f t="shared" si="195"/>
        <v>HEADER SUPPORT, SIDE B</v>
      </c>
      <c r="VO19" s="117" t="str">
        <f t="shared" si="195"/>
        <v>000000</v>
      </c>
      <c r="VP19" s="410">
        <f t="shared" si="195"/>
        <v>5</v>
      </c>
      <c r="VQ19" s="410">
        <f t="shared" si="195"/>
        <v>5</v>
      </c>
      <c r="VR19" s="410">
        <f t="shared" si="195"/>
        <v>0.125</v>
      </c>
      <c r="VS19" s="410">
        <f t="shared" si="195"/>
        <v>1.125</v>
      </c>
      <c r="VT19" s="410">
        <f t="shared" si="195"/>
        <v>3.5</v>
      </c>
      <c r="VX19" s="117" t="str">
        <f>VX$11</f>
        <v>3-SEC</v>
      </c>
    </row>
    <row r="20" spans="1:596" ht="14.4" hidden="1" outlineLevel="1" x14ac:dyDescent="0.3">
      <c r="A20" s="123" t="str">
        <f>IF(A12="$User_Notes","$User_Notes",CONCATENATE(A12,"SM-FLAT-PATTERN"))</f>
        <v>$User_Notes</v>
      </c>
      <c r="B20" s="117" t="str">
        <f>B$12</f>
        <v>AXC</v>
      </c>
      <c r="C20" s="117">
        <f t="shared" ref="C20:BT20" si="196">C$12</f>
        <v>65</v>
      </c>
      <c r="D20" s="117">
        <f t="shared" si="196"/>
        <v>780</v>
      </c>
      <c r="E20" s="117">
        <f t="shared" si="196"/>
        <v>0.125</v>
      </c>
      <c r="F20" s="117">
        <f t="shared" si="196"/>
        <v>6.25E-2</v>
      </c>
      <c r="G20" s="117">
        <f t="shared" si="196"/>
        <v>777.625</v>
      </c>
      <c r="H20" s="117" t="str">
        <f t="shared" si="196"/>
        <v>MC12x10.6</v>
      </c>
      <c r="I20" s="117" t="str">
        <f t="shared" si="196"/>
        <v>AXC materials:SA-36</v>
      </c>
      <c r="J20" s="117" t="str">
        <f t="shared" si="196"/>
        <v>Galvanized</v>
      </c>
      <c r="K20" s="117" t="str">
        <f t="shared" si="196"/>
        <v>Bolt on Angle</v>
      </c>
      <c r="L20" s="117" t="str">
        <f t="shared" si="196"/>
        <v>EH\VV\VI_</v>
      </c>
      <c r="M20" s="117">
        <f t="shared" ca="1" si="196"/>
        <v>16</v>
      </c>
      <c r="N20" s="117">
        <f t="shared" ca="1" si="196"/>
        <v>48</v>
      </c>
      <c r="O20" s="117">
        <f t="shared" ca="1" si="196"/>
        <v>30</v>
      </c>
      <c r="P20" s="117" t="str">
        <f t="shared" si="196"/>
        <v>Yes - Rear HDR</v>
      </c>
      <c r="Q20" s="117">
        <f t="shared" si="196"/>
        <v>3.9999333887056512</v>
      </c>
      <c r="R20" s="117" t="str">
        <f t="shared" si="196"/>
        <v>Angle</v>
      </c>
      <c r="S20" s="117" t="str">
        <f t="shared" si="196"/>
        <v>L2x3x0.1875</v>
      </c>
      <c r="T20" s="117" t="str">
        <f t="shared" si="196"/>
        <v>Weld On</v>
      </c>
      <c r="U20" s="117" t="str">
        <f>U$12</f>
        <v>Yes</v>
      </c>
      <c r="V20" s="117" t="str">
        <f t="shared" si="196"/>
        <v>Yes</v>
      </c>
      <c r="W20" s="117">
        <f t="shared" si="196"/>
        <v>15</v>
      </c>
      <c r="X20" s="117">
        <f t="shared" si="196"/>
        <v>0</v>
      </c>
      <c r="Y20" s="117">
        <f>Y$12</f>
        <v>0</v>
      </c>
      <c r="Z20" s="117" t="str">
        <f>Z$12</f>
        <v>STD</v>
      </c>
      <c r="AA20" s="117" t="str">
        <f t="shared" si="196"/>
        <v>No</v>
      </c>
      <c r="AB20" s="117" t="str">
        <f>AB$12</f>
        <v>OFF</v>
      </c>
      <c r="AC20" s="117" t="str">
        <f t="shared" si="196"/>
        <v>Yes</v>
      </c>
      <c r="AD20" s="117" t="str">
        <f>AD$12</f>
        <v>AXC Weld On</v>
      </c>
      <c r="AE20" s="117" t="str">
        <f>AE$12</f>
        <v>Outside</v>
      </c>
      <c r="AF20" s="117" t="str">
        <f t="shared" si="196"/>
        <v>0.5"</v>
      </c>
      <c r="AG20" s="117">
        <f t="shared" si="196"/>
        <v>278.125</v>
      </c>
      <c r="AH20" s="117">
        <f t="shared" si="196"/>
        <v>249.75</v>
      </c>
      <c r="AI20" s="117">
        <f t="shared" si="196"/>
        <v>0.5</v>
      </c>
      <c r="AJ20" s="117">
        <f t="shared" si="196"/>
        <v>4</v>
      </c>
      <c r="AK20" s="117">
        <f t="shared" si="196"/>
        <v>500</v>
      </c>
      <c r="AL20" s="117" t="str">
        <f t="shared" si="196"/>
        <v>None</v>
      </c>
      <c r="AM20" s="117" t="str">
        <f t="shared" si="196"/>
        <v>Pick from List</v>
      </c>
      <c r="AN20" s="117" t="str">
        <f t="shared" si="196"/>
        <v>None</v>
      </c>
      <c r="AO20" s="117" t="str">
        <f t="shared" si="196"/>
        <v>None</v>
      </c>
      <c r="AP20" s="117" t="str">
        <f t="shared" si="196"/>
        <v>None</v>
      </c>
      <c r="AQ20" s="117" t="str">
        <f t="shared" si="196"/>
        <v>L4x6x0.625</v>
      </c>
      <c r="AR20" s="117" t="str">
        <f t="shared" si="196"/>
        <v>Bolt on</v>
      </c>
      <c r="AS20" s="117" t="str">
        <f t="shared" si="196"/>
        <v>Yes</v>
      </c>
      <c r="AT20" s="117" t="str">
        <f t="shared" ca="1" si="196"/>
        <v>Bolt On</v>
      </c>
      <c r="AU20" s="117">
        <f t="shared" ca="1" si="196"/>
        <v>16</v>
      </c>
      <c r="AV20" s="117">
        <f t="shared" si="196"/>
        <v>0</v>
      </c>
      <c r="AW20" s="117">
        <f t="shared" si="196"/>
        <v>0</v>
      </c>
      <c r="AX20" s="117">
        <f t="shared" si="196"/>
        <v>6.25E-2</v>
      </c>
      <c r="AY20" s="117">
        <f t="shared" si="196"/>
        <v>21.915385672961552</v>
      </c>
      <c r="AZ20" s="117">
        <f t="shared" si="196"/>
        <v>1.5625</v>
      </c>
      <c r="BA20" s="117">
        <f t="shared" si="196"/>
        <v>2</v>
      </c>
      <c r="BB20" s="117">
        <f t="shared" si="196"/>
        <v>21.915385672961648</v>
      </c>
      <c r="BC20" s="117">
        <f t="shared" si="196"/>
        <v>1.5625</v>
      </c>
      <c r="BD20" s="117">
        <f t="shared" si="196"/>
        <v>2</v>
      </c>
      <c r="BE20" s="117">
        <f t="shared" si="196"/>
        <v>0.6250000000043382</v>
      </c>
      <c r="BF20" s="117">
        <f t="shared" si="196"/>
        <v>1.0937500000075919</v>
      </c>
      <c r="BG20" s="117">
        <f t="shared" si="196"/>
        <v>2</v>
      </c>
      <c r="BH20" s="117">
        <f t="shared" si="196"/>
        <v>0.62500000000430156</v>
      </c>
      <c r="BI20" s="117">
        <f t="shared" si="196"/>
        <v>1.0937500000075278</v>
      </c>
      <c r="BJ20" s="117">
        <f t="shared" si="196"/>
        <v>2</v>
      </c>
      <c r="BK20" s="117">
        <f t="shared" si="196"/>
        <v>1.9999999999999956</v>
      </c>
      <c r="BL20" s="117" t="str">
        <f t="shared" si="196"/>
        <v>Weld Bar</v>
      </c>
      <c r="BM20" s="117">
        <f t="shared" si="196"/>
        <v>0.99999999999999589</v>
      </c>
      <c r="BN20" s="117" t="str">
        <f t="shared" si="196"/>
        <v>Float Bar</v>
      </c>
      <c r="BO20" s="117">
        <f t="shared" si="196"/>
        <v>5</v>
      </c>
      <c r="BP20" s="117" t="str">
        <f t="shared" si="196"/>
        <v>MC12x10.6</v>
      </c>
      <c r="BQ20" s="117" t="str">
        <f t="shared" si="196"/>
        <v>U</v>
      </c>
      <c r="BR20" s="117" t="str">
        <f t="shared" si="196"/>
        <v>S</v>
      </c>
      <c r="BS20" s="117">
        <f t="shared" si="196"/>
        <v>31.374999284744241</v>
      </c>
      <c r="BT20" s="117">
        <f t="shared" si="196"/>
        <v>29.000000000000004</v>
      </c>
      <c r="BU20" s="117">
        <f t="shared" ref="BU20:EK20" si="197">BU$12</f>
        <v>3.9999999999999969</v>
      </c>
      <c r="BV20" s="117">
        <f t="shared" si="197"/>
        <v>0.25000000000000089</v>
      </c>
      <c r="BW20" s="117">
        <f t="shared" si="197"/>
        <v>9.9999999999269527E-6</v>
      </c>
      <c r="BX20" s="117">
        <f t="shared" si="197"/>
        <v>1</v>
      </c>
      <c r="BY20" s="117">
        <f t="shared" si="197"/>
        <v>1</v>
      </c>
      <c r="BZ20" s="117">
        <f t="shared" si="197"/>
        <v>6.2721143170279987</v>
      </c>
      <c r="CA20" s="117">
        <f t="shared" si="197"/>
        <v>360</v>
      </c>
      <c r="CB20" s="117">
        <f t="shared" si="197"/>
        <v>1.0000000000001172</v>
      </c>
      <c r="CC20" s="117">
        <f t="shared" si="197"/>
        <v>0.99999999999983746</v>
      </c>
      <c r="CD20" s="117">
        <f t="shared" si="197"/>
        <v>0</v>
      </c>
      <c r="CE20" s="117">
        <f t="shared" si="197"/>
        <v>1.5000000000000009</v>
      </c>
      <c r="CF20" s="117">
        <f t="shared" si="197"/>
        <v>1.2990381056766582</v>
      </c>
      <c r="CG20" s="117">
        <f t="shared" si="197"/>
        <v>9.9999999969219204E-6</v>
      </c>
      <c r="CH20" s="117" t="str">
        <f t="shared" si="197"/>
        <v>No</v>
      </c>
      <c r="CI20" s="117" t="str">
        <f t="shared" si="197"/>
        <v>U</v>
      </c>
      <c r="CJ20" s="117">
        <f t="shared" si="197"/>
        <v>10.6</v>
      </c>
      <c r="CK20" s="117">
        <f t="shared" si="197"/>
        <v>12.000000000000002</v>
      </c>
      <c r="CL20" s="117">
        <f t="shared" si="197"/>
        <v>0.18999999999999997</v>
      </c>
      <c r="CM20" s="117">
        <f t="shared" si="197"/>
        <v>1.5000000000000002</v>
      </c>
      <c r="CN20" s="117">
        <f t="shared" si="197"/>
        <v>0.30899999999999994</v>
      </c>
      <c r="CO20" s="117">
        <f t="shared" si="197"/>
        <v>0.25</v>
      </c>
      <c r="CP20" s="117">
        <f t="shared" si="197"/>
        <v>0.13</v>
      </c>
      <c r="CQ20" s="117">
        <f t="shared" si="197"/>
        <v>9.4629999999999992</v>
      </c>
      <c r="CR20" s="117">
        <f t="shared" si="197"/>
        <v>8.9700168853607709E-2</v>
      </c>
      <c r="CS20" s="117">
        <f t="shared" si="197"/>
        <v>10.740092274765473</v>
      </c>
      <c r="CT20" s="117">
        <f t="shared" si="197"/>
        <v>0.62995386261726427</v>
      </c>
      <c r="CU20" s="117" t="str">
        <f t="shared" si="197"/>
        <v>S</v>
      </c>
      <c r="CV20" s="117">
        <f t="shared" si="197"/>
        <v>12.000000000000002</v>
      </c>
      <c r="CW20" s="117">
        <f t="shared" si="197"/>
        <v>0.28199999999999997</v>
      </c>
      <c r="CX20" s="117">
        <f t="shared" si="197"/>
        <v>2.9419999999999997</v>
      </c>
      <c r="CY20" s="117">
        <f t="shared" si="197"/>
        <v>0.501</v>
      </c>
      <c r="CZ20" s="117">
        <f t="shared" si="197"/>
        <v>0.37999999999999995</v>
      </c>
      <c r="DA20" s="117">
        <f t="shared" si="197"/>
        <v>0.16999999999999998</v>
      </c>
      <c r="DB20" s="117">
        <f t="shared" si="197"/>
        <v>9.4629999999999992</v>
      </c>
      <c r="DC20" s="117">
        <f t="shared" si="197"/>
        <v>0.13530728481002544</v>
      </c>
      <c r="DD20" s="117">
        <f t="shared" si="197"/>
        <v>20.7</v>
      </c>
      <c r="DE20" s="117" t="str">
        <f t="shared" si="197"/>
        <v>S</v>
      </c>
      <c r="DF20" s="117" t="str">
        <f t="shared" si="197"/>
        <v>S</v>
      </c>
      <c r="DG20" s="117" t="str">
        <f t="shared" si="197"/>
        <v>S</v>
      </c>
      <c r="DH20" s="117" t="str">
        <f t="shared" si="197"/>
        <v>S</v>
      </c>
      <c r="DI20" s="117" t="str">
        <f t="shared" si="197"/>
        <v>S</v>
      </c>
      <c r="DJ20" s="117" t="str">
        <f t="shared" si="197"/>
        <v>S</v>
      </c>
      <c r="DK20" s="117" t="str">
        <f t="shared" si="197"/>
        <v>S</v>
      </c>
      <c r="DL20" s="117" t="str">
        <f t="shared" si="197"/>
        <v>S</v>
      </c>
      <c r="DM20" s="117" t="str">
        <f t="shared" si="197"/>
        <v>U</v>
      </c>
      <c r="DN20" s="117" t="str">
        <f t="shared" si="197"/>
        <v>U</v>
      </c>
      <c r="DO20" s="117" t="str">
        <f t="shared" si="197"/>
        <v>U</v>
      </c>
      <c r="DP20" s="117" t="str">
        <f t="shared" si="197"/>
        <v>U</v>
      </c>
      <c r="DQ20" s="117" t="str">
        <f t="shared" si="197"/>
        <v>S</v>
      </c>
      <c r="DR20" s="117" t="str">
        <f t="shared" si="197"/>
        <v>S</v>
      </c>
      <c r="DS20" s="117" t="str">
        <f t="shared" si="197"/>
        <v>S</v>
      </c>
      <c r="DT20" s="117" t="str">
        <f t="shared" si="197"/>
        <v>S</v>
      </c>
      <c r="DU20" s="117" t="str">
        <f t="shared" si="197"/>
        <v>S</v>
      </c>
      <c r="DV20" s="117" t="str">
        <f t="shared" si="197"/>
        <v>S</v>
      </c>
      <c r="DW20" s="117" t="str">
        <f t="shared" si="197"/>
        <v>S</v>
      </c>
      <c r="DX20" s="117" t="str">
        <f t="shared" si="197"/>
        <v>S</v>
      </c>
      <c r="DY20" s="117">
        <f t="shared" si="197"/>
        <v>29</v>
      </c>
      <c r="DZ20" s="117">
        <f t="shared" si="197"/>
        <v>0.25</v>
      </c>
      <c r="EA20" s="117">
        <f t="shared" si="197"/>
        <v>0.25</v>
      </c>
      <c r="EB20" s="117">
        <f t="shared" si="197"/>
        <v>3.9999999999999969</v>
      </c>
      <c r="EC20" s="117">
        <f t="shared" si="197"/>
        <v>1E-4</v>
      </c>
      <c r="ED20" s="117">
        <f t="shared" si="197"/>
        <v>1E-4</v>
      </c>
      <c r="EE20" s="117">
        <f t="shared" si="197"/>
        <v>0.25000000000000089</v>
      </c>
      <c r="EF20" s="117">
        <f t="shared" si="197"/>
        <v>1.5599999999999999E-2</v>
      </c>
      <c r="EG20" s="117" t="str">
        <f t="shared" ca="1" si="197"/>
        <v>U</v>
      </c>
      <c r="EH20" s="117" t="str">
        <f t="shared" ca="1" si="197"/>
        <v>S</v>
      </c>
      <c r="EI20" s="117" t="str">
        <f t="shared" ca="1" si="197"/>
        <v>U</v>
      </c>
      <c r="EJ20" s="117" t="str">
        <f t="shared" si="197"/>
        <v>S</v>
      </c>
      <c r="EK20" s="117" t="str">
        <f t="shared" ca="1" si="197"/>
        <v>U</v>
      </c>
      <c r="EL20" s="117" t="str">
        <f t="shared" ref="EL20:HR20" ca="1" si="198">EL$12</f>
        <v>S</v>
      </c>
      <c r="EM20" s="117">
        <f t="shared" si="198"/>
        <v>0.75</v>
      </c>
      <c r="EN20" s="117">
        <f t="shared" si="198"/>
        <v>0.19000000000423975</v>
      </c>
      <c r="EO20" s="117">
        <f t="shared" si="198"/>
        <v>0.62500000000001221</v>
      </c>
      <c r="EP20" s="117">
        <f t="shared" si="198"/>
        <v>1.5000000000000016</v>
      </c>
      <c r="EQ20" s="117">
        <f t="shared" si="198"/>
        <v>1.437500284744256</v>
      </c>
      <c r="ER20" s="117">
        <f t="shared" si="198"/>
        <v>0.5</v>
      </c>
      <c r="ES20" s="117" t="str">
        <f t="shared" si="198"/>
        <v>U</v>
      </c>
      <c r="ET20" s="117" t="str">
        <f t="shared" si="198"/>
        <v>U</v>
      </c>
      <c r="EU20" s="117" t="str">
        <f t="shared" si="198"/>
        <v>U</v>
      </c>
      <c r="EV20" s="117" t="str">
        <f t="shared" si="198"/>
        <v>U</v>
      </c>
      <c r="EW20" s="117" t="str">
        <f t="shared" si="198"/>
        <v>U</v>
      </c>
      <c r="EX20" s="117" t="str">
        <f ca="1">EX$12</f>
        <v>U</v>
      </c>
      <c r="EY20" s="117" t="str">
        <f ca="1">EY$12</f>
        <v>U</v>
      </c>
      <c r="EZ20" s="117" t="str">
        <f ca="1">EZ$12</f>
        <v>U</v>
      </c>
      <c r="FA20" s="117" t="str">
        <f t="shared" ca="1" si="198"/>
        <v>U</v>
      </c>
      <c r="FB20" s="117" t="str">
        <f t="shared" ca="1" si="198"/>
        <v>U</v>
      </c>
      <c r="FC20" s="117" t="str">
        <f t="shared" ca="1" si="198"/>
        <v>U</v>
      </c>
      <c r="FD20" s="117" t="str">
        <f t="shared" ca="1" si="198"/>
        <v>U</v>
      </c>
      <c r="FE20" s="117" t="str">
        <f t="shared" ca="1" si="198"/>
        <v>U</v>
      </c>
      <c r="FF20" s="117" t="str">
        <f t="shared" ca="1" si="198"/>
        <v>U</v>
      </c>
      <c r="FG20" s="117">
        <f t="shared" ca="1" si="198"/>
        <v>48</v>
      </c>
      <c r="FH20" s="117" t="str">
        <f t="shared" si="198"/>
        <v>U</v>
      </c>
      <c r="FI20" s="117" t="str">
        <f t="shared" si="198"/>
        <v>S</v>
      </c>
      <c r="FJ20" s="117" t="str">
        <f t="shared" si="198"/>
        <v>S</v>
      </c>
      <c r="FK20" s="117" t="str">
        <f t="shared" si="198"/>
        <v>S</v>
      </c>
      <c r="FL20" s="307" t="str">
        <f t="shared" si="198"/>
        <v>S</v>
      </c>
      <c r="FM20" s="117" t="str">
        <f ca="1">FM$12</f>
        <v>U</v>
      </c>
      <c r="FN20" s="117" t="str">
        <f ca="1">FN$12</f>
        <v>U</v>
      </c>
      <c r="FO20" s="117">
        <f ca="1">FO$12</f>
        <v>48</v>
      </c>
      <c r="FP20" s="117">
        <f ca="1">FP$12</f>
        <v>16</v>
      </c>
      <c r="FQ20" s="308" t="str">
        <f t="shared" si="198"/>
        <v>S</v>
      </c>
      <c r="FR20" s="117" t="str">
        <f t="shared" si="198"/>
        <v>S</v>
      </c>
      <c r="FS20" s="117" t="str">
        <f>FS$12</f>
        <v>S</v>
      </c>
      <c r="FT20" s="117" t="str">
        <f>FT$12</f>
        <v>S</v>
      </c>
      <c r="FU20" s="117" t="str">
        <f>FU$12</f>
        <v>S</v>
      </c>
      <c r="FV20" s="117" t="str">
        <f t="shared" ref="FV20:FW20" si="199">FV$12</f>
        <v>S</v>
      </c>
      <c r="FW20" s="117" t="str">
        <f t="shared" si="199"/>
        <v>S</v>
      </c>
      <c r="FX20" s="117" t="str">
        <f>FX$12</f>
        <v>U</v>
      </c>
      <c r="FY20" s="117" t="str">
        <f>FY$12</f>
        <v>U</v>
      </c>
      <c r="FZ20" s="117">
        <f t="shared" si="198"/>
        <v>27</v>
      </c>
      <c r="GA20" s="117">
        <f t="shared" si="198"/>
        <v>19</v>
      </c>
      <c r="GB20" s="117">
        <f t="shared" si="198"/>
        <v>10</v>
      </c>
      <c r="GC20" s="117">
        <f t="shared" si="198"/>
        <v>15.000000000000009</v>
      </c>
      <c r="GD20" s="117">
        <f t="shared" si="198"/>
        <v>1</v>
      </c>
      <c r="GE20" s="117">
        <f t="shared" si="198"/>
        <v>12.000000000000007</v>
      </c>
      <c r="GF20" s="117">
        <f t="shared" si="198"/>
        <v>1</v>
      </c>
      <c r="GG20" s="117">
        <f t="shared" si="198"/>
        <v>1</v>
      </c>
      <c r="GH20" s="117">
        <f t="shared" si="198"/>
        <v>12.000010000000007</v>
      </c>
      <c r="GI20" s="117" t="str">
        <f t="shared" ca="1" si="198"/>
        <v>U</v>
      </c>
      <c r="GJ20" s="117" t="str">
        <f t="shared" ca="1" si="198"/>
        <v>S</v>
      </c>
      <c r="GK20" s="117" t="str">
        <f t="shared" ca="1" si="198"/>
        <v>U</v>
      </c>
      <c r="GL20" s="117" t="str">
        <f t="shared" ca="1" si="198"/>
        <v>U</v>
      </c>
      <c r="GM20" s="117" t="str">
        <f t="shared" ca="1" si="198"/>
        <v>U</v>
      </c>
      <c r="GN20" s="117" t="str">
        <f t="shared" ca="1" si="198"/>
        <v>U</v>
      </c>
      <c r="GO20" s="117" t="str">
        <f t="shared" ca="1" si="198"/>
        <v>U</v>
      </c>
      <c r="GP20" s="117">
        <f t="shared" si="198"/>
        <v>1.0000000005663834E-5</v>
      </c>
      <c r="GQ20" s="117">
        <f t="shared" si="198"/>
        <v>5.9999999999999991</v>
      </c>
      <c r="GR20" s="117">
        <f t="shared" si="198"/>
        <v>1</v>
      </c>
      <c r="GS20" s="117">
        <f t="shared" si="198"/>
        <v>10</v>
      </c>
      <c r="GT20" s="117">
        <f t="shared" si="198"/>
        <v>15.000000000000009</v>
      </c>
      <c r="GU20" s="117">
        <f t="shared" si="198"/>
        <v>0</v>
      </c>
      <c r="GV20" s="117">
        <f t="shared" si="198"/>
        <v>6.0000000000000036</v>
      </c>
      <c r="GW20" s="117">
        <f t="shared" si="198"/>
        <v>1</v>
      </c>
      <c r="GX20" s="117">
        <f t="shared" si="198"/>
        <v>1</v>
      </c>
      <c r="GY20" s="117" t="str">
        <f t="shared" ca="1" si="198"/>
        <v>S</v>
      </c>
      <c r="GZ20" s="117">
        <f t="shared" si="198"/>
        <v>1.500010000000001</v>
      </c>
      <c r="HA20" s="117" t="str">
        <f t="shared" ca="1" si="198"/>
        <v>S</v>
      </c>
      <c r="HB20" s="117" t="str">
        <f t="shared" ca="1" si="198"/>
        <v>S</v>
      </c>
      <c r="HC20" s="117" t="str">
        <f t="shared" ca="1" si="198"/>
        <v>S</v>
      </c>
      <c r="HD20" s="117" t="str">
        <f t="shared" ca="1" si="198"/>
        <v>S</v>
      </c>
      <c r="HE20" s="117" t="str">
        <f t="shared" ca="1" si="198"/>
        <v>S</v>
      </c>
      <c r="HF20" s="208" t="str">
        <f>HF$12</f>
        <v>Yes - Right Side</v>
      </c>
      <c r="HG20" s="117" t="str">
        <f t="shared" si="198"/>
        <v>S</v>
      </c>
      <c r="HH20" s="117" t="str">
        <f t="shared" si="198"/>
        <v>U</v>
      </c>
      <c r="HI20" s="117" t="str">
        <f>HI$12</f>
        <v>U</v>
      </c>
      <c r="HJ20" s="117" t="str">
        <f t="shared" si="198"/>
        <v>S</v>
      </c>
      <c r="HK20" s="117" t="str">
        <f t="shared" si="198"/>
        <v>S</v>
      </c>
      <c r="HL20" s="117">
        <f t="shared" ca="1" si="198"/>
        <v>48</v>
      </c>
      <c r="HM20" s="117">
        <f t="shared" si="198"/>
        <v>3.9999999999999998E-6</v>
      </c>
      <c r="HN20" s="117" t="str">
        <f t="shared" si="198"/>
        <v>S</v>
      </c>
      <c r="HO20" s="117">
        <f t="shared" ca="1" si="198"/>
        <v>18</v>
      </c>
      <c r="HP20" s="117">
        <f t="shared" ca="1" si="198"/>
        <v>48.000003999999997</v>
      </c>
      <c r="HQ20" s="117" t="str">
        <f t="shared" si="198"/>
        <v>S</v>
      </c>
      <c r="HR20" s="117" t="str">
        <f t="shared" si="198"/>
        <v>S</v>
      </c>
      <c r="HS20" s="117">
        <f t="shared" ref="HS20:KR20" ca="1" si="200">HS$12</f>
        <v>359.99999600000001</v>
      </c>
      <c r="HT20" s="117">
        <f t="shared" ca="1" si="200"/>
        <v>23.999968000000024</v>
      </c>
      <c r="HU20" s="117">
        <f t="shared" ca="1" si="200"/>
        <v>23.999968000000024</v>
      </c>
      <c r="HV20" s="117">
        <f t="shared" ca="1" si="200"/>
        <v>3.9999373887056513</v>
      </c>
      <c r="HW20" s="117">
        <f t="shared" ca="1" si="200"/>
        <v>24</v>
      </c>
      <c r="HX20" s="117">
        <f t="shared" si="200"/>
        <v>388.8125</v>
      </c>
      <c r="HY20" s="117">
        <f t="shared" ca="1" si="200"/>
        <v>360.00000399999999</v>
      </c>
      <c r="HZ20" s="117">
        <f ca="1">HZ$12</f>
        <v>3.9999373887056513</v>
      </c>
      <c r="IA20" s="117">
        <f ca="1">IA$12</f>
        <v>24.000035999999973</v>
      </c>
      <c r="IB20" s="117" t="str">
        <f t="shared" si="200"/>
        <v>S</v>
      </c>
      <c r="IC20" s="117" t="str">
        <f t="shared" si="200"/>
        <v>S</v>
      </c>
      <c r="ID20" s="117">
        <f t="shared" ca="1" si="200"/>
        <v>27.999905388705674</v>
      </c>
      <c r="IE20" s="117" t="str">
        <f t="shared" si="200"/>
        <v>S</v>
      </c>
      <c r="IF20" s="117" t="str">
        <f t="shared" si="200"/>
        <v>S</v>
      </c>
      <c r="IG20" s="117" t="str">
        <f t="shared" si="200"/>
        <v>S</v>
      </c>
      <c r="IH20" s="117" t="str">
        <f t="shared" si="200"/>
        <v>S</v>
      </c>
      <c r="II20" s="117" t="str">
        <f t="shared" si="200"/>
        <v>S</v>
      </c>
      <c r="IJ20" s="117">
        <f t="shared" ca="1" si="200"/>
        <v>23.999968000000024</v>
      </c>
      <c r="IK20" s="117">
        <f t="shared" ca="1" si="200"/>
        <v>3.9999373887056513</v>
      </c>
      <c r="IL20" s="117" t="str">
        <f t="shared" si="200"/>
        <v>S</v>
      </c>
      <c r="IM20" s="117" t="str">
        <f t="shared" si="200"/>
        <v>S</v>
      </c>
      <c r="IN20" s="117" t="str">
        <f t="shared" si="200"/>
        <v>S</v>
      </c>
      <c r="IO20" s="117" t="str">
        <f t="shared" si="200"/>
        <v>S</v>
      </c>
      <c r="IP20" s="117" t="str">
        <f t="shared" si="200"/>
        <v>S</v>
      </c>
      <c r="IQ20" s="117" t="str">
        <f t="shared" si="200"/>
        <v>S</v>
      </c>
      <c r="IR20" s="117" t="str">
        <f t="shared" si="200"/>
        <v>S</v>
      </c>
      <c r="IS20" s="117" t="str">
        <f t="shared" si="200"/>
        <v>S</v>
      </c>
      <c r="IT20" s="117" t="str">
        <f t="shared" si="200"/>
        <v>S</v>
      </c>
      <c r="IU20" s="117" t="str">
        <f t="shared" si="200"/>
        <v>S</v>
      </c>
      <c r="IV20" s="117" t="str">
        <f t="shared" si="200"/>
        <v>S</v>
      </c>
      <c r="IW20" s="117" t="str">
        <f t="shared" si="200"/>
        <v>S</v>
      </c>
      <c r="IX20" s="117" t="str">
        <f t="shared" si="200"/>
        <v>S</v>
      </c>
      <c r="IY20" s="117">
        <f t="shared" ca="1" si="200"/>
        <v>1</v>
      </c>
      <c r="IZ20" s="117">
        <f t="shared" ca="1" si="200"/>
        <v>3</v>
      </c>
      <c r="JA20" s="117">
        <f t="shared" ca="1" si="200"/>
        <v>9.9999999999999995E-7</v>
      </c>
      <c r="JB20" s="117">
        <f t="shared" ca="1" si="200"/>
        <v>1.0000000000000001E-5</v>
      </c>
      <c r="JC20" s="117">
        <f t="shared" ca="1" si="200"/>
        <v>1.0000000000000001E-5</v>
      </c>
      <c r="JD20" s="117" t="str">
        <f t="shared" ca="1" si="200"/>
        <v>S</v>
      </c>
      <c r="JE20" s="117" t="str">
        <f t="shared" ca="1" si="200"/>
        <v>S</v>
      </c>
      <c r="JF20" s="117" t="str">
        <f t="shared" ca="1" si="200"/>
        <v>S</v>
      </c>
      <c r="JG20" s="117" t="str">
        <f t="shared" ca="1" si="200"/>
        <v>S</v>
      </c>
      <c r="JH20" s="117" t="str">
        <f t="shared" ca="1" si="200"/>
        <v>S</v>
      </c>
      <c r="JI20" s="117">
        <f t="shared" si="200"/>
        <v>0.1046</v>
      </c>
      <c r="JJ20" s="199">
        <f>JJ$12</f>
        <v>0.39290028474001548</v>
      </c>
      <c r="JK20" s="117">
        <f t="shared" si="200"/>
        <v>0.51790028474001548</v>
      </c>
      <c r="JL20" s="117">
        <f t="shared" si="200"/>
        <v>0.5</v>
      </c>
      <c r="JM20" s="117">
        <f t="shared" si="200"/>
        <v>0.375</v>
      </c>
      <c r="JN20" s="117">
        <f t="shared" si="200"/>
        <v>0.375</v>
      </c>
      <c r="JO20" s="117">
        <f t="shared" si="200"/>
        <v>11.25</v>
      </c>
      <c r="JP20" s="117" t="str">
        <f>JP$12</f>
        <v>S</v>
      </c>
      <c r="JQ20" s="117" t="str">
        <f>JQ$12</f>
        <v>S</v>
      </c>
      <c r="JR20" s="117" t="str">
        <f>JR$12</f>
        <v>S</v>
      </c>
      <c r="JS20" s="117" t="str">
        <f t="shared" si="200"/>
        <v>U</v>
      </c>
      <c r="JT20" s="117" t="str">
        <f t="shared" si="200"/>
        <v>U</v>
      </c>
      <c r="JU20" s="117" t="str">
        <f t="shared" si="200"/>
        <v>S</v>
      </c>
      <c r="JV20" s="117" t="str">
        <f t="shared" si="200"/>
        <v>S</v>
      </c>
      <c r="JW20" s="117" t="str">
        <f t="shared" si="200"/>
        <v>S</v>
      </c>
      <c r="JX20" s="117" t="str">
        <f t="shared" si="200"/>
        <v>S</v>
      </c>
      <c r="JY20" s="117" t="str">
        <f t="shared" si="200"/>
        <v>S</v>
      </c>
      <c r="JZ20" s="117" t="str">
        <f t="shared" si="200"/>
        <v>S</v>
      </c>
      <c r="KA20" s="117" t="str">
        <f t="shared" si="200"/>
        <v>S</v>
      </c>
      <c r="KB20" s="117" t="str">
        <f t="shared" si="200"/>
        <v>S</v>
      </c>
      <c r="KC20" s="117" t="str">
        <f t="shared" si="200"/>
        <v>S</v>
      </c>
      <c r="KD20" s="117" t="str">
        <f t="shared" si="200"/>
        <v>S</v>
      </c>
      <c r="KE20" s="117" t="str">
        <f t="shared" si="200"/>
        <v>S</v>
      </c>
      <c r="KF20" s="117" t="str">
        <f t="shared" si="200"/>
        <v>S</v>
      </c>
      <c r="KG20" s="117" t="str">
        <f t="shared" si="200"/>
        <v>S</v>
      </c>
      <c r="KH20" s="117" t="str">
        <f t="shared" si="200"/>
        <v>S</v>
      </c>
      <c r="KI20" s="117" t="str">
        <f t="shared" si="200"/>
        <v>S</v>
      </c>
      <c r="KJ20" s="117" t="str">
        <f t="shared" si="200"/>
        <v>S</v>
      </c>
      <c r="KK20" s="117" t="str">
        <f t="shared" si="200"/>
        <v>S</v>
      </c>
      <c r="KL20" s="117" t="str">
        <f t="shared" si="200"/>
        <v>S</v>
      </c>
      <c r="KM20" s="117" t="str">
        <f t="shared" si="200"/>
        <v>S</v>
      </c>
      <c r="KN20" s="117">
        <f t="shared" si="200"/>
        <v>1.0000000000000001E-5</v>
      </c>
      <c r="KO20" s="117" t="str">
        <f t="shared" si="200"/>
        <v>S</v>
      </c>
      <c r="KP20" s="117" t="str">
        <f t="shared" si="200"/>
        <v>S</v>
      </c>
      <c r="KQ20" s="117" t="str">
        <f t="shared" si="200"/>
        <v>S</v>
      </c>
      <c r="KR20" s="117" t="str">
        <f t="shared" si="200"/>
        <v>S</v>
      </c>
      <c r="KS20" s="117" t="str">
        <f t="shared" ref="KS20:NF20" si="201">KS$12</f>
        <v>S</v>
      </c>
      <c r="KT20" s="117" t="str">
        <f t="shared" si="201"/>
        <v>S</v>
      </c>
      <c r="KU20" s="117" t="str">
        <f t="shared" si="201"/>
        <v>S</v>
      </c>
      <c r="KV20" s="117" t="str">
        <f t="shared" si="201"/>
        <v>S</v>
      </c>
      <c r="KW20" s="117">
        <f t="shared" si="201"/>
        <v>2</v>
      </c>
      <c r="KX20" s="117">
        <f t="shared" si="201"/>
        <v>3.0000000000000004</v>
      </c>
      <c r="KY20" s="117">
        <f t="shared" si="201"/>
        <v>0.25</v>
      </c>
      <c r="KZ20" s="117">
        <f t="shared" si="201"/>
        <v>0.3125</v>
      </c>
      <c r="LA20" s="117">
        <f t="shared" si="201"/>
        <v>0.25</v>
      </c>
      <c r="LB20" s="117">
        <f t="shared" si="201"/>
        <v>2.0000000000000001E-4</v>
      </c>
      <c r="LC20" s="117" t="str">
        <f t="shared" si="201"/>
        <v>S</v>
      </c>
      <c r="LD20" s="117" t="str">
        <f t="shared" si="201"/>
        <v>S</v>
      </c>
      <c r="LE20" s="117" t="str">
        <f t="shared" si="201"/>
        <v>S</v>
      </c>
      <c r="LF20" s="117" t="str">
        <f t="shared" si="201"/>
        <v>S</v>
      </c>
      <c r="LG20" s="117" t="str">
        <f t="shared" si="201"/>
        <v>S</v>
      </c>
      <c r="LH20" s="117" t="str">
        <f t="shared" si="201"/>
        <v>S</v>
      </c>
      <c r="LI20" s="117" t="str">
        <f t="shared" si="201"/>
        <v>S</v>
      </c>
      <c r="LJ20" s="117" t="str">
        <f t="shared" si="201"/>
        <v>S</v>
      </c>
      <c r="LK20" s="117" t="str">
        <f t="shared" si="201"/>
        <v>S</v>
      </c>
      <c r="LL20" s="117" t="str">
        <f t="shared" si="201"/>
        <v>S</v>
      </c>
      <c r="LM20" s="117" t="str">
        <f t="shared" si="201"/>
        <v>S</v>
      </c>
      <c r="LN20" s="117" t="str">
        <f t="shared" si="201"/>
        <v>S</v>
      </c>
      <c r="LO20" s="117" t="str">
        <f t="shared" si="201"/>
        <v>S</v>
      </c>
      <c r="LP20" s="117" t="str">
        <f t="shared" si="201"/>
        <v>S</v>
      </c>
      <c r="LQ20" s="117">
        <f t="shared" si="201"/>
        <v>3.0000000000000004</v>
      </c>
      <c r="LR20" s="117">
        <f t="shared" si="201"/>
        <v>0.16999999999999998</v>
      </c>
      <c r="LS20" s="117">
        <f t="shared" si="201"/>
        <v>1.41</v>
      </c>
      <c r="LT20" s="117">
        <f t="shared" si="201"/>
        <v>0.27300000000000002</v>
      </c>
      <c r="LU20" s="117">
        <f t="shared" si="201"/>
        <v>0.27</v>
      </c>
      <c r="LV20" s="117">
        <f t="shared" si="201"/>
        <v>0.1</v>
      </c>
      <c r="LW20" s="117">
        <f t="shared" si="201"/>
        <v>9.4629999999999992</v>
      </c>
      <c r="LX20" s="117">
        <f t="shared" si="201"/>
        <v>8.4947435596928661E-2</v>
      </c>
      <c r="LY20" s="117">
        <f t="shared" si="201"/>
        <v>4.0999999999999996</v>
      </c>
      <c r="LZ20" s="117" t="str">
        <f t="shared" si="201"/>
        <v>S</v>
      </c>
      <c r="MA20" s="117" t="str">
        <f t="shared" si="201"/>
        <v>S</v>
      </c>
      <c r="MB20" s="117" t="str">
        <f t="shared" si="201"/>
        <v>S</v>
      </c>
      <c r="MC20" s="117" t="str">
        <f t="shared" si="201"/>
        <v>S</v>
      </c>
      <c r="MD20" s="117" t="str">
        <f t="shared" si="201"/>
        <v>S</v>
      </c>
      <c r="ME20" s="117" t="str">
        <f t="shared" si="201"/>
        <v>S</v>
      </c>
      <c r="MF20" s="117" t="str">
        <f t="shared" si="201"/>
        <v>S</v>
      </c>
      <c r="MG20" s="117" t="str">
        <f t="shared" si="201"/>
        <v>S</v>
      </c>
      <c r="MH20" s="117" t="str">
        <f t="shared" si="201"/>
        <v>S</v>
      </c>
      <c r="MI20" s="117" t="str">
        <f t="shared" si="201"/>
        <v>S</v>
      </c>
      <c r="MJ20" s="117" t="str">
        <f>MJ$12</f>
        <v>S</v>
      </c>
      <c r="MK20" s="117" t="str">
        <f>MK$12</f>
        <v>S</v>
      </c>
      <c r="ML20" s="117" t="str">
        <f>ML$12</f>
        <v>S</v>
      </c>
      <c r="MM20" s="117" t="str">
        <f t="shared" si="201"/>
        <v>S</v>
      </c>
      <c r="MN20" s="117" t="str">
        <f t="shared" si="201"/>
        <v>S</v>
      </c>
      <c r="MO20" s="117" t="str">
        <f t="shared" si="201"/>
        <v>S</v>
      </c>
      <c r="MP20" s="117" t="str">
        <f t="shared" si="201"/>
        <v>S</v>
      </c>
      <c r="MQ20" s="117" t="str">
        <f t="shared" si="201"/>
        <v>S</v>
      </c>
      <c r="MR20" s="117" t="str">
        <f t="shared" si="201"/>
        <v>S</v>
      </c>
      <c r="MS20" s="117" t="str">
        <f t="shared" si="201"/>
        <v>S</v>
      </c>
      <c r="MT20" s="117" t="str">
        <f t="shared" si="201"/>
        <v>S</v>
      </c>
      <c r="MU20" s="117" t="str">
        <f t="shared" si="201"/>
        <v>S</v>
      </c>
      <c r="MV20" s="117" t="str">
        <f t="shared" si="201"/>
        <v>S</v>
      </c>
      <c r="MW20" s="117" t="str">
        <f t="shared" si="201"/>
        <v>S</v>
      </c>
      <c r="MX20" s="117" t="str">
        <f t="shared" si="201"/>
        <v>S</v>
      </c>
      <c r="MY20" s="117" t="str">
        <f t="shared" si="201"/>
        <v>S</v>
      </c>
      <c r="MZ20" s="117" t="str">
        <f t="shared" si="201"/>
        <v>S</v>
      </c>
      <c r="NA20" s="117" t="str">
        <f t="shared" si="201"/>
        <v>S</v>
      </c>
      <c r="NB20" s="117" t="str">
        <f t="shared" si="201"/>
        <v>S</v>
      </c>
      <c r="NC20" s="117" t="str">
        <f t="shared" si="201"/>
        <v>S</v>
      </c>
      <c r="ND20" s="117" t="str">
        <f t="shared" si="201"/>
        <v>S</v>
      </c>
      <c r="NE20" s="117">
        <f t="shared" si="201"/>
        <v>0</v>
      </c>
      <c r="NF20" s="117">
        <f t="shared" si="201"/>
        <v>1.0000000000000001E-5</v>
      </c>
      <c r="NG20" s="117" t="str">
        <f t="shared" ref="NG20:QH20" si="202">NG$12</f>
        <v>S</v>
      </c>
      <c r="NH20" s="117" t="str">
        <f t="shared" si="202"/>
        <v>S</v>
      </c>
      <c r="NI20" s="117" t="str">
        <f t="shared" si="202"/>
        <v>S</v>
      </c>
      <c r="NJ20" s="117" t="str">
        <f t="shared" si="202"/>
        <v>S</v>
      </c>
      <c r="NK20" s="117" t="str">
        <f t="shared" si="202"/>
        <v>S</v>
      </c>
      <c r="NL20" s="117" t="str">
        <f t="shared" si="202"/>
        <v>S</v>
      </c>
      <c r="NM20" s="117" t="str">
        <f t="shared" si="202"/>
        <v>S</v>
      </c>
      <c r="NN20" s="117" t="str">
        <f t="shared" si="202"/>
        <v>S</v>
      </c>
      <c r="NO20" s="117">
        <f t="shared" si="202"/>
        <v>4</v>
      </c>
      <c r="NP20" s="117">
        <f t="shared" si="202"/>
        <v>6.0000000000000009</v>
      </c>
      <c r="NQ20" s="117">
        <f t="shared" si="202"/>
        <v>0.625</v>
      </c>
      <c r="NR20" s="117">
        <f t="shared" si="202"/>
        <v>0.5</v>
      </c>
      <c r="NS20" s="117">
        <f t="shared" si="202"/>
        <v>0.5</v>
      </c>
      <c r="NT20" s="117">
        <f t="shared" si="202"/>
        <v>0.12520000000000001</v>
      </c>
      <c r="NU20" s="117" t="str">
        <f t="shared" si="202"/>
        <v>S</v>
      </c>
      <c r="NV20" s="117" t="str">
        <f t="shared" si="202"/>
        <v>S</v>
      </c>
      <c r="NW20" s="117" t="str">
        <f t="shared" si="202"/>
        <v>S</v>
      </c>
      <c r="NX20" s="117" t="str">
        <f t="shared" si="202"/>
        <v>S</v>
      </c>
      <c r="NY20" s="117" t="str">
        <f t="shared" si="202"/>
        <v>S</v>
      </c>
      <c r="NZ20" s="117" t="str">
        <f t="shared" si="202"/>
        <v>S</v>
      </c>
      <c r="OA20" s="117" t="str">
        <f t="shared" si="202"/>
        <v>S</v>
      </c>
      <c r="OB20" s="117" t="str">
        <f t="shared" si="202"/>
        <v>S</v>
      </c>
      <c r="OC20" s="117" t="str">
        <f t="shared" si="202"/>
        <v>S</v>
      </c>
      <c r="OD20" s="117" t="str">
        <f t="shared" si="202"/>
        <v>S</v>
      </c>
      <c r="OE20" s="117">
        <f t="shared" si="202"/>
        <v>3.0000000000000004</v>
      </c>
      <c r="OF20" s="117">
        <f t="shared" si="202"/>
        <v>0.16999999999999998</v>
      </c>
      <c r="OG20" s="117">
        <f t="shared" si="202"/>
        <v>1.41</v>
      </c>
      <c r="OH20" s="117">
        <f t="shared" si="202"/>
        <v>0.27300000000000002</v>
      </c>
      <c r="OI20" s="117">
        <f t="shared" si="202"/>
        <v>0.27</v>
      </c>
      <c r="OJ20" s="117">
        <f t="shared" si="202"/>
        <v>0.1</v>
      </c>
      <c r="OK20" s="117">
        <f t="shared" si="202"/>
        <v>9.4629999999999992</v>
      </c>
      <c r="OL20" s="117">
        <f t="shared" si="202"/>
        <v>8.4947435596928661E-2</v>
      </c>
      <c r="OM20" s="117">
        <f t="shared" si="202"/>
        <v>4.0999999999999996</v>
      </c>
      <c r="ON20" s="117" t="str">
        <f t="shared" si="202"/>
        <v>S</v>
      </c>
      <c r="OO20" s="117" t="str">
        <f t="shared" si="202"/>
        <v>S</v>
      </c>
      <c r="OP20" s="117" t="str">
        <f t="shared" si="202"/>
        <v>S</v>
      </c>
      <c r="OQ20" s="117" t="str">
        <f t="shared" si="202"/>
        <v>S</v>
      </c>
      <c r="OR20" s="117" t="str">
        <f t="shared" si="202"/>
        <v>S</v>
      </c>
      <c r="OS20" s="117" t="str">
        <f t="shared" si="202"/>
        <v>S</v>
      </c>
      <c r="OT20" s="117" t="str">
        <f t="shared" si="202"/>
        <v>S</v>
      </c>
      <c r="OU20" s="117">
        <f t="shared" si="202"/>
        <v>22.352885682963269</v>
      </c>
      <c r="OV20" s="117">
        <f t="shared" si="202"/>
        <v>1.5625</v>
      </c>
      <c r="OW20" s="117">
        <f t="shared" si="202"/>
        <v>2</v>
      </c>
      <c r="OX20" s="117">
        <f t="shared" ca="1" si="202"/>
        <v>1.0000000000000001E-5</v>
      </c>
      <c r="OY20" s="117" t="str">
        <f t="shared" si="202"/>
        <v>S</v>
      </c>
      <c r="OZ20" s="117" t="str">
        <f t="shared" si="202"/>
        <v>S</v>
      </c>
      <c r="PA20" s="117" t="str">
        <f t="shared" si="202"/>
        <v>S</v>
      </c>
      <c r="PB20" s="117" t="str">
        <f t="shared" si="202"/>
        <v>S</v>
      </c>
      <c r="PC20" s="117">
        <f t="shared" si="202"/>
        <v>1.0000006859324079E-6</v>
      </c>
      <c r="PD20" s="117">
        <f t="shared" si="202"/>
        <v>1.0000000313816476E-6</v>
      </c>
      <c r="PE20" s="117">
        <f>PE$12</f>
        <v>9.9999936016657661E-7</v>
      </c>
      <c r="PF20" s="117">
        <f>PF$12</f>
        <v>9.9999997677932015E-7</v>
      </c>
      <c r="PG20" s="117" t="str">
        <f t="shared" si="202"/>
        <v>S</v>
      </c>
      <c r="PH20" s="117" t="str">
        <f t="shared" si="202"/>
        <v>S</v>
      </c>
      <c r="PI20" s="117" t="str">
        <f t="shared" si="202"/>
        <v>S</v>
      </c>
      <c r="PJ20" s="117" t="str">
        <f t="shared" si="202"/>
        <v>S</v>
      </c>
      <c r="PK20" s="117" t="str">
        <f t="shared" si="202"/>
        <v>Teflon, 2.5 x 2.5</v>
      </c>
      <c r="PL20" s="117" t="str">
        <f t="shared" si="202"/>
        <v>Teflon, 2.5 x 2.5</v>
      </c>
      <c r="PM20" s="117">
        <f t="shared" si="202"/>
        <v>0</v>
      </c>
      <c r="PN20" s="117" t="str">
        <f t="shared" si="202"/>
        <v>Teflon, 2.5 x 2.5</v>
      </c>
      <c r="PO20" s="117" t="str">
        <f t="shared" si="202"/>
        <v>Teflon, 2.5 x 2.5</v>
      </c>
      <c r="PP20" s="117">
        <f t="shared" si="202"/>
        <v>0</v>
      </c>
      <c r="PQ20" s="117">
        <f t="shared" si="202"/>
        <v>0.125</v>
      </c>
      <c r="PR20" s="117">
        <f t="shared" si="202"/>
        <v>0.125</v>
      </c>
      <c r="PS20" s="117">
        <f t="shared" si="202"/>
        <v>0.125</v>
      </c>
      <c r="PT20" s="117">
        <f t="shared" si="202"/>
        <v>0.125</v>
      </c>
      <c r="PU20" s="117" t="str">
        <f t="shared" si="202"/>
        <v>S</v>
      </c>
      <c r="PV20" s="117" t="str">
        <f t="shared" si="202"/>
        <v>S</v>
      </c>
      <c r="PW20" s="117" t="str">
        <f t="shared" si="202"/>
        <v>S</v>
      </c>
      <c r="PX20" s="117" t="str">
        <f t="shared" si="202"/>
        <v>S</v>
      </c>
      <c r="PY20" s="117" t="str">
        <f t="shared" si="202"/>
        <v>S</v>
      </c>
      <c r="PZ20" s="117" t="str">
        <f t="shared" si="202"/>
        <v>S</v>
      </c>
      <c r="QA20" s="117" t="str">
        <f t="shared" si="202"/>
        <v>S</v>
      </c>
      <c r="QB20" s="117" t="str">
        <f t="shared" si="202"/>
        <v>S</v>
      </c>
      <c r="QC20" s="117" t="str">
        <f t="shared" si="202"/>
        <v>S</v>
      </c>
      <c r="QD20" s="117" t="str">
        <f t="shared" si="202"/>
        <v>S</v>
      </c>
      <c r="QE20" s="117" t="str">
        <f t="shared" si="202"/>
        <v>S</v>
      </c>
      <c r="QF20" s="117">
        <f t="shared" ca="1" si="202"/>
        <v>3</v>
      </c>
      <c r="QG20" s="117">
        <f t="shared" ca="1" si="202"/>
        <v>1.5</v>
      </c>
      <c r="QH20" s="117">
        <f t="shared" ca="1" si="202"/>
        <v>1</v>
      </c>
      <c r="QI20" s="117">
        <f t="shared" ref="QI20:TJ20" ca="1" si="203">QI$12</f>
        <v>3</v>
      </c>
      <c r="QJ20" s="117" t="str">
        <f t="shared" ca="1" si="203"/>
        <v>S</v>
      </c>
      <c r="QK20" s="117" t="str">
        <f t="shared" si="203"/>
        <v>S</v>
      </c>
      <c r="QL20" s="117" t="str">
        <f t="shared" si="203"/>
        <v>S</v>
      </c>
      <c r="QM20" s="117" t="str">
        <f t="shared" si="203"/>
        <v>S</v>
      </c>
      <c r="QN20" s="117" t="str">
        <f t="shared" si="203"/>
        <v>S</v>
      </c>
      <c r="QO20" s="117" t="str">
        <f t="shared" si="203"/>
        <v>S</v>
      </c>
      <c r="QP20" s="117" t="str">
        <f t="shared" si="203"/>
        <v>S</v>
      </c>
      <c r="QQ20" s="117" t="str">
        <f t="shared" si="203"/>
        <v>S</v>
      </c>
      <c r="QR20" s="117" t="str">
        <f t="shared" si="203"/>
        <v>S</v>
      </c>
      <c r="QS20" s="117" t="str">
        <f t="shared" si="203"/>
        <v>S</v>
      </c>
      <c r="QT20" s="117" t="str">
        <f t="shared" si="203"/>
        <v>S</v>
      </c>
      <c r="QU20" s="117" t="str">
        <f t="shared" si="203"/>
        <v>S</v>
      </c>
      <c r="QV20" s="117" t="str">
        <f t="shared" si="203"/>
        <v>S</v>
      </c>
      <c r="QW20" s="117" t="str">
        <f t="shared" si="203"/>
        <v>S</v>
      </c>
      <c r="QX20" s="117" t="str">
        <f t="shared" si="203"/>
        <v>S</v>
      </c>
      <c r="QY20" s="117" t="str">
        <f t="shared" si="203"/>
        <v>S</v>
      </c>
      <c r="QZ20" s="117" t="str">
        <f t="shared" si="203"/>
        <v>S</v>
      </c>
      <c r="RA20" s="117" t="str">
        <f t="shared" si="203"/>
        <v>S</v>
      </c>
      <c r="RB20" s="117" t="str">
        <f t="shared" si="203"/>
        <v>S</v>
      </c>
      <c r="RC20" s="117" t="str">
        <f t="shared" si="203"/>
        <v>S</v>
      </c>
      <c r="RD20" s="117">
        <f t="shared" si="203"/>
        <v>2</v>
      </c>
      <c r="RE20" s="117">
        <f t="shared" si="203"/>
        <v>3.0000000000000004</v>
      </c>
      <c r="RF20" s="117">
        <f t="shared" si="203"/>
        <v>0.18750000000000003</v>
      </c>
      <c r="RG20" s="117">
        <f t="shared" si="203"/>
        <v>0.3125</v>
      </c>
      <c r="RH20" s="117">
        <f t="shared" si="203"/>
        <v>0.18750000000000003</v>
      </c>
      <c r="RI20" s="117">
        <f t="shared" si="203"/>
        <v>2.0000000000000001E-4</v>
      </c>
      <c r="RJ20" s="117" t="str">
        <f t="shared" si="203"/>
        <v>S</v>
      </c>
      <c r="RK20" s="117" t="str">
        <f t="shared" si="203"/>
        <v>S</v>
      </c>
      <c r="RL20" s="117" t="str">
        <f t="shared" si="203"/>
        <v>S</v>
      </c>
      <c r="RM20" s="117" t="str">
        <f t="shared" si="203"/>
        <v>S</v>
      </c>
      <c r="RN20" s="117" t="str">
        <f t="shared" si="203"/>
        <v>S</v>
      </c>
      <c r="RO20" s="117" t="str">
        <f t="shared" si="203"/>
        <v>S</v>
      </c>
      <c r="RP20" s="117" t="str">
        <f t="shared" si="203"/>
        <v>S</v>
      </c>
      <c r="RQ20" s="117" t="str">
        <f t="shared" si="203"/>
        <v>S</v>
      </c>
      <c r="RR20" s="117" t="str">
        <f t="shared" si="203"/>
        <v>S</v>
      </c>
      <c r="RS20" s="117" t="str">
        <f t="shared" si="203"/>
        <v>S</v>
      </c>
      <c r="RT20" s="117" t="str">
        <f t="shared" si="203"/>
        <v>S</v>
      </c>
      <c r="RU20" s="117" t="str">
        <f t="shared" si="203"/>
        <v>S</v>
      </c>
      <c r="RV20" s="117" t="str">
        <f t="shared" si="203"/>
        <v>S</v>
      </c>
      <c r="RW20" s="117" t="str">
        <f t="shared" si="203"/>
        <v>S</v>
      </c>
      <c r="RX20" s="117" t="str">
        <f t="shared" si="203"/>
        <v>S</v>
      </c>
      <c r="RY20" s="117" t="str">
        <f t="shared" si="203"/>
        <v>S</v>
      </c>
      <c r="RZ20" s="117" t="str">
        <f t="shared" si="203"/>
        <v>S</v>
      </c>
      <c r="SA20" s="117">
        <f t="shared" si="203"/>
        <v>3.0000000000000004</v>
      </c>
      <c r="SB20" s="117">
        <f t="shared" si="203"/>
        <v>0.16999999999999998</v>
      </c>
      <c r="SC20" s="117">
        <f t="shared" si="203"/>
        <v>1.41</v>
      </c>
      <c r="SD20" s="117">
        <f t="shared" si="203"/>
        <v>0.27300000000000002</v>
      </c>
      <c r="SE20" s="117">
        <f t="shared" si="203"/>
        <v>0.27</v>
      </c>
      <c r="SF20" s="117">
        <f t="shared" si="203"/>
        <v>0.1</v>
      </c>
      <c r="SG20" s="117">
        <f t="shared" si="203"/>
        <v>9.4629999999999992</v>
      </c>
      <c r="SH20" s="117">
        <f t="shared" si="203"/>
        <v>8.4947435596928661E-2</v>
      </c>
      <c r="SI20" s="117">
        <f t="shared" si="203"/>
        <v>4.0999999999999996</v>
      </c>
      <c r="SJ20" s="117" t="str">
        <f t="shared" si="203"/>
        <v>S</v>
      </c>
      <c r="SK20" s="117" t="str">
        <f t="shared" si="203"/>
        <v>S</v>
      </c>
      <c r="SL20" s="117" t="str">
        <f t="shared" si="203"/>
        <v>S</v>
      </c>
      <c r="SM20" s="117" t="str">
        <f t="shared" si="203"/>
        <v>S</v>
      </c>
      <c r="SN20" s="117" t="str">
        <f t="shared" si="203"/>
        <v>S</v>
      </c>
      <c r="SO20" s="117" t="str">
        <f t="shared" si="203"/>
        <v>S</v>
      </c>
      <c r="SP20" s="117" t="str">
        <f t="shared" si="203"/>
        <v>S</v>
      </c>
      <c r="SQ20" s="117" t="str">
        <f t="shared" si="203"/>
        <v>S</v>
      </c>
      <c r="SR20" s="117" t="str">
        <f>SR$12</f>
        <v>S</v>
      </c>
      <c r="SS20" s="117">
        <f t="shared" ref="SS20:SV20" si="204">SS$12</f>
        <v>1.5000000000000002</v>
      </c>
      <c r="ST20" s="117">
        <f t="shared" si="204"/>
        <v>1.5000000000000002</v>
      </c>
      <c r="SU20" s="117">
        <f t="shared" si="204"/>
        <v>0.5</v>
      </c>
      <c r="SV20" s="117">
        <f t="shared" si="204"/>
        <v>0.5</v>
      </c>
      <c r="SW20" s="117" t="str">
        <f t="shared" si="203"/>
        <v>S</v>
      </c>
      <c r="SX20" s="117" t="str">
        <f t="shared" si="203"/>
        <v>S</v>
      </c>
      <c r="SY20" s="117" t="str">
        <f t="shared" si="203"/>
        <v>S</v>
      </c>
      <c r="SZ20" s="117" t="str">
        <f t="shared" si="203"/>
        <v>S</v>
      </c>
      <c r="TA20" s="117" t="str">
        <f t="shared" si="203"/>
        <v>S</v>
      </c>
      <c r="TB20" s="117" t="str">
        <f t="shared" si="203"/>
        <v>S</v>
      </c>
      <c r="TC20" s="117" t="str">
        <f t="shared" si="203"/>
        <v>S</v>
      </c>
      <c r="TD20" s="117" t="str">
        <f t="shared" si="203"/>
        <v>S</v>
      </c>
      <c r="TE20" s="117" t="str">
        <f t="shared" si="203"/>
        <v>S</v>
      </c>
      <c r="TF20" s="117">
        <f t="shared" si="203"/>
        <v>3</v>
      </c>
      <c r="TG20" s="117">
        <f t="shared" si="203"/>
        <v>5.7</v>
      </c>
      <c r="TH20" s="117">
        <f t="shared" si="203"/>
        <v>3.0000000000000004</v>
      </c>
      <c r="TI20" s="117">
        <f t="shared" si="203"/>
        <v>0.16999999999999998</v>
      </c>
      <c r="TJ20" s="117">
        <f t="shared" si="203"/>
        <v>2.33</v>
      </c>
      <c r="TK20" s="117">
        <f t="shared" ref="TK20:VT20" si="205">TK$12</f>
        <v>0.26</v>
      </c>
      <c r="TL20" s="117">
        <f t="shared" si="205"/>
        <v>0.27</v>
      </c>
      <c r="TM20" s="117">
        <f t="shared" si="205"/>
        <v>0.1</v>
      </c>
      <c r="TN20" s="117">
        <f t="shared" si="205"/>
        <v>9.4630000000000312</v>
      </c>
      <c r="TO20" s="117">
        <f t="shared" si="205"/>
        <v>1.8425437273624747</v>
      </c>
      <c r="TP20" s="117" t="str">
        <f t="shared" si="205"/>
        <v>S</v>
      </c>
      <c r="TQ20" s="117" t="str">
        <f t="shared" si="205"/>
        <v>S</v>
      </c>
      <c r="TR20" s="117" t="str">
        <f t="shared" si="205"/>
        <v>S</v>
      </c>
      <c r="TS20" s="117" t="str">
        <f t="shared" si="205"/>
        <v>S</v>
      </c>
      <c r="TT20" s="117" t="str">
        <f t="shared" si="205"/>
        <v>S</v>
      </c>
      <c r="TU20" s="117" t="str">
        <f t="shared" si="205"/>
        <v>S</v>
      </c>
      <c r="TV20" s="117" t="str">
        <f t="shared" si="205"/>
        <v>S</v>
      </c>
      <c r="TW20" s="117" t="str">
        <f t="shared" si="205"/>
        <v>S</v>
      </c>
      <c r="TX20" s="117" t="str">
        <f t="shared" si="205"/>
        <v>S</v>
      </c>
      <c r="TY20" s="117">
        <f t="shared" si="205"/>
        <v>4</v>
      </c>
      <c r="TZ20" s="117">
        <f t="shared" si="205"/>
        <v>13</v>
      </c>
      <c r="UA20" s="117">
        <f t="shared" si="205"/>
        <v>4.16</v>
      </c>
      <c r="UB20" s="117">
        <f t="shared" si="205"/>
        <v>0.28000000000000003</v>
      </c>
      <c r="UC20" s="117">
        <f t="shared" si="205"/>
        <v>4.0599999999999996</v>
      </c>
      <c r="UD20" s="117">
        <f t="shared" si="205"/>
        <v>0.34499999999999992</v>
      </c>
      <c r="UE20" s="117">
        <f t="shared" si="205"/>
        <v>0.25</v>
      </c>
      <c r="UF20" s="117" t="str">
        <f t="shared" si="205"/>
        <v>S</v>
      </c>
      <c r="UG20" s="117" t="str">
        <f t="shared" si="205"/>
        <v>S</v>
      </c>
      <c r="UH20" s="117" t="str">
        <f t="shared" si="205"/>
        <v>S</v>
      </c>
      <c r="UI20" s="117" t="str">
        <f t="shared" si="205"/>
        <v>S</v>
      </c>
      <c r="UJ20" s="117"/>
      <c r="UK20" s="117" t="str">
        <f t="shared" si="205"/>
        <v>S</v>
      </c>
      <c r="UL20" s="117" t="str">
        <f t="shared" si="205"/>
        <v>S</v>
      </c>
      <c r="UM20" s="117" t="str">
        <f t="shared" si="205"/>
        <v>S</v>
      </c>
      <c r="UN20" s="117" t="str">
        <f t="shared" si="205"/>
        <v>S</v>
      </c>
      <c r="UO20" s="117" t="str">
        <f t="shared" si="205"/>
        <v>S</v>
      </c>
      <c r="UP20" s="117" t="str">
        <f t="shared" si="205"/>
        <v>S</v>
      </c>
      <c r="UQ20" s="117" t="str">
        <f t="shared" si="205"/>
        <v>S</v>
      </c>
      <c r="UR20" s="117">
        <f t="shared" si="205"/>
        <v>1</v>
      </c>
      <c r="US20" s="117">
        <f t="shared" si="205"/>
        <v>2</v>
      </c>
      <c r="UT20" s="117">
        <f t="shared" si="205"/>
        <v>500</v>
      </c>
      <c r="UU20" s="117" t="str">
        <f t="shared" si="205"/>
        <v>S</v>
      </c>
      <c r="UV20" s="117" t="str">
        <f t="shared" si="205"/>
        <v>S</v>
      </c>
      <c r="UW20" s="117" t="str">
        <f t="shared" si="205"/>
        <v>S</v>
      </c>
      <c r="UX20" s="117" t="str">
        <f t="shared" si="205"/>
        <v>S</v>
      </c>
      <c r="UY20" s="117" t="str">
        <f t="shared" si="205"/>
        <v>S</v>
      </c>
      <c r="UZ20" s="117" t="str">
        <f t="shared" si="205"/>
        <v>S</v>
      </c>
      <c r="VA20" s="117" t="str">
        <f t="shared" si="205"/>
        <v>S</v>
      </c>
      <c r="VB20" s="117" t="str">
        <f t="shared" si="205"/>
        <v>S</v>
      </c>
      <c r="VC20" s="117" t="str">
        <f t="shared" si="205"/>
        <v>S</v>
      </c>
      <c r="VD20" s="117" t="str">
        <f t="shared" si="205"/>
        <v>S</v>
      </c>
      <c r="VE20" s="117" t="str">
        <f t="shared" si="205"/>
        <v>S</v>
      </c>
      <c r="VF20" s="117" t="str">
        <f t="shared" si="205"/>
        <v>U</v>
      </c>
      <c r="VG20" s="117" t="str">
        <f t="shared" si="205"/>
        <v>S</v>
      </c>
      <c r="VH20" s="117" t="str">
        <f t="shared" si="205"/>
        <v>S</v>
      </c>
      <c r="VI20" s="117" t="str">
        <f>VI$12</f>
        <v>3</v>
      </c>
      <c r="VJ20" s="117" t="str">
        <f t="shared" si="205"/>
        <v>.3</v>
      </c>
      <c r="VK20" s="117">
        <f t="shared" si="205"/>
        <v>3</v>
      </c>
      <c r="VL20" s="117" t="str">
        <f t="shared" si="205"/>
        <v>3-SEC</v>
      </c>
      <c r="VM20" s="117" t="str">
        <f t="shared" si="205"/>
        <v>3-HS-A</v>
      </c>
      <c r="VN20" s="117" t="str">
        <f t="shared" si="205"/>
        <v>HEADER SUPPORT, SIDE A</v>
      </c>
      <c r="VO20" s="117" t="str">
        <f t="shared" si="205"/>
        <v>000000</v>
      </c>
      <c r="VP20" s="410">
        <f t="shared" si="205"/>
        <v>5</v>
      </c>
      <c r="VQ20" s="410">
        <f t="shared" si="205"/>
        <v>5</v>
      </c>
      <c r="VR20" s="410">
        <f t="shared" si="205"/>
        <v>0.125</v>
      </c>
      <c r="VS20" s="410">
        <f t="shared" si="205"/>
        <v>1.125</v>
      </c>
      <c r="VT20" s="410">
        <f t="shared" si="205"/>
        <v>3.5</v>
      </c>
      <c r="VX20" s="117" t="str">
        <f>VX$12</f>
        <v>3-SEC</v>
      </c>
    </row>
    <row r="21" spans="1:596" ht="14.4" hidden="1" outlineLevel="1" x14ac:dyDescent="0.3">
      <c r="A21" s="123" t="str">
        <f>IF(A13="$User_Notes","$User_Notes",CONCATENATE(A13,"SM-FLAT-PATTERN"))</f>
        <v>$User_Notes</v>
      </c>
      <c r="B21" s="117" t="str">
        <f>B$13</f>
        <v>AXC</v>
      </c>
      <c r="C21" s="117">
        <f t="shared" ref="C21:BT21" si="206">C$13</f>
        <v>65</v>
      </c>
      <c r="D21" s="117">
        <f t="shared" si="206"/>
        <v>780</v>
      </c>
      <c r="E21" s="117">
        <f t="shared" si="206"/>
        <v>0.125</v>
      </c>
      <c r="F21" s="117">
        <f t="shared" si="206"/>
        <v>6.25E-2</v>
      </c>
      <c r="G21" s="117">
        <f t="shared" si="206"/>
        <v>777.625</v>
      </c>
      <c r="H21" s="117" t="str">
        <f t="shared" si="206"/>
        <v>MC12x10.6</v>
      </c>
      <c r="I21" s="117" t="str">
        <f t="shared" si="206"/>
        <v>AXC materials:SA-36</v>
      </c>
      <c r="J21" s="117" t="str">
        <f t="shared" si="206"/>
        <v>Galvanized</v>
      </c>
      <c r="K21" s="117" t="str">
        <f t="shared" si="206"/>
        <v>Bolt on Angle</v>
      </c>
      <c r="L21" s="117" t="str">
        <f t="shared" si="206"/>
        <v>EH\VV\VI_</v>
      </c>
      <c r="M21" s="117">
        <f t="shared" ca="1" si="206"/>
        <v>16</v>
      </c>
      <c r="N21" s="117">
        <f t="shared" ca="1" si="206"/>
        <v>48</v>
      </c>
      <c r="O21" s="117">
        <f t="shared" ca="1" si="206"/>
        <v>30</v>
      </c>
      <c r="P21" s="117" t="str">
        <f t="shared" si="206"/>
        <v>Yes - Rear HDR</v>
      </c>
      <c r="Q21" s="117">
        <f t="shared" si="206"/>
        <v>3.9999333887056512</v>
      </c>
      <c r="R21" s="117" t="str">
        <f t="shared" si="206"/>
        <v>Angle</v>
      </c>
      <c r="S21" s="117" t="str">
        <f t="shared" si="206"/>
        <v>L2x3x0.1875</v>
      </c>
      <c r="T21" s="117" t="str">
        <f t="shared" si="206"/>
        <v>Weld On</v>
      </c>
      <c r="U21" s="117" t="str">
        <f>U$13</f>
        <v>Yes</v>
      </c>
      <c r="V21" s="117" t="str">
        <f t="shared" si="206"/>
        <v>Yes</v>
      </c>
      <c r="W21" s="117">
        <f t="shared" si="206"/>
        <v>15</v>
      </c>
      <c r="X21" s="117">
        <f t="shared" si="206"/>
        <v>0</v>
      </c>
      <c r="Y21" s="117">
        <f>Y$13</f>
        <v>0</v>
      </c>
      <c r="Z21" s="117" t="str">
        <f>Z$13</f>
        <v>STD</v>
      </c>
      <c r="AA21" s="117" t="str">
        <f t="shared" si="206"/>
        <v>No</v>
      </c>
      <c r="AB21" s="117" t="str">
        <f>AB$13</f>
        <v>OFF</v>
      </c>
      <c r="AC21" s="117" t="str">
        <f t="shared" si="206"/>
        <v>Yes</v>
      </c>
      <c r="AD21" s="117" t="str">
        <f>AD$13</f>
        <v>AXC Weld On</v>
      </c>
      <c r="AE21" s="117" t="str">
        <f>AE$13</f>
        <v>Outside</v>
      </c>
      <c r="AF21" s="117" t="str">
        <f t="shared" si="206"/>
        <v>0.5"</v>
      </c>
      <c r="AG21" s="117">
        <f t="shared" si="206"/>
        <v>278.125</v>
      </c>
      <c r="AH21" s="117">
        <f t="shared" si="206"/>
        <v>249.75</v>
      </c>
      <c r="AI21" s="117">
        <f t="shared" si="206"/>
        <v>0.5</v>
      </c>
      <c r="AJ21" s="117">
        <f t="shared" si="206"/>
        <v>4</v>
      </c>
      <c r="AK21" s="117">
        <f t="shared" si="206"/>
        <v>500</v>
      </c>
      <c r="AL21" s="117" t="str">
        <f t="shared" si="206"/>
        <v>None</v>
      </c>
      <c r="AM21" s="117" t="str">
        <f t="shared" si="206"/>
        <v>Pick from List</v>
      </c>
      <c r="AN21" s="117" t="str">
        <f t="shared" si="206"/>
        <v>None</v>
      </c>
      <c r="AO21" s="117" t="str">
        <f t="shared" si="206"/>
        <v>None</v>
      </c>
      <c r="AP21" s="117" t="str">
        <f t="shared" si="206"/>
        <v>None</v>
      </c>
      <c r="AQ21" s="117" t="str">
        <f t="shared" si="206"/>
        <v>L4x6x0.625</v>
      </c>
      <c r="AR21" s="117" t="str">
        <f t="shared" si="206"/>
        <v>Bolt on</v>
      </c>
      <c r="AS21" s="117" t="str">
        <f t="shared" si="206"/>
        <v>Yes</v>
      </c>
      <c r="AT21" s="117" t="str">
        <f t="shared" ca="1" si="206"/>
        <v>Bolt On</v>
      </c>
      <c r="AU21" s="117">
        <f t="shared" ca="1" si="206"/>
        <v>16</v>
      </c>
      <c r="AV21" s="117">
        <f t="shared" si="206"/>
        <v>0</v>
      </c>
      <c r="AW21" s="117">
        <f t="shared" si="206"/>
        <v>0</v>
      </c>
      <c r="AX21" s="117">
        <f t="shared" si="206"/>
        <v>6.25E-2</v>
      </c>
      <c r="AY21" s="117">
        <f t="shared" si="206"/>
        <v>21.915385672961552</v>
      </c>
      <c r="AZ21" s="117">
        <f t="shared" si="206"/>
        <v>1.5625</v>
      </c>
      <c r="BA21" s="117">
        <f t="shared" si="206"/>
        <v>2</v>
      </c>
      <c r="BB21" s="117">
        <f t="shared" si="206"/>
        <v>21.915385672961648</v>
      </c>
      <c r="BC21" s="117">
        <f t="shared" si="206"/>
        <v>1.5625</v>
      </c>
      <c r="BD21" s="117">
        <f t="shared" si="206"/>
        <v>2</v>
      </c>
      <c r="BE21" s="117">
        <f t="shared" si="206"/>
        <v>0.6250000000043382</v>
      </c>
      <c r="BF21" s="117">
        <f t="shared" si="206"/>
        <v>1.0937500000075919</v>
      </c>
      <c r="BG21" s="117">
        <f t="shared" si="206"/>
        <v>2</v>
      </c>
      <c r="BH21" s="117">
        <f t="shared" si="206"/>
        <v>0.62500000000430156</v>
      </c>
      <c r="BI21" s="117">
        <f t="shared" si="206"/>
        <v>1.0937500000075278</v>
      </c>
      <c r="BJ21" s="117">
        <f t="shared" si="206"/>
        <v>2</v>
      </c>
      <c r="BK21" s="117">
        <f t="shared" si="206"/>
        <v>1.9999999999999956</v>
      </c>
      <c r="BL21" s="117" t="str">
        <f t="shared" si="206"/>
        <v>Weld Bar</v>
      </c>
      <c r="BM21" s="117">
        <f t="shared" si="206"/>
        <v>0.99999999999999589</v>
      </c>
      <c r="BN21" s="117" t="str">
        <f t="shared" si="206"/>
        <v>Float Bar</v>
      </c>
      <c r="BO21" s="117">
        <f t="shared" si="206"/>
        <v>5</v>
      </c>
      <c r="BP21" s="117" t="str">
        <f t="shared" si="206"/>
        <v>MC12x10.6</v>
      </c>
      <c r="BQ21" s="117" t="str">
        <f t="shared" si="206"/>
        <v>U</v>
      </c>
      <c r="BR21" s="117" t="str">
        <f t="shared" si="206"/>
        <v>S</v>
      </c>
      <c r="BS21" s="117">
        <f t="shared" si="206"/>
        <v>31.374999284744241</v>
      </c>
      <c r="BT21" s="117">
        <f t="shared" si="206"/>
        <v>29.000000000000004</v>
      </c>
      <c r="BU21" s="117">
        <f t="shared" ref="BU21:EK21" si="207">BU$13</f>
        <v>3.9999999999999969</v>
      </c>
      <c r="BV21" s="117">
        <f t="shared" si="207"/>
        <v>0.25000000000000089</v>
      </c>
      <c r="BW21" s="117">
        <f t="shared" si="207"/>
        <v>9.9999999999269527E-6</v>
      </c>
      <c r="BX21" s="117">
        <f t="shared" si="207"/>
        <v>1</v>
      </c>
      <c r="BY21" s="117">
        <f t="shared" si="207"/>
        <v>1</v>
      </c>
      <c r="BZ21" s="117">
        <f t="shared" si="207"/>
        <v>6.2721143170279987</v>
      </c>
      <c r="CA21" s="117">
        <f t="shared" si="207"/>
        <v>360</v>
      </c>
      <c r="CB21" s="117">
        <f t="shared" si="207"/>
        <v>1.0000000000001172</v>
      </c>
      <c r="CC21" s="117">
        <f t="shared" si="207"/>
        <v>0.99999999999983746</v>
      </c>
      <c r="CD21" s="117">
        <f t="shared" si="207"/>
        <v>0</v>
      </c>
      <c r="CE21" s="117">
        <f t="shared" si="207"/>
        <v>1.5000000000000009</v>
      </c>
      <c r="CF21" s="117">
        <f t="shared" si="207"/>
        <v>1.2990381056766582</v>
      </c>
      <c r="CG21" s="117">
        <f t="shared" si="207"/>
        <v>9.9999999969219204E-6</v>
      </c>
      <c r="CH21" s="117" t="str">
        <f t="shared" si="207"/>
        <v>No</v>
      </c>
      <c r="CI21" s="117" t="str">
        <f t="shared" si="207"/>
        <v>U</v>
      </c>
      <c r="CJ21" s="117">
        <f t="shared" si="207"/>
        <v>10.6</v>
      </c>
      <c r="CK21" s="117">
        <f t="shared" si="207"/>
        <v>12.000000000000002</v>
      </c>
      <c r="CL21" s="117">
        <f t="shared" si="207"/>
        <v>0.18999999999999997</v>
      </c>
      <c r="CM21" s="117">
        <f t="shared" si="207"/>
        <v>1.5000000000000002</v>
      </c>
      <c r="CN21" s="117">
        <f t="shared" si="207"/>
        <v>0.30899999999999994</v>
      </c>
      <c r="CO21" s="117">
        <f t="shared" si="207"/>
        <v>0.25</v>
      </c>
      <c r="CP21" s="117">
        <f t="shared" si="207"/>
        <v>0.13</v>
      </c>
      <c r="CQ21" s="117">
        <f t="shared" si="207"/>
        <v>9.4629999999999992</v>
      </c>
      <c r="CR21" s="117">
        <f t="shared" si="207"/>
        <v>8.9700168853607709E-2</v>
      </c>
      <c r="CS21" s="117">
        <f t="shared" si="207"/>
        <v>10.740092274765473</v>
      </c>
      <c r="CT21" s="117">
        <f t="shared" si="207"/>
        <v>0.62995386261726427</v>
      </c>
      <c r="CU21" s="117" t="str">
        <f t="shared" si="207"/>
        <v>S</v>
      </c>
      <c r="CV21" s="117">
        <f t="shared" si="207"/>
        <v>12.000000000000002</v>
      </c>
      <c r="CW21" s="117">
        <f t="shared" si="207"/>
        <v>0.28199999999999997</v>
      </c>
      <c r="CX21" s="117">
        <f t="shared" si="207"/>
        <v>2.9419999999999997</v>
      </c>
      <c r="CY21" s="117">
        <f t="shared" si="207"/>
        <v>0.501</v>
      </c>
      <c r="CZ21" s="117">
        <f t="shared" si="207"/>
        <v>0.37999999999999995</v>
      </c>
      <c r="DA21" s="117">
        <f t="shared" si="207"/>
        <v>0.16999999999999998</v>
      </c>
      <c r="DB21" s="117">
        <f t="shared" si="207"/>
        <v>9.4629999999999992</v>
      </c>
      <c r="DC21" s="117">
        <f t="shared" si="207"/>
        <v>0.13530728481002544</v>
      </c>
      <c r="DD21" s="117">
        <f t="shared" si="207"/>
        <v>20.7</v>
      </c>
      <c r="DE21" s="117" t="str">
        <f t="shared" si="207"/>
        <v>S</v>
      </c>
      <c r="DF21" s="117" t="str">
        <f t="shared" si="207"/>
        <v>S</v>
      </c>
      <c r="DG21" s="117" t="str">
        <f t="shared" si="207"/>
        <v>S</v>
      </c>
      <c r="DH21" s="117" t="str">
        <f t="shared" si="207"/>
        <v>S</v>
      </c>
      <c r="DI21" s="117" t="str">
        <f t="shared" si="207"/>
        <v>S</v>
      </c>
      <c r="DJ21" s="117" t="str">
        <f t="shared" si="207"/>
        <v>S</v>
      </c>
      <c r="DK21" s="117" t="str">
        <f t="shared" si="207"/>
        <v>S</v>
      </c>
      <c r="DL21" s="117" t="str">
        <f t="shared" si="207"/>
        <v>S</v>
      </c>
      <c r="DM21" s="117" t="str">
        <f t="shared" si="207"/>
        <v>U</v>
      </c>
      <c r="DN21" s="117" t="str">
        <f t="shared" si="207"/>
        <v>U</v>
      </c>
      <c r="DO21" s="117" t="str">
        <f t="shared" si="207"/>
        <v>U</v>
      </c>
      <c r="DP21" s="117" t="str">
        <f t="shared" si="207"/>
        <v>U</v>
      </c>
      <c r="DQ21" s="117" t="str">
        <f t="shared" si="207"/>
        <v>S</v>
      </c>
      <c r="DR21" s="117" t="str">
        <f t="shared" si="207"/>
        <v>S</v>
      </c>
      <c r="DS21" s="117" t="str">
        <f t="shared" si="207"/>
        <v>S</v>
      </c>
      <c r="DT21" s="117" t="str">
        <f t="shared" si="207"/>
        <v>S</v>
      </c>
      <c r="DU21" s="117" t="str">
        <f t="shared" si="207"/>
        <v>S</v>
      </c>
      <c r="DV21" s="117" t="str">
        <f t="shared" si="207"/>
        <v>S</v>
      </c>
      <c r="DW21" s="117" t="str">
        <f t="shared" si="207"/>
        <v>S</v>
      </c>
      <c r="DX21" s="117" t="str">
        <f t="shared" si="207"/>
        <v>S</v>
      </c>
      <c r="DY21" s="117">
        <f t="shared" si="207"/>
        <v>29</v>
      </c>
      <c r="DZ21" s="117">
        <f t="shared" si="207"/>
        <v>0.25</v>
      </c>
      <c r="EA21" s="117">
        <f t="shared" si="207"/>
        <v>0.25</v>
      </c>
      <c r="EB21" s="117">
        <f t="shared" si="207"/>
        <v>3.9999999999999969</v>
      </c>
      <c r="EC21" s="117">
        <f t="shared" si="207"/>
        <v>1E-4</v>
      </c>
      <c r="ED21" s="117">
        <f t="shared" si="207"/>
        <v>1E-4</v>
      </c>
      <c r="EE21" s="117">
        <f t="shared" si="207"/>
        <v>0.25000000000000089</v>
      </c>
      <c r="EF21" s="117">
        <f t="shared" si="207"/>
        <v>1.5599999999999999E-2</v>
      </c>
      <c r="EG21" s="117" t="str">
        <f t="shared" ca="1" si="207"/>
        <v>U</v>
      </c>
      <c r="EH21" s="117" t="str">
        <f t="shared" ca="1" si="207"/>
        <v>S</v>
      </c>
      <c r="EI21" s="117" t="str">
        <f t="shared" ca="1" si="207"/>
        <v>U</v>
      </c>
      <c r="EJ21" s="117" t="str">
        <f t="shared" si="207"/>
        <v>S</v>
      </c>
      <c r="EK21" s="117" t="str">
        <f t="shared" ca="1" si="207"/>
        <v>U</v>
      </c>
      <c r="EL21" s="117" t="str">
        <f t="shared" ref="EL21:HR21" ca="1" si="208">EL$13</f>
        <v>S</v>
      </c>
      <c r="EM21" s="117">
        <f t="shared" si="208"/>
        <v>0.75</v>
      </c>
      <c r="EN21" s="117">
        <f t="shared" si="208"/>
        <v>0.19000000000423975</v>
      </c>
      <c r="EO21" s="117">
        <f t="shared" si="208"/>
        <v>0.62500000000001221</v>
      </c>
      <c r="EP21" s="117">
        <f t="shared" si="208"/>
        <v>1.5000000000000016</v>
      </c>
      <c r="EQ21" s="117">
        <f t="shared" si="208"/>
        <v>1.437500284744256</v>
      </c>
      <c r="ER21" s="117">
        <f t="shared" si="208"/>
        <v>0.5</v>
      </c>
      <c r="ES21" s="117" t="str">
        <f t="shared" si="208"/>
        <v>U</v>
      </c>
      <c r="ET21" s="117" t="str">
        <f t="shared" si="208"/>
        <v>U</v>
      </c>
      <c r="EU21" s="117" t="str">
        <f t="shared" si="208"/>
        <v>U</v>
      </c>
      <c r="EV21" s="117" t="str">
        <f t="shared" si="208"/>
        <v>U</v>
      </c>
      <c r="EW21" s="117" t="str">
        <f t="shared" si="208"/>
        <v>U</v>
      </c>
      <c r="EX21" s="117" t="str">
        <f ca="1">EX$13</f>
        <v>U</v>
      </c>
      <c r="EY21" s="117" t="str">
        <f ca="1">EY$13</f>
        <v>U</v>
      </c>
      <c r="EZ21" s="117" t="str">
        <f ca="1">EZ$13</f>
        <v>U</v>
      </c>
      <c r="FA21" s="117" t="str">
        <f t="shared" ca="1" si="208"/>
        <v>U</v>
      </c>
      <c r="FB21" s="117" t="str">
        <f t="shared" ca="1" si="208"/>
        <v>U</v>
      </c>
      <c r="FC21" s="117" t="str">
        <f t="shared" ca="1" si="208"/>
        <v>U</v>
      </c>
      <c r="FD21" s="117" t="str">
        <f t="shared" ca="1" si="208"/>
        <v>U</v>
      </c>
      <c r="FE21" s="117" t="str">
        <f t="shared" ca="1" si="208"/>
        <v>U</v>
      </c>
      <c r="FF21" s="117" t="str">
        <f t="shared" ca="1" si="208"/>
        <v>U</v>
      </c>
      <c r="FG21" s="117">
        <f t="shared" ca="1" si="208"/>
        <v>48</v>
      </c>
      <c r="FH21" s="117" t="str">
        <f t="shared" si="208"/>
        <v>U</v>
      </c>
      <c r="FI21" s="117" t="str">
        <f t="shared" si="208"/>
        <v>S</v>
      </c>
      <c r="FJ21" s="117" t="str">
        <f t="shared" si="208"/>
        <v>S</v>
      </c>
      <c r="FK21" s="117" t="str">
        <f t="shared" si="208"/>
        <v>S</v>
      </c>
      <c r="FL21" s="307" t="str">
        <f t="shared" si="208"/>
        <v>S</v>
      </c>
      <c r="FM21" s="117" t="str">
        <f ca="1">FM$13</f>
        <v>U</v>
      </c>
      <c r="FN21" s="117" t="str">
        <f ca="1">FN$13</f>
        <v>U</v>
      </c>
      <c r="FO21" s="117">
        <f ca="1">FO$13</f>
        <v>48</v>
      </c>
      <c r="FP21" s="117">
        <f ca="1">FP$13</f>
        <v>16</v>
      </c>
      <c r="FQ21" s="308" t="str">
        <f t="shared" si="208"/>
        <v>S</v>
      </c>
      <c r="FR21" s="117" t="str">
        <f t="shared" si="208"/>
        <v>S</v>
      </c>
      <c r="FS21" s="117" t="str">
        <f>FS$13</f>
        <v>S</v>
      </c>
      <c r="FT21" s="117" t="str">
        <f>FT$13</f>
        <v>S</v>
      </c>
      <c r="FU21" s="117" t="str">
        <f>FU$13</f>
        <v>S</v>
      </c>
      <c r="FV21" s="117" t="str">
        <f t="shared" ref="FV21:FW21" si="209">FV$13</f>
        <v>S</v>
      </c>
      <c r="FW21" s="117" t="str">
        <f t="shared" si="209"/>
        <v>S</v>
      </c>
      <c r="FX21" s="117" t="str">
        <f>FX$13</f>
        <v>U</v>
      </c>
      <c r="FY21" s="117" t="str">
        <f>FY$13</f>
        <v>U</v>
      </c>
      <c r="FZ21" s="117">
        <f t="shared" si="208"/>
        <v>27</v>
      </c>
      <c r="GA21" s="117">
        <f t="shared" si="208"/>
        <v>19</v>
      </c>
      <c r="GB21" s="117">
        <f t="shared" si="208"/>
        <v>10</v>
      </c>
      <c r="GC21" s="117">
        <f t="shared" si="208"/>
        <v>15.000000000000009</v>
      </c>
      <c r="GD21" s="117">
        <f t="shared" si="208"/>
        <v>1</v>
      </c>
      <c r="GE21" s="117">
        <f t="shared" si="208"/>
        <v>12.000000000000007</v>
      </c>
      <c r="GF21" s="117">
        <f t="shared" si="208"/>
        <v>1</v>
      </c>
      <c r="GG21" s="117">
        <f t="shared" si="208"/>
        <v>1</v>
      </c>
      <c r="GH21" s="117">
        <f t="shared" si="208"/>
        <v>12.000010000000007</v>
      </c>
      <c r="GI21" s="117" t="str">
        <f t="shared" ca="1" si="208"/>
        <v>U</v>
      </c>
      <c r="GJ21" s="117" t="str">
        <f t="shared" ca="1" si="208"/>
        <v>S</v>
      </c>
      <c r="GK21" s="117" t="str">
        <f t="shared" ca="1" si="208"/>
        <v>U</v>
      </c>
      <c r="GL21" s="117" t="str">
        <f t="shared" ca="1" si="208"/>
        <v>U</v>
      </c>
      <c r="GM21" s="117" t="str">
        <f t="shared" ca="1" si="208"/>
        <v>U</v>
      </c>
      <c r="GN21" s="117" t="str">
        <f t="shared" ca="1" si="208"/>
        <v>U</v>
      </c>
      <c r="GO21" s="117" t="str">
        <f t="shared" ca="1" si="208"/>
        <v>U</v>
      </c>
      <c r="GP21" s="117">
        <f t="shared" si="208"/>
        <v>1.0000000005663834E-5</v>
      </c>
      <c r="GQ21" s="117">
        <f t="shared" si="208"/>
        <v>5.9999999999999991</v>
      </c>
      <c r="GR21" s="117">
        <f t="shared" si="208"/>
        <v>1</v>
      </c>
      <c r="GS21" s="117">
        <f t="shared" si="208"/>
        <v>10</v>
      </c>
      <c r="GT21" s="117">
        <f t="shared" si="208"/>
        <v>15.000000000000009</v>
      </c>
      <c r="GU21" s="117">
        <f t="shared" si="208"/>
        <v>0</v>
      </c>
      <c r="GV21" s="117">
        <f t="shared" si="208"/>
        <v>6.0000000000000036</v>
      </c>
      <c r="GW21" s="117">
        <f t="shared" si="208"/>
        <v>1</v>
      </c>
      <c r="GX21" s="117">
        <f t="shared" si="208"/>
        <v>1</v>
      </c>
      <c r="GY21" s="117" t="str">
        <f t="shared" ca="1" si="208"/>
        <v>S</v>
      </c>
      <c r="GZ21" s="117">
        <f t="shared" si="208"/>
        <v>1.500010000000001</v>
      </c>
      <c r="HA21" s="117" t="str">
        <f t="shared" ca="1" si="208"/>
        <v>S</v>
      </c>
      <c r="HB21" s="117" t="str">
        <f t="shared" ca="1" si="208"/>
        <v>S</v>
      </c>
      <c r="HC21" s="117" t="str">
        <f t="shared" ca="1" si="208"/>
        <v>S</v>
      </c>
      <c r="HD21" s="117" t="str">
        <f t="shared" ca="1" si="208"/>
        <v>S</v>
      </c>
      <c r="HE21" s="117" t="str">
        <f t="shared" ca="1" si="208"/>
        <v>S</v>
      </c>
      <c r="HF21" s="208" t="str">
        <f>HF$13</f>
        <v>Yes - Right Side</v>
      </c>
      <c r="HG21" s="117" t="str">
        <f t="shared" si="208"/>
        <v>S</v>
      </c>
      <c r="HH21" s="117" t="str">
        <f t="shared" si="208"/>
        <v>U</v>
      </c>
      <c r="HI21" s="117" t="str">
        <f>HI$13</f>
        <v>U</v>
      </c>
      <c r="HJ21" s="117" t="str">
        <f t="shared" si="208"/>
        <v>S</v>
      </c>
      <c r="HK21" s="117" t="str">
        <f t="shared" si="208"/>
        <v>S</v>
      </c>
      <c r="HL21" s="117">
        <f t="shared" ca="1" si="208"/>
        <v>48</v>
      </c>
      <c r="HM21" s="117">
        <f t="shared" si="208"/>
        <v>3.9999999999999998E-6</v>
      </c>
      <c r="HN21" s="117" t="str">
        <f t="shared" si="208"/>
        <v>S</v>
      </c>
      <c r="HO21" s="117">
        <f t="shared" ca="1" si="208"/>
        <v>18</v>
      </c>
      <c r="HP21" s="117">
        <f t="shared" ca="1" si="208"/>
        <v>48.000003999999997</v>
      </c>
      <c r="HQ21" s="117" t="str">
        <f t="shared" si="208"/>
        <v>S</v>
      </c>
      <c r="HR21" s="117" t="str">
        <f t="shared" si="208"/>
        <v>S</v>
      </c>
      <c r="HS21" s="117">
        <f t="shared" ref="HS21:KR21" ca="1" si="210">HS$13</f>
        <v>359.99999600000001</v>
      </c>
      <c r="HT21" s="117">
        <f t="shared" ca="1" si="210"/>
        <v>23.999968000000024</v>
      </c>
      <c r="HU21" s="117">
        <f t="shared" ca="1" si="210"/>
        <v>23.999968000000024</v>
      </c>
      <c r="HV21" s="117">
        <f t="shared" ca="1" si="210"/>
        <v>3.9999373887056513</v>
      </c>
      <c r="HW21" s="117">
        <f t="shared" ca="1" si="210"/>
        <v>24</v>
      </c>
      <c r="HX21" s="117">
        <f t="shared" si="210"/>
        <v>388.8125</v>
      </c>
      <c r="HY21" s="117">
        <f t="shared" ca="1" si="210"/>
        <v>360.00000399999999</v>
      </c>
      <c r="HZ21" s="117">
        <f ca="1">HZ$13</f>
        <v>3.9999373887056513</v>
      </c>
      <c r="IA21" s="117">
        <f ca="1">IA$13</f>
        <v>24.000035999999973</v>
      </c>
      <c r="IB21" s="117" t="str">
        <f t="shared" si="210"/>
        <v>S</v>
      </c>
      <c r="IC21" s="117" t="str">
        <f t="shared" si="210"/>
        <v>S</v>
      </c>
      <c r="ID21" s="117">
        <f t="shared" ca="1" si="210"/>
        <v>27.999905388705674</v>
      </c>
      <c r="IE21" s="117" t="str">
        <f t="shared" si="210"/>
        <v>S</v>
      </c>
      <c r="IF21" s="117" t="str">
        <f t="shared" si="210"/>
        <v>S</v>
      </c>
      <c r="IG21" s="117" t="str">
        <f t="shared" si="210"/>
        <v>S</v>
      </c>
      <c r="IH21" s="117" t="str">
        <f t="shared" si="210"/>
        <v>S</v>
      </c>
      <c r="II21" s="117" t="str">
        <f t="shared" si="210"/>
        <v>S</v>
      </c>
      <c r="IJ21" s="117">
        <f t="shared" ca="1" si="210"/>
        <v>23.999968000000024</v>
      </c>
      <c r="IK21" s="117">
        <f t="shared" ca="1" si="210"/>
        <v>3.9999373887056513</v>
      </c>
      <c r="IL21" s="117" t="str">
        <f t="shared" si="210"/>
        <v>S</v>
      </c>
      <c r="IM21" s="117" t="str">
        <f t="shared" si="210"/>
        <v>S</v>
      </c>
      <c r="IN21" s="117" t="str">
        <f t="shared" si="210"/>
        <v>S</v>
      </c>
      <c r="IO21" s="117" t="str">
        <f t="shared" si="210"/>
        <v>S</v>
      </c>
      <c r="IP21" s="117" t="str">
        <f t="shared" si="210"/>
        <v>S</v>
      </c>
      <c r="IQ21" s="117" t="str">
        <f t="shared" si="210"/>
        <v>S</v>
      </c>
      <c r="IR21" s="117" t="str">
        <f t="shared" si="210"/>
        <v>S</v>
      </c>
      <c r="IS21" s="117" t="str">
        <f t="shared" si="210"/>
        <v>S</v>
      </c>
      <c r="IT21" s="117" t="str">
        <f t="shared" si="210"/>
        <v>S</v>
      </c>
      <c r="IU21" s="117" t="str">
        <f t="shared" si="210"/>
        <v>S</v>
      </c>
      <c r="IV21" s="117" t="str">
        <f t="shared" si="210"/>
        <v>S</v>
      </c>
      <c r="IW21" s="117" t="str">
        <f t="shared" si="210"/>
        <v>S</v>
      </c>
      <c r="IX21" s="117" t="str">
        <f t="shared" si="210"/>
        <v>S</v>
      </c>
      <c r="IY21" s="117">
        <f t="shared" ca="1" si="210"/>
        <v>1</v>
      </c>
      <c r="IZ21" s="117">
        <f t="shared" ca="1" si="210"/>
        <v>3</v>
      </c>
      <c r="JA21" s="117">
        <f t="shared" ca="1" si="210"/>
        <v>9.9999999999999995E-7</v>
      </c>
      <c r="JB21" s="117">
        <f t="shared" ca="1" si="210"/>
        <v>1.0000000000000001E-5</v>
      </c>
      <c r="JC21" s="117">
        <f t="shared" ca="1" si="210"/>
        <v>1.0000000000000001E-5</v>
      </c>
      <c r="JD21" s="117" t="str">
        <f t="shared" ca="1" si="210"/>
        <v>S</v>
      </c>
      <c r="JE21" s="117" t="str">
        <f t="shared" ca="1" si="210"/>
        <v>S</v>
      </c>
      <c r="JF21" s="117" t="str">
        <f t="shared" ca="1" si="210"/>
        <v>S</v>
      </c>
      <c r="JG21" s="117" t="str">
        <f t="shared" ca="1" si="210"/>
        <v>S</v>
      </c>
      <c r="JH21" s="117" t="str">
        <f t="shared" ca="1" si="210"/>
        <v>S</v>
      </c>
      <c r="JI21" s="117">
        <f t="shared" si="210"/>
        <v>0.1046</v>
      </c>
      <c r="JJ21" s="199">
        <f>JJ$13</f>
        <v>0.39290028474001548</v>
      </c>
      <c r="JK21" s="117">
        <f t="shared" si="210"/>
        <v>0.51790028474001548</v>
      </c>
      <c r="JL21" s="117">
        <f t="shared" si="210"/>
        <v>0.5</v>
      </c>
      <c r="JM21" s="117">
        <f t="shared" si="210"/>
        <v>0.375</v>
      </c>
      <c r="JN21" s="117">
        <f t="shared" si="210"/>
        <v>0.375</v>
      </c>
      <c r="JO21" s="117">
        <f t="shared" si="210"/>
        <v>11.25</v>
      </c>
      <c r="JP21" s="117" t="str">
        <f>JP$13</f>
        <v>S</v>
      </c>
      <c r="JQ21" s="117" t="str">
        <f>JQ$13</f>
        <v>S</v>
      </c>
      <c r="JR21" s="117" t="str">
        <f>JR$13</f>
        <v>S</v>
      </c>
      <c r="JS21" s="117" t="str">
        <f t="shared" si="210"/>
        <v>U</v>
      </c>
      <c r="JT21" s="117" t="str">
        <f t="shared" si="210"/>
        <v>U</v>
      </c>
      <c r="JU21" s="117" t="str">
        <f t="shared" si="210"/>
        <v>S</v>
      </c>
      <c r="JV21" s="117" t="str">
        <f t="shared" si="210"/>
        <v>S</v>
      </c>
      <c r="JW21" s="117" t="str">
        <f t="shared" si="210"/>
        <v>S</v>
      </c>
      <c r="JX21" s="117" t="str">
        <f t="shared" si="210"/>
        <v>S</v>
      </c>
      <c r="JY21" s="117" t="str">
        <f t="shared" si="210"/>
        <v>S</v>
      </c>
      <c r="JZ21" s="117" t="str">
        <f t="shared" si="210"/>
        <v>S</v>
      </c>
      <c r="KA21" s="117" t="str">
        <f t="shared" si="210"/>
        <v>S</v>
      </c>
      <c r="KB21" s="117" t="str">
        <f t="shared" si="210"/>
        <v>S</v>
      </c>
      <c r="KC21" s="117" t="str">
        <f t="shared" si="210"/>
        <v>S</v>
      </c>
      <c r="KD21" s="117" t="str">
        <f t="shared" si="210"/>
        <v>S</v>
      </c>
      <c r="KE21" s="117" t="str">
        <f t="shared" si="210"/>
        <v>S</v>
      </c>
      <c r="KF21" s="117" t="str">
        <f t="shared" si="210"/>
        <v>S</v>
      </c>
      <c r="KG21" s="117" t="str">
        <f t="shared" si="210"/>
        <v>S</v>
      </c>
      <c r="KH21" s="117" t="str">
        <f t="shared" si="210"/>
        <v>S</v>
      </c>
      <c r="KI21" s="117" t="str">
        <f t="shared" si="210"/>
        <v>S</v>
      </c>
      <c r="KJ21" s="117" t="str">
        <f t="shared" si="210"/>
        <v>S</v>
      </c>
      <c r="KK21" s="117" t="str">
        <f t="shared" si="210"/>
        <v>S</v>
      </c>
      <c r="KL21" s="117" t="str">
        <f t="shared" si="210"/>
        <v>S</v>
      </c>
      <c r="KM21" s="117" t="str">
        <f t="shared" si="210"/>
        <v>S</v>
      </c>
      <c r="KN21" s="117">
        <f t="shared" si="210"/>
        <v>1.0000000000000001E-5</v>
      </c>
      <c r="KO21" s="117" t="str">
        <f t="shared" si="210"/>
        <v>S</v>
      </c>
      <c r="KP21" s="117" t="str">
        <f t="shared" si="210"/>
        <v>S</v>
      </c>
      <c r="KQ21" s="117" t="str">
        <f t="shared" si="210"/>
        <v>S</v>
      </c>
      <c r="KR21" s="117" t="str">
        <f t="shared" si="210"/>
        <v>S</v>
      </c>
      <c r="KS21" s="117" t="str">
        <f t="shared" ref="KS21:NF21" si="211">KS$13</f>
        <v>S</v>
      </c>
      <c r="KT21" s="117" t="str">
        <f t="shared" si="211"/>
        <v>S</v>
      </c>
      <c r="KU21" s="117" t="str">
        <f t="shared" si="211"/>
        <v>S</v>
      </c>
      <c r="KV21" s="117" t="str">
        <f t="shared" si="211"/>
        <v>S</v>
      </c>
      <c r="KW21" s="117">
        <f t="shared" si="211"/>
        <v>2</v>
      </c>
      <c r="KX21" s="117">
        <f t="shared" si="211"/>
        <v>3.0000000000000004</v>
      </c>
      <c r="KY21" s="117">
        <f t="shared" si="211"/>
        <v>0.25</v>
      </c>
      <c r="KZ21" s="117">
        <f t="shared" si="211"/>
        <v>0.3125</v>
      </c>
      <c r="LA21" s="117">
        <f t="shared" si="211"/>
        <v>0.25</v>
      </c>
      <c r="LB21" s="117">
        <f t="shared" si="211"/>
        <v>2.0000000000000001E-4</v>
      </c>
      <c r="LC21" s="117" t="str">
        <f t="shared" si="211"/>
        <v>S</v>
      </c>
      <c r="LD21" s="117" t="str">
        <f t="shared" si="211"/>
        <v>S</v>
      </c>
      <c r="LE21" s="117" t="str">
        <f t="shared" si="211"/>
        <v>S</v>
      </c>
      <c r="LF21" s="117" t="str">
        <f t="shared" si="211"/>
        <v>S</v>
      </c>
      <c r="LG21" s="117" t="str">
        <f t="shared" si="211"/>
        <v>S</v>
      </c>
      <c r="LH21" s="117" t="str">
        <f t="shared" si="211"/>
        <v>S</v>
      </c>
      <c r="LI21" s="117" t="str">
        <f t="shared" si="211"/>
        <v>S</v>
      </c>
      <c r="LJ21" s="117" t="str">
        <f t="shared" si="211"/>
        <v>S</v>
      </c>
      <c r="LK21" s="117" t="str">
        <f t="shared" si="211"/>
        <v>S</v>
      </c>
      <c r="LL21" s="117" t="str">
        <f t="shared" si="211"/>
        <v>S</v>
      </c>
      <c r="LM21" s="117" t="str">
        <f t="shared" si="211"/>
        <v>S</v>
      </c>
      <c r="LN21" s="117" t="str">
        <f t="shared" si="211"/>
        <v>S</v>
      </c>
      <c r="LO21" s="117" t="str">
        <f t="shared" si="211"/>
        <v>S</v>
      </c>
      <c r="LP21" s="117" t="str">
        <f t="shared" si="211"/>
        <v>S</v>
      </c>
      <c r="LQ21" s="117">
        <f t="shared" si="211"/>
        <v>3.0000000000000004</v>
      </c>
      <c r="LR21" s="117">
        <f t="shared" si="211"/>
        <v>0.16999999999999998</v>
      </c>
      <c r="LS21" s="117">
        <f t="shared" si="211"/>
        <v>1.41</v>
      </c>
      <c r="LT21" s="117">
        <f t="shared" si="211"/>
        <v>0.27300000000000002</v>
      </c>
      <c r="LU21" s="117">
        <f t="shared" si="211"/>
        <v>0.27</v>
      </c>
      <c r="LV21" s="117">
        <f t="shared" si="211"/>
        <v>0.1</v>
      </c>
      <c r="LW21" s="117">
        <f t="shared" si="211"/>
        <v>9.4629999999999992</v>
      </c>
      <c r="LX21" s="117">
        <f t="shared" si="211"/>
        <v>8.4947435596928661E-2</v>
      </c>
      <c r="LY21" s="117">
        <f t="shared" si="211"/>
        <v>4.0999999999999996</v>
      </c>
      <c r="LZ21" s="117" t="str">
        <f t="shared" si="211"/>
        <v>S</v>
      </c>
      <c r="MA21" s="117" t="str">
        <f t="shared" si="211"/>
        <v>S</v>
      </c>
      <c r="MB21" s="117" t="str">
        <f t="shared" si="211"/>
        <v>S</v>
      </c>
      <c r="MC21" s="117" t="str">
        <f t="shared" si="211"/>
        <v>S</v>
      </c>
      <c r="MD21" s="117" t="str">
        <f t="shared" si="211"/>
        <v>S</v>
      </c>
      <c r="ME21" s="117" t="str">
        <f t="shared" si="211"/>
        <v>S</v>
      </c>
      <c r="MF21" s="117" t="str">
        <f t="shared" si="211"/>
        <v>S</v>
      </c>
      <c r="MG21" s="117" t="str">
        <f t="shared" si="211"/>
        <v>S</v>
      </c>
      <c r="MH21" s="117" t="str">
        <f t="shared" si="211"/>
        <v>S</v>
      </c>
      <c r="MI21" s="117" t="str">
        <f t="shared" si="211"/>
        <v>S</v>
      </c>
      <c r="MJ21" s="117" t="str">
        <f>MJ$13</f>
        <v>S</v>
      </c>
      <c r="MK21" s="117" t="str">
        <f>MK$13</f>
        <v>S</v>
      </c>
      <c r="ML21" s="117" t="str">
        <f>ML$13</f>
        <v>S</v>
      </c>
      <c r="MM21" s="117" t="str">
        <f t="shared" si="211"/>
        <v>S</v>
      </c>
      <c r="MN21" s="117" t="str">
        <f t="shared" si="211"/>
        <v>S</v>
      </c>
      <c r="MO21" s="117" t="str">
        <f t="shared" si="211"/>
        <v>S</v>
      </c>
      <c r="MP21" s="117" t="str">
        <f t="shared" si="211"/>
        <v>S</v>
      </c>
      <c r="MQ21" s="117" t="str">
        <f t="shared" si="211"/>
        <v>S</v>
      </c>
      <c r="MR21" s="117" t="str">
        <f t="shared" si="211"/>
        <v>S</v>
      </c>
      <c r="MS21" s="117" t="str">
        <f t="shared" si="211"/>
        <v>S</v>
      </c>
      <c r="MT21" s="117" t="str">
        <f t="shared" si="211"/>
        <v>S</v>
      </c>
      <c r="MU21" s="117" t="str">
        <f t="shared" si="211"/>
        <v>S</v>
      </c>
      <c r="MV21" s="117" t="str">
        <f t="shared" si="211"/>
        <v>S</v>
      </c>
      <c r="MW21" s="117" t="str">
        <f t="shared" si="211"/>
        <v>S</v>
      </c>
      <c r="MX21" s="117" t="str">
        <f t="shared" si="211"/>
        <v>S</v>
      </c>
      <c r="MY21" s="117" t="str">
        <f t="shared" si="211"/>
        <v>S</v>
      </c>
      <c r="MZ21" s="117" t="str">
        <f t="shared" si="211"/>
        <v>S</v>
      </c>
      <c r="NA21" s="117" t="str">
        <f t="shared" si="211"/>
        <v>S</v>
      </c>
      <c r="NB21" s="117" t="str">
        <f t="shared" si="211"/>
        <v>S</v>
      </c>
      <c r="NC21" s="117" t="str">
        <f t="shared" si="211"/>
        <v>S</v>
      </c>
      <c r="ND21" s="117" t="str">
        <f t="shared" si="211"/>
        <v>S</v>
      </c>
      <c r="NE21" s="117">
        <f t="shared" si="211"/>
        <v>0</v>
      </c>
      <c r="NF21" s="117">
        <f t="shared" si="211"/>
        <v>1.0000000000000001E-5</v>
      </c>
      <c r="NG21" s="117" t="str">
        <f t="shared" ref="NG21:QH21" si="212">NG$13</f>
        <v>S</v>
      </c>
      <c r="NH21" s="117" t="str">
        <f t="shared" si="212"/>
        <v>S</v>
      </c>
      <c r="NI21" s="117" t="str">
        <f t="shared" si="212"/>
        <v>S</v>
      </c>
      <c r="NJ21" s="117" t="str">
        <f t="shared" si="212"/>
        <v>S</v>
      </c>
      <c r="NK21" s="117" t="str">
        <f t="shared" si="212"/>
        <v>S</v>
      </c>
      <c r="NL21" s="117" t="str">
        <f t="shared" si="212"/>
        <v>S</v>
      </c>
      <c r="NM21" s="117" t="str">
        <f t="shared" si="212"/>
        <v>S</v>
      </c>
      <c r="NN21" s="117" t="str">
        <f t="shared" si="212"/>
        <v>S</v>
      </c>
      <c r="NO21" s="117">
        <f t="shared" si="212"/>
        <v>4</v>
      </c>
      <c r="NP21" s="117">
        <f t="shared" si="212"/>
        <v>6.0000000000000009</v>
      </c>
      <c r="NQ21" s="117">
        <f t="shared" si="212"/>
        <v>0.625</v>
      </c>
      <c r="NR21" s="117">
        <f t="shared" si="212"/>
        <v>0.5</v>
      </c>
      <c r="NS21" s="117">
        <f t="shared" si="212"/>
        <v>0.5</v>
      </c>
      <c r="NT21" s="117">
        <f t="shared" si="212"/>
        <v>0.12520000000000001</v>
      </c>
      <c r="NU21" s="117" t="str">
        <f t="shared" si="212"/>
        <v>S</v>
      </c>
      <c r="NV21" s="117" t="str">
        <f t="shared" si="212"/>
        <v>S</v>
      </c>
      <c r="NW21" s="117" t="str">
        <f t="shared" si="212"/>
        <v>S</v>
      </c>
      <c r="NX21" s="117" t="str">
        <f t="shared" si="212"/>
        <v>S</v>
      </c>
      <c r="NY21" s="117" t="str">
        <f t="shared" si="212"/>
        <v>S</v>
      </c>
      <c r="NZ21" s="117" t="str">
        <f t="shared" si="212"/>
        <v>S</v>
      </c>
      <c r="OA21" s="117" t="str">
        <f t="shared" si="212"/>
        <v>S</v>
      </c>
      <c r="OB21" s="117" t="str">
        <f t="shared" si="212"/>
        <v>S</v>
      </c>
      <c r="OC21" s="117" t="str">
        <f t="shared" si="212"/>
        <v>S</v>
      </c>
      <c r="OD21" s="117" t="str">
        <f t="shared" si="212"/>
        <v>S</v>
      </c>
      <c r="OE21" s="117">
        <f t="shared" si="212"/>
        <v>3.0000000000000004</v>
      </c>
      <c r="OF21" s="117">
        <f t="shared" si="212"/>
        <v>0.16999999999999998</v>
      </c>
      <c r="OG21" s="117">
        <f t="shared" si="212"/>
        <v>1.41</v>
      </c>
      <c r="OH21" s="117">
        <f t="shared" si="212"/>
        <v>0.27300000000000002</v>
      </c>
      <c r="OI21" s="117">
        <f t="shared" si="212"/>
        <v>0.27</v>
      </c>
      <c r="OJ21" s="117">
        <f t="shared" si="212"/>
        <v>0.1</v>
      </c>
      <c r="OK21" s="117">
        <f t="shared" si="212"/>
        <v>9.4629999999999992</v>
      </c>
      <c r="OL21" s="117">
        <f t="shared" si="212"/>
        <v>8.4947435596928661E-2</v>
      </c>
      <c r="OM21" s="117">
        <f t="shared" si="212"/>
        <v>4.0999999999999996</v>
      </c>
      <c r="ON21" s="117" t="str">
        <f t="shared" si="212"/>
        <v>S</v>
      </c>
      <c r="OO21" s="117" t="str">
        <f t="shared" si="212"/>
        <v>S</v>
      </c>
      <c r="OP21" s="117" t="str">
        <f t="shared" si="212"/>
        <v>S</v>
      </c>
      <c r="OQ21" s="117" t="str">
        <f t="shared" si="212"/>
        <v>S</v>
      </c>
      <c r="OR21" s="117" t="str">
        <f t="shared" si="212"/>
        <v>S</v>
      </c>
      <c r="OS21" s="117" t="str">
        <f t="shared" si="212"/>
        <v>S</v>
      </c>
      <c r="OT21" s="117" t="str">
        <f t="shared" si="212"/>
        <v>S</v>
      </c>
      <c r="OU21" s="117">
        <f t="shared" si="212"/>
        <v>22.352885682963269</v>
      </c>
      <c r="OV21" s="117">
        <f t="shared" si="212"/>
        <v>1.5625</v>
      </c>
      <c r="OW21" s="117">
        <f t="shared" si="212"/>
        <v>2</v>
      </c>
      <c r="OX21" s="117">
        <f t="shared" ca="1" si="212"/>
        <v>1.0000000000000001E-5</v>
      </c>
      <c r="OY21" s="117" t="str">
        <f t="shared" si="212"/>
        <v>S</v>
      </c>
      <c r="OZ21" s="117" t="str">
        <f t="shared" si="212"/>
        <v>S</v>
      </c>
      <c r="PA21" s="117" t="str">
        <f t="shared" si="212"/>
        <v>S</v>
      </c>
      <c r="PB21" s="117" t="str">
        <f t="shared" si="212"/>
        <v>S</v>
      </c>
      <c r="PC21" s="117">
        <f t="shared" si="212"/>
        <v>1.0000006859324079E-6</v>
      </c>
      <c r="PD21" s="117">
        <f t="shared" si="212"/>
        <v>1.0000000313816476E-6</v>
      </c>
      <c r="PE21" s="117">
        <f>PE$13</f>
        <v>9.9999936016657661E-7</v>
      </c>
      <c r="PF21" s="117">
        <f>PF$13</f>
        <v>9.9999997677932015E-7</v>
      </c>
      <c r="PG21" s="117" t="str">
        <f t="shared" si="212"/>
        <v>S</v>
      </c>
      <c r="PH21" s="117" t="str">
        <f t="shared" si="212"/>
        <v>S</v>
      </c>
      <c r="PI21" s="117" t="str">
        <f t="shared" si="212"/>
        <v>S</v>
      </c>
      <c r="PJ21" s="117" t="str">
        <f t="shared" si="212"/>
        <v>S</v>
      </c>
      <c r="PK21" s="117" t="str">
        <f t="shared" si="212"/>
        <v>Teflon, 2.5 x 2.5</v>
      </c>
      <c r="PL21" s="117" t="str">
        <f t="shared" si="212"/>
        <v>Teflon, 2.5 x 2.5</v>
      </c>
      <c r="PM21" s="117">
        <f t="shared" si="212"/>
        <v>0</v>
      </c>
      <c r="PN21" s="117" t="str">
        <f t="shared" si="212"/>
        <v>Teflon, 2.5 x 2.5</v>
      </c>
      <c r="PO21" s="117" t="str">
        <f t="shared" si="212"/>
        <v>Teflon, 2.5 x 2.5</v>
      </c>
      <c r="PP21" s="117">
        <f t="shared" si="212"/>
        <v>0</v>
      </c>
      <c r="PQ21" s="117">
        <f t="shared" si="212"/>
        <v>0.125</v>
      </c>
      <c r="PR21" s="117">
        <f t="shared" si="212"/>
        <v>0.125</v>
      </c>
      <c r="PS21" s="117">
        <f t="shared" si="212"/>
        <v>0.125</v>
      </c>
      <c r="PT21" s="117">
        <f t="shared" si="212"/>
        <v>0.125</v>
      </c>
      <c r="PU21" s="117" t="str">
        <f t="shared" si="212"/>
        <v>S</v>
      </c>
      <c r="PV21" s="117" t="str">
        <f t="shared" si="212"/>
        <v>S</v>
      </c>
      <c r="PW21" s="117" t="str">
        <f t="shared" si="212"/>
        <v>S</v>
      </c>
      <c r="PX21" s="117" t="str">
        <f t="shared" si="212"/>
        <v>S</v>
      </c>
      <c r="PY21" s="117" t="str">
        <f t="shared" si="212"/>
        <v>S</v>
      </c>
      <c r="PZ21" s="117" t="str">
        <f t="shared" si="212"/>
        <v>S</v>
      </c>
      <c r="QA21" s="117" t="str">
        <f t="shared" si="212"/>
        <v>S</v>
      </c>
      <c r="QB21" s="117" t="str">
        <f t="shared" si="212"/>
        <v>S</v>
      </c>
      <c r="QC21" s="117" t="str">
        <f t="shared" si="212"/>
        <v>S</v>
      </c>
      <c r="QD21" s="117" t="str">
        <f t="shared" si="212"/>
        <v>S</v>
      </c>
      <c r="QE21" s="117" t="str">
        <f t="shared" si="212"/>
        <v>S</v>
      </c>
      <c r="QF21" s="117">
        <f t="shared" ca="1" si="212"/>
        <v>3</v>
      </c>
      <c r="QG21" s="117">
        <f t="shared" ca="1" si="212"/>
        <v>1.5</v>
      </c>
      <c r="QH21" s="117">
        <f t="shared" ca="1" si="212"/>
        <v>1</v>
      </c>
      <c r="QI21" s="117">
        <f t="shared" ref="QI21:TJ21" ca="1" si="213">QI$13</f>
        <v>3</v>
      </c>
      <c r="QJ21" s="117" t="str">
        <f t="shared" ca="1" si="213"/>
        <v>S</v>
      </c>
      <c r="QK21" s="117" t="str">
        <f t="shared" si="213"/>
        <v>S</v>
      </c>
      <c r="QL21" s="117" t="str">
        <f t="shared" si="213"/>
        <v>S</v>
      </c>
      <c r="QM21" s="117" t="str">
        <f t="shared" si="213"/>
        <v>S</v>
      </c>
      <c r="QN21" s="117" t="str">
        <f t="shared" si="213"/>
        <v>S</v>
      </c>
      <c r="QO21" s="117" t="str">
        <f t="shared" si="213"/>
        <v>S</v>
      </c>
      <c r="QP21" s="117" t="str">
        <f t="shared" si="213"/>
        <v>S</v>
      </c>
      <c r="QQ21" s="117" t="str">
        <f t="shared" si="213"/>
        <v>S</v>
      </c>
      <c r="QR21" s="117" t="str">
        <f t="shared" si="213"/>
        <v>S</v>
      </c>
      <c r="QS21" s="117" t="str">
        <f t="shared" si="213"/>
        <v>S</v>
      </c>
      <c r="QT21" s="117" t="s">
        <v>1157</v>
      </c>
      <c r="QU21" s="117" t="str">
        <f t="shared" si="213"/>
        <v>S</v>
      </c>
      <c r="QV21" s="117" t="str">
        <f t="shared" si="213"/>
        <v>S</v>
      </c>
      <c r="QW21" s="117" t="str">
        <f t="shared" si="213"/>
        <v>S</v>
      </c>
      <c r="QX21" s="117" t="str">
        <f t="shared" si="213"/>
        <v>S</v>
      </c>
      <c r="QY21" s="117" t="str">
        <f t="shared" si="213"/>
        <v>S</v>
      </c>
      <c r="QZ21" s="117" t="str">
        <f t="shared" si="213"/>
        <v>S</v>
      </c>
      <c r="RA21" s="117" t="str">
        <f t="shared" si="213"/>
        <v>S</v>
      </c>
      <c r="RB21" s="117" t="str">
        <f t="shared" si="213"/>
        <v>S</v>
      </c>
      <c r="RC21" s="117" t="str">
        <f t="shared" si="213"/>
        <v>S</v>
      </c>
      <c r="RD21" s="117">
        <f t="shared" si="213"/>
        <v>2</v>
      </c>
      <c r="RE21" s="117">
        <f t="shared" si="213"/>
        <v>3.0000000000000004</v>
      </c>
      <c r="RF21" s="117">
        <f t="shared" si="213"/>
        <v>0.18750000000000003</v>
      </c>
      <c r="RG21" s="117">
        <f t="shared" si="213"/>
        <v>0.3125</v>
      </c>
      <c r="RH21" s="117">
        <f t="shared" si="213"/>
        <v>0.18750000000000003</v>
      </c>
      <c r="RI21" s="117">
        <f t="shared" si="213"/>
        <v>2.0000000000000001E-4</v>
      </c>
      <c r="RJ21" s="117" t="str">
        <f t="shared" si="213"/>
        <v>S</v>
      </c>
      <c r="RK21" s="117" t="str">
        <f t="shared" si="213"/>
        <v>S</v>
      </c>
      <c r="RL21" s="117" t="str">
        <f t="shared" si="213"/>
        <v>S</v>
      </c>
      <c r="RM21" s="117" t="str">
        <f t="shared" si="213"/>
        <v>S</v>
      </c>
      <c r="RN21" s="117" t="str">
        <f t="shared" si="213"/>
        <v>S</v>
      </c>
      <c r="RO21" s="117" t="str">
        <f t="shared" si="213"/>
        <v>S</v>
      </c>
      <c r="RP21" s="117" t="str">
        <f t="shared" si="213"/>
        <v>S</v>
      </c>
      <c r="RQ21" s="117" t="str">
        <f t="shared" si="213"/>
        <v>S</v>
      </c>
      <c r="RR21" s="117" t="str">
        <f t="shared" si="213"/>
        <v>S</v>
      </c>
      <c r="RS21" s="117" t="str">
        <f t="shared" si="213"/>
        <v>S</v>
      </c>
      <c r="RT21" s="117" t="str">
        <f t="shared" si="213"/>
        <v>S</v>
      </c>
      <c r="RU21" s="117" t="str">
        <f t="shared" si="213"/>
        <v>S</v>
      </c>
      <c r="RV21" s="117" t="str">
        <f t="shared" si="213"/>
        <v>S</v>
      </c>
      <c r="RW21" s="117" t="str">
        <f t="shared" si="213"/>
        <v>S</v>
      </c>
      <c r="RX21" s="117" t="str">
        <f t="shared" si="213"/>
        <v>S</v>
      </c>
      <c r="RY21" s="117" t="str">
        <f t="shared" si="213"/>
        <v>S</v>
      </c>
      <c r="RZ21" s="117" t="str">
        <f t="shared" si="213"/>
        <v>S</v>
      </c>
      <c r="SA21" s="117">
        <f t="shared" si="213"/>
        <v>3.0000000000000004</v>
      </c>
      <c r="SB21" s="117">
        <f t="shared" si="213"/>
        <v>0.16999999999999998</v>
      </c>
      <c r="SC21" s="117">
        <f t="shared" si="213"/>
        <v>1.41</v>
      </c>
      <c r="SD21" s="117">
        <f t="shared" si="213"/>
        <v>0.27300000000000002</v>
      </c>
      <c r="SE21" s="117">
        <f t="shared" si="213"/>
        <v>0.27</v>
      </c>
      <c r="SF21" s="117">
        <f t="shared" si="213"/>
        <v>0.1</v>
      </c>
      <c r="SG21" s="117">
        <f t="shared" si="213"/>
        <v>9.4629999999999992</v>
      </c>
      <c r="SH21" s="117">
        <f t="shared" si="213"/>
        <v>8.4947435596928661E-2</v>
      </c>
      <c r="SI21" s="117">
        <f t="shared" si="213"/>
        <v>4.0999999999999996</v>
      </c>
      <c r="SJ21" s="117" t="str">
        <f t="shared" si="213"/>
        <v>S</v>
      </c>
      <c r="SK21" s="117" t="str">
        <f t="shared" si="213"/>
        <v>S</v>
      </c>
      <c r="SL21" s="117" t="str">
        <f t="shared" si="213"/>
        <v>S</v>
      </c>
      <c r="SM21" s="117" t="str">
        <f t="shared" si="213"/>
        <v>S</v>
      </c>
      <c r="SN21" s="117" t="str">
        <f t="shared" si="213"/>
        <v>S</v>
      </c>
      <c r="SO21" s="117" t="str">
        <f t="shared" si="213"/>
        <v>S</v>
      </c>
      <c r="SP21" s="117" t="str">
        <f t="shared" si="213"/>
        <v>S</v>
      </c>
      <c r="SQ21" s="117" t="str">
        <f t="shared" si="213"/>
        <v>S</v>
      </c>
      <c r="SR21" s="117" t="str">
        <f>SR$13</f>
        <v>S</v>
      </c>
      <c r="SS21" s="117">
        <f t="shared" ref="SS21:SV21" si="214">SS$13</f>
        <v>1.5000000000000002</v>
      </c>
      <c r="ST21" s="117">
        <f t="shared" si="214"/>
        <v>1.5000000000000002</v>
      </c>
      <c r="SU21" s="117">
        <f t="shared" si="214"/>
        <v>0.5</v>
      </c>
      <c r="SV21" s="117">
        <f t="shared" si="214"/>
        <v>0.5</v>
      </c>
      <c r="SW21" s="117" t="str">
        <f t="shared" si="213"/>
        <v>S</v>
      </c>
      <c r="SX21" s="117" t="str">
        <f t="shared" si="213"/>
        <v>S</v>
      </c>
      <c r="SY21" s="117" t="str">
        <f t="shared" si="213"/>
        <v>S</v>
      </c>
      <c r="SZ21" s="117" t="str">
        <f t="shared" si="213"/>
        <v>S</v>
      </c>
      <c r="TA21" s="117" t="str">
        <f t="shared" si="213"/>
        <v>S</v>
      </c>
      <c r="TB21" s="117" t="str">
        <f t="shared" si="213"/>
        <v>S</v>
      </c>
      <c r="TC21" s="117" t="str">
        <f t="shared" si="213"/>
        <v>S</v>
      </c>
      <c r="TD21" s="117" t="str">
        <f t="shared" si="213"/>
        <v>S</v>
      </c>
      <c r="TE21" s="117" t="str">
        <f t="shared" si="213"/>
        <v>S</v>
      </c>
      <c r="TF21" s="117">
        <f t="shared" si="213"/>
        <v>3</v>
      </c>
      <c r="TG21" s="117">
        <f t="shared" si="213"/>
        <v>5.7</v>
      </c>
      <c r="TH21" s="117">
        <f t="shared" si="213"/>
        <v>3.0000000000000004</v>
      </c>
      <c r="TI21" s="117">
        <f t="shared" si="213"/>
        <v>0.16999999999999998</v>
      </c>
      <c r="TJ21" s="117">
        <f t="shared" si="213"/>
        <v>2.33</v>
      </c>
      <c r="TK21" s="117">
        <f t="shared" ref="TK21:VT21" si="215">TK$13</f>
        <v>0.26</v>
      </c>
      <c r="TL21" s="117">
        <f t="shared" si="215"/>
        <v>0.27</v>
      </c>
      <c r="TM21" s="117">
        <f t="shared" si="215"/>
        <v>0.1</v>
      </c>
      <c r="TN21" s="117">
        <f t="shared" si="215"/>
        <v>9.4630000000000312</v>
      </c>
      <c r="TO21" s="117">
        <f t="shared" si="215"/>
        <v>1.8425437273624747</v>
      </c>
      <c r="TP21" s="117" t="str">
        <f t="shared" si="215"/>
        <v>S</v>
      </c>
      <c r="TQ21" s="117" t="str">
        <f t="shared" si="215"/>
        <v>S</v>
      </c>
      <c r="TR21" s="117" t="str">
        <f t="shared" si="215"/>
        <v>S</v>
      </c>
      <c r="TS21" s="117" t="str">
        <f t="shared" si="215"/>
        <v>S</v>
      </c>
      <c r="TT21" s="117" t="str">
        <f t="shared" si="215"/>
        <v>S</v>
      </c>
      <c r="TU21" s="117" t="str">
        <f t="shared" si="215"/>
        <v>S</v>
      </c>
      <c r="TV21" s="117" t="str">
        <f t="shared" si="215"/>
        <v>S</v>
      </c>
      <c r="TW21" s="117" t="str">
        <f t="shared" si="215"/>
        <v>S</v>
      </c>
      <c r="TX21" s="117" t="str">
        <f t="shared" si="215"/>
        <v>S</v>
      </c>
      <c r="TY21" s="117">
        <f t="shared" si="215"/>
        <v>4</v>
      </c>
      <c r="TZ21" s="117">
        <f t="shared" si="215"/>
        <v>13</v>
      </c>
      <c r="UA21" s="117">
        <f t="shared" si="215"/>
        <v>4.16</v>
      </c>
      <c r="UB21" s="117">
        <f t="shared" si="215"/>
        <v>0.28000000000000003</v>
      </c>
      <c r="UC21" s="117">
        <f t="shared" si="215"/>
        <v>4.0599999999999996</v>
      </c>
      <c r="UD21" s="117">
        <f t="shared" si="215"/>
        <v>0.34499999999999992</v>
      </c>
      <c r="UE21" s="117">
        <f t="shared" si="215"/>
        <v>0.25</v>
      </c>
      <c r="UF21" s="117" t="str">
        <f t="shared" si="215"/>
        <v>S</v>
      </c>
      <c r="UG21" s="117" t="str">
        <f t="shared" si="215"/>
        <v>S</v>
      </c>
      <c r="UH21" s="117" t="str">
        <f t="shared" si="215"/>
        <v>S</v>
      </c>
      <c r="UI21" s="117" t="str">
        <f t="shared" si="215"/>
        <v>S</v>
      </c>
      <c r="UJ21" s="117"/>
      <c r="UK21" s="117" t="str">
        <f t="shared" si="215"/>
        <v>S</v>
      </c>
      <c r="UL21" s="117" t="str">
        <f t="shared" si="215"/>
        <v>S</v>
      </c>
      <c r="UM21" s="117" t="str">
        <f t="shared" si="215"/>
        <v>S</v>
      </c>
      <c r="UN21" s="117" t="str">
        <f t="shared" si="215"/>
        <v>S</v>
      </c>
      <c r="UO21" s="117" t="str">
        <f t="shared" si="215"/>
        <v>S</v>
      </c>
      <c r="UP21" s="117" t="str">
        <f t="shared" si="215"/>
        <v>S</v>
      </c>
      <c r="UQ21" s="117" t="str">
        <f t="shared" si="215"/>
        <v>S</v>
      </c>
      <c r="UR21" s="117">
        <f t="shared" si="215"/>
        <v>1</v>
      </c>
      <c r="US21" s="117">
        <f t="shared" si="215"/>
        <v>2</v>
      </c>
      <c r="UT21" s="117">
        <f t="shared" si="215"/>
        <v>500</v>
      </c>
      <c r="UU21" s="117" t="str">
        <f t="shared" si="215"/>
        <v>S</v>
      </c>
      <c r="UV21" s="117" t="str">
        <f t="shared" si="215"/>
        <v>S</v>
      </c>
      <c r="UW21" s="117" t="str">
        <f t="shared" si="215"/>
        <v>S</v>
      </c>
      <c r="UX21" s="117" t="str">
        <f t="shared" si="215"/>
        <v>S</v>
      </c>
      <c r="UY21" s="117" t="str">
        <f t="shared" si="215"/>
        <v>S</v>
      </c>
      <c r="UZ21" s="117" t="str">
        <f t="shared" si="215"/>
        <v>S</v>
      </c>
      <c r="VA21" s="117" t="str">
        <f t="shared" si="215"/>
        <v>S</v>
      </c>
      <c r="VB21" s="117" t="str">
        <f t="shared" si="215"/>
        <v>S</v>
      </c>
      <c r="VC21" s="117" t="str">
        <f t="shared" si="215"/>
        <v>S</v>
      </c>
      <c r="VD21" s="117" t="str">
        <f t="shared" si="215"/>
        <v>S</v>
      </c>
      <c r="VE21" s="117" t="str">
        <f t="shared" si="215"/>
        <v>S</v>
      </c>
      <c r="VF21" s="117" t="str">
        <f t="shared" si="215"/>
        <v>S</v>
      </c>
      <c r="VG21" s="117" t="str">
        <f t="shared" si="215"/>
        <v>U</v>
      </c>
      <c r="VH21" s="117" t="str">
        <f t="shared" si="215"/>
        <v>S</v>
      </c>
      <c r="VI21" s="117" t="str">
        <f>VI$13</f>
        <v>3</v>
      </c>
      <c r="VJ21" s="117" t="str">
        <f t="shared" si="215"/>
        <v>.3</v>
      </c>
      <c r="VK21" s="117">
        <f t="shared" si="215"/>
        <v>3</v>
      </c>
      <c r="VL21" s="117" t="str">
        <f t="shared" si="215"/>
        <v>3-SEC</v>
      </c>
      <c r="VM21" s="117" t="str">
        <f t="shared" si="215"/>
        <v>3-HS-RB</v>
      </c>
      <c r="VN21" s="117" t="str">
        <f t="shared" si="215"/>
        <v>HEADER SUPPORT, REAR SIDE B</v>
      </c>
      <c r="VO21" s="117" t="str">
        <f t="shared" si="215"/>
        <v>000000</v>
      </c>
      <c r="VP21" s="410">
        <f t="shared" si="215"/>
        <v>5</v>
      </c>
      <c r="VQ21" s="410">
        <f t="shared" si="215"/>
        <v>5</v>
      </c>
      <c r="VR21" s="410">
        <f t="shared" si="215"/>
        <v>0.125</v>
      </c>
      <c r="VS21" s="410">
        <f t="shared" si="215"/>
        <v>1.125</v>
      </c>
      <c r="VT21" s="410">
        <f t="shared" si="215"/>
        <v>3.5</v>
      </c>
      <c r="VX21" s="117" t="str">
        <f>VX$13</f>
        <v>3-SEC</v>
      </c>
    </row>
    <row r="22" spans="1:596" ht="14.4" hidden="1" outlineLevel="1" x14ac:dyDescent="0.3">
      <c r="A22" s="123" t="str">
        <f>IF(A14="$User_Notes","$User_Notes",CONCATENATE(A14,"SM-FLAT-PATTERN"))</f>
        <v>$User_Notes</v>
      </c>
      <c r="B22" s="117" t="str">
        <f>B$14</f>
        <v>AXC</v>
      </c>
      <c r="C22" s="117">
        <f t="shared" ref="C22:BS22" si="216">C$14</f>
        <v>65</v>
      </c>
      <c r="D22" s="117">
        <f t="shared" si="216"/>
        <v>780</v>
      </c>
      <c r="E22" s="117">
        <f t="shared" si="216"/>
        <v>0.125</v>
      </c>
      <c r="F22" s="117">
        <f t="shared" si="216"/>
        <v>6.25E-2</v>
      </c>
      <c r="G22" s="117">
        <f t="shared" si="216"/>
        <v>777.625</v>
      </c>
      <c r="H22" s="117" t="str">
        <f t="shared" si="216"/>
        <v>MC12x10.6</v>
      </c>
      <c r="I22" s="117" t="str">
        <f t="shared" si="216"/>
        <v>AXC materials:SA-36</v>
      </c>
      <c r="J22" s="117" t="str">
        <f t="shared" si="216"/>
        <v>Galvanized</v>
      </c>
      <c r="K22" s="117" t="str">
        <f t="shared" si="216"/>
        <v>Bolt on Angle</v>
      </c>
      <c r="L22" s="117" t="str">
        <f t="shared" si="216"/>
        <v>EH\VV\VI_</v>
      </c>
      <c r="M22" s="117">
        <f t="shared" ca="1" si="216"/>
        <v>16</v>
      </c>
      <c r="N22" s="117">
        <f t="shared" ca="1" si="216"/>
        <v>48</v>
      </c>
      <c r="O22" s="117">
        <f t="shared" ca="1" si="216"/>
        <v>30</v>
      </c>
      <c r="P22" s="117" t="str">
        <f t="shared" si="216"/>
        <v>Yes - Rear HDR</v>
      </c>
      <c r="Q22" s="117">
        <f t="shared" si="216"/>
        <v>3.9999333887056512</v>
      </c>
      <c r="R22" s="117" t="str">
        <f t="shared" si="216"/>
        <v>Angle</v>
      </c>
      <c r="S22" s="117" t="str">
        <f t="shared" si="216"/>
        <v>L2x3x0.1875</v>
      </c>
      <c r="T22" s="117" t="str">
        <f t="shared" si="216"/>
        <v>Weld On</v>
      </c>
      <c r="U22" s="117" t="str">
        <f>U$14</f>
        <v>Yes</v>
      </c>
      <c r="V22" s="117" t="str">
        <f t="shared" si="216"/>
        <v>Yes</v>
      </c>
      <c r="W22" s="117">
        <f t="shared" si="216"/>
        <v>15</v>
      </c>
      <c r="X22" s="117">
        <f t="shared" si="216"/>
        <v>0</v>
      </c>
      <c r="Y22" s="117">
        <f>Y$14</f>
        <v>0</v>
      </c>
      <c r="Z22" s="117" t="str">
        <f>Z$14</f>
        <v>STD</v>
      </c>
      <c r="AA22" s="117" t="str">
        <f t="shared" si="216"/>
        <v>No</v>
      </c>
      <c r="AB22" s="117" t="str">
        <f t="shared" si="216"/>
        <v>OFF</v>
      </c>
      <c r="AC22" s="117" t="str">
        <f t="shared" si="216"/>
        <v>Yes</v>
      </c>
      <c r="AD22" s="117" t="str">
        <f>AD$14</f>
        <v>AXC Weld On</v>
      </c>
      <c r="AE22" s="117" t="str">
        <f>AE$14</f>
        <v>Outside</v>
      </c>
      <c r="AF22" s="117" t="str">
        <f t="shared" si="216"/>
        <v>0.5"</v>
      </c>
      <c r="AG22" s="117">
        <f t="shared" si="216"/>
        <v>278.125</v>
      </c>
      <c r="AH22" s="117">
        <f t="shared" si="216"/>
        <v>249.75</v>
      </c>
      <c r="AI22" s="117">
        <f t="shared" si="216"/>
        <v>0.5</v>
      </c>
      <c r="AJ22" s="117">
        <f t="shared" si="216"/>
        <v>4</v>
      </c>
      <c r="AK22" s="117">
        <f t="shared" si="216"/>
        <v>500</v>
      </c>
      <c r="AL22" s="117" t="str">
        <f t="shared" si="216"/>
        <v>None</v>
      </c>
      <c r="AM22" s="117" t="str">
        <f t="shared" si="216"/>
        <v>Pick from List</v>
      </c>
      <c r="AN22" s="117" t="str">
        <f t="shared" si="216"/>
        <v>None</v>
      </c>
      <c r="AO22" s="117" t="str">
        <f t="shared" si="216"/>
        <v>None</v>
      </c>
      <c r="AP22" s="117" t="str">
        <f t="shared" si="216"/>
        <v>None</v>
      </c>
      <c r="AQ22" s="117" t="str">
        <f t="shared" si="216"/>
        <v>L4x6x0.625</v>
      </c>
      <c r="AR22" s="117" t="str">
        <f t="shared" si="216"/>
        <v>Bolt on</v>
      </c>
      <c r="AS22" s="117" t="str">
        <f t="shared" si="216"/>
        <v>Yes</v>
      </c>
      <c r="AT22" s="117" t="str">
        <f t="shared" ca="1" si="216"/>
        <v>Bolt On</v>
      </c>
      <c r="AU22" s="117">
        <f t="shared" ca="1" si="216"/>
        <v>16</v>
      </c>
      <c r="AV22" s="117">
        <f t="shared" si="216"/>
        <v>0</v>
      </c>
      <c r="AW22" s="117">
        <f t="shared" si="216"/>
        <v>0</v>
      </c>
      <c r="AX22" s="117">
        <f t="shared" si="216"/>
        <v>6.25E-2</v>
      </c>
      <c r="AY22" s="117">
        <f t="shared" si="216"/>
        <v>21.915385672961552</v>
      </c>
      <c r="AZ22" s="117">
        <f t="shared" si="216"/>
        <v>1.5625</v>
      </c>
      <c r="BA22" s="117">
        <f t="shared" si="216"/>
        <v>2</v>
      </c>
      <c r="BB22" s="117">
        <f t="shared" si="216"/>
        <v>21.915385672961648</v>
      </c>
      <c r="BC22" s="117">
        <f t="shared" si="216"/>
        <v>1.5625</v>
      </c>
      <c r="BD22" s="117">
        <f t="shared" si="216"/>
        <v>2</v>
      </c>
      <c r="BE22" s="117">
        <f t="shared" si="216"/>
        <v>0.6250000000043382</v>
      </c>
      <c r="BF22" s="117">
        <f t="shared" si="216"/>
        <v>1.0937500000075919</v>
      </c>
      <c r="BG22" s="117">
        <f t="shared" si="216"/>
        <v>2</v>
      </c>
      <c r="BH22" s="117">
        <f t="shared" si="216"/>
        <v>0.62500000000430156</v>
      </c>
      <c r="BI22" s="117">
        <f t="shared" si="216"/>
        <v>1.0937500000075278</v>
      </c>
      <c r="BJ22" s="117">
        <f t="shared" si="216"/>
        <v>2</v>
      </c>
      <c r="BK22" s="117">
        <f t="shared" si="216"/>
        <v>1.9999999999999956</v>
      </c>
      <c r="BL22" s="117" t="str">
        <f t="shared" si="216"/>
        <v>Weld Bar</v>
      </c>
      <c r="BM22" s="117">
        <f t="shared" si="216"/>
        <v>0.99999999999999589</v>
      </c>
      <c r="BN22" s="117" t="str">
        <f t="shared" si="216"/>
        <v>Float Bar</v>
      </c>
      <c r="BO22" s="117">
        <f t="shared" si="216"/>
        <v>5</v>
      </c>
      <c r="BP22" s="117" t="str">
        <f t="shared" si="216"/>
        <v>MC12x10.6</v>
      </c>
      <c r="BQ22" s="117" t="str">
        <f t="shared" si="216"/>
        <v>U</v>
      </c>
      <c r="BR22" s="117" t="str">
        <f t="shared" si="216"/>
        <v>S</v>
      </c>
      <c r="BS22" s="117">
        <f t="shared" si="216"/>
        <v>31.374999284744241</v>
      </c>
      <c r="BT22" s="117">
        <f t="shared" ref="BT22:EJ22" si="217">BT$14</f>
        <v>29.000000000000004</v>
      </c>
      <c r="BU22" s="117">
        <f t="shared" si="217"/>
        <v>3.9999999999999969</v>
      </c>
      <c r="BV22" s="117">
        <f t="shared" si="217"/>
        <v>0.25000000000000089</v>
      </c>
      <c r="BW22" s="117">
        <f t="shared" si="217"/>
        <v>9.9999999999269527E-6</v>
      </c>
      <c r="BX22" s="117">
        <f t="shared" si="217"/>
        <v>1</v>
      </c>
      <c r="BY22" s="117">
        <f t="shared" si="217"/>
        <v>1</v>
      </c>
      <c r="BZ22" s="117">
        <f t="shared" si="217"/>
        <v>6.2721143170279987</v>
      </c>
      <c r="CA22" s="117">
        <f t="shared" si="217"/>
        <v>360</v>
      </c>
      <c r="CB22" s="117">
        <f t="shared" si="217"/>
        <v>1.0000000000001172</v>
      </c>
      <c r="CC22" s="117">
        <f t="shared" si="217"/>
        <v>0.99999999999983746</v>
      </c>
      <c r="CD22" s="117">
        <f t="shared" si="217"/>
        <v>0</v>
      </c>
      <c r="CE22" s="117">
        <f t="shared" si="217"/>
        <v>1.5000000000000009</v>
      </c>
      <c r="CF22" s="117">
        <f t="shared" si="217"/>
        <v>1.2990381056766582</v>
      </c>
      <c r="CG22" s="117">
        <f t="shared" si="217"/>
        <v>9.9999999969219204E-6</v>
      </c>
      <c r="CH22" s="117" t="str">
        <f t="shared" si="217"/>
        <v>No</v>
      </c>
      <c r="CI22" s="117" t="str">
        <f t="shared" si="217"/>
        <v>U</v>
      </c>
      <c r="CJ22" s="117">
        <f t="shared" si="217"/>
        <v>10.6</v>
      </c>
      <c r="CK22" s="117">
        <f t="shared" si="217"/>
        <v>12.000000000000002</v>
      </c>
      <c r="CL22" s="117">
        <f t="shared" si="217"/>
        <v>0.18999999999999997</v>
      </c>
      <c r="CM22" s="117">
        <f t="shared" si="217"/>
        <v>1.5000000000000002</v>
      </c>
      <c r="CN22" s="117">
        <f t="shared" si="217"/>
        <v>0.30899999999999994</v>
      </c>
      <c r="CO22" s="117">
        <f t="shared" si="217"/>
        <v>0.25</v>
      </c>
      <c r="CP22" s="117">
        <f t="shared" si="217"/>
        <v>0.13</v>
      </c>
      <c r="CQ22" s="117">
        <f t="shared" si="217"/>
        <v>9.4629999999999992</v>
      </c>
      <c r="CR22" s="117">
        <f t="shared" si="217"/>
        <v>8.9700168853607709E-2</v>
      </c>
      <c r="CS22" s="117">
        <f t="shared" si="217"/>
        <v>10.740092274765473</v>
      </c>
      <c r="CT22" s="117">
        <f t="shared" si="217"/>
        <v>0.62995386261726427</v>
      </c>
      <c r="CU22" s="117" t="str">
        <f t="shared" si="217"/>
        <v>S</v>
      </c>
      <c r="CV22" s="117">
        <f t="shared" si="217"/>
        <v>12.000000000000002</v>
      </c>
      <c r="CW22" s="117">
        <f t="shared" si="217"/>
        <v>0.28199999999999997</v>
      </c>
      <c r="CX22" s="117">
        <f t="shared" si="217"/>
        <v>2.9419999999999997</v>
      </c>
      <c r="CY22" s="117">
        <f t="shared" si="217"/>
        <v>0.501</v>
      </c>
      <c r="CZ22" s="117">
        <f t="shared" si="217"/>
        <v>0.37999999999999995</v>
      </c>
      <c r="DA22" s="117">
        <f t="shared" si="217"/>
        <v>0.16999999999999998</v>
      </c>
      <c r="DB22" s="117">
        <f t="shared" si="217"/>
        <v>9.4629999999999992</v>
      </c>
      <c r="DC22" s="117">
        <f t="shared" si="217"/>
        <v>0.13530728481002544</v>
      </c>
      <c r="DD22" s="117">
        <f t="shared" si="217"/>
        <v>20.7</v>
      </c>
      <c r="DE22" s="117" t="str">
        <f t="shared" si="217"/>
        <v>S</v>
      </c>
      <c r="DF22" s="117" t="str">
        <f t="shared" si="217"/>
        <v>S</v>
      </c>
      <c r="DG22" s="117" t="str">
        <f t="shared" si="217"/>
        <v>S</v>
      </c>
      <c r="DH22" s="117" t="str">
        <f t="shared" si="217"/>
        <v>S</v>
      </c>
      <c r="DI22" s="117" t="str">
        <f t="shared" si="217"/>
        <v>S</v>
      </c>
      <c r="DJ22" s="117" t="str">
        <f t="shared" si="217"/>
        <v>S</v>
      </c>
      <c r="DK22" s="117" t="str">
        <f t="shared" si="217"/>
        <v>S</v>
      </c>
      <c r="DL22" s="117" t="str">
        <f t="shared" si="217"/>
        <v>S</v>
      </c>
      <c r="DM22" s="117" t="str">
        <f t="shared" si="217"/>
        <v>U</v>
      </c>
      <c r="DN22" s="117" t="str">
        <f t="shared" si="217"/>
        <v>U</v>
      </c>
      <c r="DO22" s="117" t="str">
        <f t="shared" si="217"/>
        <v>U</v>
      </c>
      <c r="DP22" s="117" t="str">
        <f t="shared" si="217"/>
        <v>U</v>
      </c>
      <c r="DQ22" s="117" t="str">
        <f t="shared" si="217"/>
        <v>S</v>
      </c>
      <c r="DR22" s="117" t="str">
        <f t="shared" si="217"/>
        <v>S</v>
      </c>
      <c r="DS22" s="117" t="str">
        <f t="shared" si="217"/>
        <v>S</v>
      </c>
      <c r="DT22" s="117" t="str">
        <f t="shared" si="217"/>
        <v>S</v>
      </c>
      <c r="DU22" s="117" t="str">
        <f t="shared" si="217"/>
        <v>S</v>
      </c>
      <c r="DV22" s="117" t="str">
        <f t="shared" si="217"/>
        <v>S</v>
      </c>
      <c r="DW22" s="117" t="str">
        <f t="shared" si="217"/>
        <v>S</v>
      </c>
      <c r="DX22" s="117" t="str">
        <f t="shared" si="217"/>
        <v>S</v>
      </c>
      <c r="DY22" s="117">
        <f t="shared" si="217"/>
        <v>29</v>
      </c>
      <c r="DZ22" s="117">
        <f t="shared" si="217"/>
        <v>0.25</v>
      </c>
      <c r="EA22" s="117">
        <f t="shared" si="217"/>
        <v>0.25</v>
      </c>
      <c r="EB22" s="117">
        <f t="shared" si="217"/>
        <v>3.9999999999999969</v>
      </c>
      <c r="EC22" s="117">
        <f t="shared" si="217"/>
        <v>1E-4</v>
      </c>
      <c r="ED22" s="117">
        <f t="shared" si="217"/>
        <v>1E-4</v>
      </c>
      <c r="EE22" s="117">
        <f t="shared" si="217"/>
        <v>0.25000000000000089</v>
      </c>
      <c r="EF22" s="117">
        <f t="shared" si="217"/>
        <v>1.5599999999999999E-2</v>
      </c>
      <c r="EG22" s="117" t="str">
        <f t="shared" ca="1" si="217"/>
        <v>U</v>
      </c>
      <c r="EH22" s="117" t="str">
        <f t="shared" ca="1" si="217"/>
        <v>S</v>
      </c>
      <c r="EI22" s="117" t="str">
        <f t="shared" ca="1" si="217"/>
        <v>U</v>
      </c>
      <c r="EJ22" s="117" t="str">
        <f t="shared" si="217"/>
        <v>S</v>
      </c>
      <c r="EK22" s="117" t="str">
        <f t="shared" ref="EK22:HM22" ca="1" si="218">EK$14</f>
        <v>U</v>
      </c>
      <c r="EL22" s="117" t="str">
        <f t="shared" ca="1" si="218"/>
        <v>S</v>
      </c>
      <c r="EM22" s="117">
        <f t="shared" si="218"/>
        <v>0.75</v>
      </c>
      <c r="EN22" s="117">
        <f t="shared" si="218"/>
        <v>0.19000000000423975</v>
      </c>
      <c r="EO22" s="117">
        <f t="shared" si="218"/>
        <v>0.62500000000001221</v>
      </c>
      <c r="EP22" s="117">
        <f t="shared" si="218"/>
        <v>1.5000000000000016</v>
      </c>
      <c r="EQ22" s="117">
        <f t="shared" si="218"/>
        <v>1.437500284744256</v>
      </c>
      <c r="ER22" s="117">
        <f t="shared" si="218"/>
        <v>0.5</v>
      </c>
      <c r="ES22" s="117" t="str">
        <f t="shared" si="218"/>
        <v>U</v>
      </c>
      <c r="ET22" s="117" t="str">
        <f t="shared" si="218"/>
        <v>U</v>
      </c>
      <c r="EU22" s="117" t="str">
        <f t="shared" si="218"/>
        <v>U</v>
      </c>
      <c r="EV22" s="117" t="str">
        <f t="shared" si="218"/>
        <v>U</v>
      </c>
      <c r="EW22" s="117" t="str">
        <f t="shared" si="218"/>
        <v>U</v>
      </c>
      <c r="EX22" s="117" t="str">
        <f ca="1">EX$14</f>
        <v>U</v>
      </c>
      <c r="EY22" s="117" t="str">
        <f ca="1">EY$14</f>
        <v>U</v>
      </c>
      <c r="EZ22" s="117" t="str">
        <f ca="1">EZ$14</f>
        <v>U</v>
      </c>
      <c r="FA22" s="117" t="str">
        <f t="shared" ca="1" si="218"/>
        <v>U</v>
      </c>
      <c r="FB22" s="117" t="str">
        <f t="shared" ca="1" si="218"/>
        <v>U</v>
      </c>
      <c r="FC22" s="117" t="str">
        <f t="shared" ca="1" si="218"/>
        <v>U</v>
      </c>
      <c r="FD22" s="117" t="str">
        <f t="shared" ca="1" si="218"/>
        <v>U</v>
      </c>
      <c r="FE22" s="117" t="str">
        <f t="shared" ca="1" si="218"/>
        <v>U</v>
      </c>
      <c r="FF22" s="117" t="str">
        <f t="shared" ca="1" si="218"/>
        <v>U</v>
      </c>
      <c r="FG22" s="117">
        <f t="shared" ca="1" si="218"/>
        <v>48</v>
      </c>
      <c r="FH22" s="117" t="str">
        <f t="shared" si="218"/>
        <v>U</v>
      </c>
      <c r="FI22" s="117" t="str">
        <f t="shared" si="218"/>
        <v>S</v>
      </c>
      <c r="FJ22" s="117" t="str">
        <f t="shared" si="218"/>
        <v>S</v>
      </c>
      <c r="FK22" s="117" t="str">
        <f t="shared" si="218"/>
        <v>S</v>
      </c>
      <c r="FL22" s="307" t="str">
        <f t="shared" si="218"/>
        <v>S</v>
      </c>
      <c r="FM22" s="117" t="str">
        <f ca="1">FM$14</f>
        <v>U</v>
      </c>
      <c r="FN22" s="117" t="str">
        <f ca="1">FN$14</f>
        <v>U</v>
      </c>
      <c r="FO22" s="117">
        <f ca="1">FO$14</f>
        <v>48</v>
      </c>
      <c r="FP22" s="117">
        <f ca="1">FP$14</f>
        <v>16</v>
      </c>
      <c r="FQ22" s="308" t="str">
        <f t="shared" si="218"/>
        <v>S</v>
      </c>
      <c r="FR22" s="117" t="str">
        <f t="shared" si="218"/>
        <v>S</v>
      </c>
      <c r="FS22" s="117" t="str">
        <f>FS$14</f>
        <v>S</v>
      </c>
      <c r="FT22" s="117" t="str">
        <f>FT$14</f>
        <v>S</v>
      </c>
      <c r="FU22" s="117" t="str">
        <f>FU$14</f>
        <v>S</v>
      </c>
      <c r="FV22" s="117" t="str">
        <f t="shared" ref="FV22:FW22" si="219">FV$14</f>
        <v>S</v>
      </c>
      <c r="FW22" s="117" t="str">
        <f t="shared" si="219"/>
        <v>S</v>
      </c>
      <c r="FX22" s="117" t="str">
        <f>FX$14</f>
        <v>U</v>
      </c>
      <c r="FY22" s="117" t="str">
        <f>FY$14</f>
        <v>U</v>
      </c>
      <c r="FZ22" s="117">
        <f t="shared" si="218"/>
        <v>27</v>
      </c>
      <c r="GA22" s="117">
        <f t="shared" si="218"/>
        <v>19</v>
      </c>
      <c r="GB22" s="117">
        <f t="shared" si="218"/>
        <v>10</v>
      </c>
      <c r="GC22" s="117">
        <f t="shared" si="218"/>
        <v>15.000000000000009</v>
      </c>
      <c r="GD22" s="117">
        <f t="shared" si="218"/>
        <v>1</v>
      </c>
      <c r="GE22" s="117">
        <f t="shared" si="218"/>
        <v>12.000000000000007</v>
      </c>
      <c r="GF22" s="117">
        <f t="shared" si="218"/>
        <v>1</v>
      </c>
      <c r="GG22" s="117">
        <f t="shared" si="218"/>
        <v>1</v>
      </c>
      <c r="GH22" s="117">
        <f t="shared" si="218"/>
        <v>12.000010000000007</v>
      </c>
      <c r="GI22" s="117" t="str">
        <f t="shared" ca="1" si="218"/>
        <v>U</v>
      </c>
      <c r="GJ22" s="117" t="str">
        <f t="shared" ca="1" si="218"/>
        <v>S</v>
      </c>
      <c r="GK22" s="117" t="str">
        <f t="shared" ca="1" si="218"/>
        <v>U</v>
      </c>
      <c r="GL22" s="117" t="str">
        <f t="shared" ca="1" si="218"/>
        <v>U</v>
      </c>
      <c r="GM22" s="117" t="str">
        <f t="shared" ca="1" si="218"/>
        <v>U</v>
      </c>
      <c r="GN22" s="117" t="str">
        <f t="shared" ca="1" si="218"/>
        <v>U</v>
      </c>
      <c r="GO22" s="117" t="str">
        <f t="shared" ca="1" si="218"/>
        <v>U</v>
      </c>
      <c r="GP22" s="117">
        <f t="shared" si="218"/>
        <v>1.0000000005663834E-5</v>
      </c>
      <c r="GQ22" s="117">
        <f t="shared" si="218"/>
        <v>5.9999999999999991</v>
      </c>
      <c r="GR22" s="117">
        <f t="shared" si="218"/>
        <v>1</v>
      </c>
      <c r="GS22" s="117">
        <f t="shared" si="218"/>
        <v>10</v>
      </c>
      <c r="GT22" s="117">
        <f t="shared" si="218"/>
        <v>15.000000000000009</v>
      </c>
      <c r="GU22" s="117">
        <f t="shared" si="218"/>
        <v>0</v>
      </c>
      <c r="GV22" s="117">
        <f t="shared" si="218"/>
        <v>6.0000000000000036</v>
      </c>
      <c r="GW22" s="117">
        <f t="shared" si="218"/>
        <v>1</v>
      </c>
      <c r="GX22" s="117">
        <f t="shared" si="218"/>
        <v>1</v>
      </c>
      <c r="GY22" s="117" t="str">
        <f t="shared" ca="1" si="218"/>
        <v>S</v>
      </c>
      <c r="GZ22" s="117">
        <f t="shared" si="218"/>
        <v>1.500010000000001</v>
      </c>
      <c r="HA22" s="117" t="str">
        <f t="shared" ca="1" si="218"/>
        <v>S</v>
      </c>
      <c r="HB22" s="117" t="str">
        <f t="shared" ca="1" si="218"/>
        <v>S</v>
      </c>
      <c r="HC22" s="117" t="str">
        <f t="shared" ca="1" si="218"/>
        <v>S</v>
      </c>
      <c r="HD22" s="117" t="str">
        <f t="shared" ca="1" si="218"/>
        <v>S</v>
      </c>
      <c r="HE22" s="117" t="str">
        <f t="shared" ca="1" si="218"/>
        <v>S</v>
      </c>
      <c r="HF22" s="117" t="str">
        <f t="shared" si="218"/>
        <v>Yes - Right Side</v>
      </c>
      <c r="HG22" s="117" t="str">
        <f t="shared" si="218"/>
        <v>S</v>
      </c>
      <c r="HH22" s="117" t="str">
        <f t="shared" si="218"/>
        <v>U</v>
      </c>
      <c r="HI22" s="117" t="str">
        <f t="shared" si="218"/>
        <v>U</v>
      </c>
      <c r="HJ22" s="117" t="str">
        <f t="shared" si="218"/>
        <v>S</v>
      </c>
      <c r="HK22" s="117" t="str">
        <f t="shared" si="218"/>
        <v>S</v>
      </c>
      <c r="HL22" s="117">
        <f t="shared" ca="1" si="218"/>
        <v>48</v>
      </c>
      <c r="HM22" s="117">
        <f t="shared" si="218"/>
        <v>3.9999999999999998E-6</v>
      </c>
      <c r="HN22" s="117" t="str">
        <f t="shared" ref="HN22:KE22" si="220">HN$14</f>
        <v>S</v>
      </c>
      <c r="HO22" s="117">
        <f t="shared" ca="1" si="220"/>
        <v>18</v>
      </c>
      <c r="HP22" s="117">
        <f t="shared" ca="1" si="220"/>
        <v>48.000003999999997</v>
      </c>
      <c r="HQ22" s="117" t="str">
        <f t="shared" si="220"/>
        <v>S</v>
      </c>
      <c r="HR22" s="117" t="str">
        <f t="shared" si="220"/>
        <v>S</v>
      </c>
      <c r="HS22" s="117">
        <f t="shared" ca="1" si="220"/>
        <v>359.99999600000001</v>
      </c>
      <c r="HT22" s="117">
        <f t="shared" ca="1" si="220"/>
        <v>23.999968000000024</v>
      </c>
      <c r="HU22" s="117">
        <f t="shared" ca="1" si="220"/>
        <v>23.999968000000024</v>
      </c>
      <c r="HV22" s="117">
        <f t="shared" ca="1" si="220"/>
        <v>3.9999373887056513</v>
      </c>
      <c r="HW22" s="117">
        <f t="shared" ca="1" si="220"/>
        <v>24</v>
      </c>
      <c r="HX22" s="117">
        <f t="shared" si="220"/>
        <v>388.8125</v>
      </c>
      <c r="HY22" s="117">
        <f t="shared" ca="1" si="220"/>
        <v>360.00000399999999</v>
      </c>
      <c r="HZ22" s="117">
        <f t="shared" ca="1" si="220"/>
        <v>3.9999373887056513</v>
      </c>
      <c r="IA22" s="117">
        <f t="shared" ca="1" si="220"/>
        <v>24.000035999999973</v>
      </c>
      <c r="IB22" s="117" t="str">
        <f t="shared" si="220"/>
        <v>S</v>
      </c>
      <c r="IC22" s="117" t="str">
        <f t="shared" si="220"/>
        <v>S</v>
      </c>
      <c r="ID22" s="117">
        <f t="shared" ca="1" si="220"/>
        <v>27.999905388705674</v>
      </c>
      <c r="IE22" s="117" t="str">
        <f t="shared" si="220"/>
        <v>S</v>
      </c>
      <c r="IF22" s="117" t="str">
        <f t="shared" si="220"/>
        <v>S</v>
      </c>
      <c r="IG22" s="117" t="str">
        <f t="shared" si="220"/>
        <v>S</v>
      </c>
      <c r="IH22" s="117" t="str">
        <f t="shared" si="220"/>
        <v>S</v>
      </c>
      <c r="II22" s="117" t="str">
        <f t="shared" si="220"/>
        <v>S</v>
      </c>
      <c r="IJ22" s="117">
        <f t="shared" ca="1" si="220"/>
        <v>23.999968000000024</v>
      </c>
      <c r="IK22" s="117">
        <f t="shared" ca="1" si="220"/>
        <v>3.9999373887056513</v>
      </c>
      <c r="IL22" s="117" t="str">
        <f t="shared" si="220"/>
        <v>S</v>
      </c>
      <c r="IM22" s="117" t="str">
        <f t="shared" si="220"/>
        <v>S</v>
      </c>
      <c r="IN22" s="117" t="str">
        <f t="shared" si="220"/>
        <v>S</v>
      </c>
      <c r="IO22" s="117" t="str">
        <f t="shared" si="220"/>
        <v>S</v>
      </c>
      <c r="IP22" s="117" t="str">
        <f t="shared" si="220"/>
        <v>S</v>
      </c>
      <c r="IQ22" s="117" t="str">
        <f t="shared" si="220"/>
        <v>S</v>
      </c>
      <c r="IR22" s="117" t="str">
        <f t="shared" si="220"/>
        <v>S</v>
      </c>
      <c r="IS22" s="117" t="str">
        <f t="shared" si="220"/>
        <v>S</v>
      </c>
      <c r="IT22" s="117" t="str">
        <f t="shared" si="220"/>
        <v>S</v>
      </c>
      <c r="IU22" s="117" t="str">
        <f t="shared" si="220"/>
        <v>S</v>
      </c>
      <c r="IV22" s="117" t="str">
        <f t="shared" si="220"/>
        <v>S</v>
      </c>
      <c r="IW22" s="117" t="str">
        <f t="shared" si="220"/>
        <v>S</v>
      </c>
      <c r="IX22" s="117" t="str">
        <f t="shared" si="220"/>
        <v>S</v>
      </c>
      <c r="IY22" s="117">
        <f t="shared" ca="1" si="220"/>
        <v>1</v>
      </c>
      <c r="IZ22" s="117">
        <f t="shared" ca="1" si="220"/>
        <v>3</v>
      </c>
      <c r="JA22" s="117">
        <f t="shared" ca="1" si="220"/>
        <v>9.9999999999999995E-7</v>
      </c>
      <c r="JB22" s="117">
        <f t="shared" ca="1" si="220"/>
        <v>1.0000000000000001E-5</v>
      </c>
      <c r="JC22" s="117">
        <f t="shared" ca="1" si="220"/>
        <v>1.0000000000000001E-5</v>
      </c>
      <c r="JD22" s="117" t="str">
        <f t="shared" ca="1" si="220"/>
        <v>S</v>
      </c>
      <c r="JE22" s="117" t="str">
        <f t="shared" ca="1" si="220"/>
        <v>S</v>
      </c>
      <c r="JF22" s="117" t="str">
        <f t="shared" ca="1" si="220"/>
        <v>S</v>
      </c>
      <c r="JG22" s="117" t="str">
        <f t="shared" ca="1" si="220"/>
        <v>S</v>
      </c>
      <c r="JH22" s="117" t="str">
        <f t="shared" ca="1" si="220"/>
        <v>S</v>
      </c>
      <c r="JI22" s="117">
        <f t="shared" si="220"/>
        <v>0.1046</v>
      </c>
      <c r="JJ22" s="117">
        <f t="shared" si="220"/>
        <v>0.39290028474001548</v>
      </c>
      <c r="JK22" s="117">
        <f t="shared" si="220"/>
        <v>0.51790028474001548</v>
      </c>
      <c r="JL22" s="117">
        <f t="shared" si="220"/>
        <v>0.5</v>
      </c>
      <c r="JM22" s="117">
        <f t="shared" si="220"/>
        <v>0.375</v>
      </c>
      <c r="JN22" s="117">
        <f t="shared" si="220"/>
        <v>0.375</v>
      </c>
      <c r="JO22" s="117">
        <f t="shared" si="220"/>
        <v>11.25</v>
      </c>
      <c r="JP22" s="117" t="str">
        <f>JP$14</f>
        <v>S</v>
      </c>
      <c r="JQ22" s="117" t="str">
        <f>JQ$14</f>
        <v>S</v>
      </c>
      <c r="JR22" s="117" t="str">
        <f>JR$14</f>
        <v>S</v>
      </c>
      <c r="JS22" s="117" t="str">
        <f t="shared" si="220"/>
        <v>U</v>
      </c>
      <c r="JT22" s="117" t="str">
        <f t="shared" si="220"/>
        <v>U</v>
      </c>
      <c r="JU22" s="117" t="str">
        <f t="shared" si="220"/>
        <v>S</v>
      </c>
      <c r="JV22" s="117" t="str">
        <f t="shared" si="220"/>
        <v>S</v>
      </c>
      <c r="JW22" s="117" t="str">
        <f t="shared" si="220"/>
        <v>S</v>
      </c>
      <c r="JX22" s="117" t="str">
        <f t="shared" si="220"/>
        <v>S</v>
      </c>
      <c r="JY22" s="117" t="str">
        <f t="shared" si="220"/>
        <v>S</v>
      </c>
      <c r="JZ22" s="117" t="str">
        <f t="shared" si="220"/>
        <v>S</v>
      </c>
      <c r="KA22" s="117" t="str">
        <f t="shared" si="220"/>
        <v>S</v>
      </c>
      <c r="KB22" s="117" t="str">
        <f t="shared" si="220"/>
        <v>S</v>
      </c>
      <c r="KC22" s="117" t="str">
        <f t="shared" si="220"/>
        <v>S</v>
      </c>
      <c r="KD22" s="117" t="str">
        <f t="shared" si="220"/>
        <v>S</v>
      </c>
      <c r="KE22" s="117" t="str">
        <f t="shared" si="220"/>
        <v>S</v>
      </c>
      <c r="KF22" s="117" t="str">
        <f t="shared" ref="KF22:MQ22" si="221">KF$14</f>
        <v>S</v>
      </c>
      <c r="KG22" s="117" t="str">
        <f t="shared" si="221"/>
        <v>S</v>
      </c>
      <c r="KH22" s="117" t="str">
        <f t="shared" si="221"/>
        <v>S</v>
      </c>
      <c r="KI22" s="117" t="str">
        <f t="shared" si="221"/>
        <v>S</v>
      </c>
      <c r="KJ22" s="117" t="str">
        <f t="shared" si="221"/>
        <v>S</v>
      </c>
      <c r="KK22" s="117" t="str">
        <f t="shared" si="221"/>
        <v>S</v>
      </c>
      <c r="KL22" s="117" t="str">
        <f t="shared" si="221"/>
        <v>S</v>
      </c>
      <c r="KM22" s="117" t="str">
        <f t="shared" si="221"/>
        <v>S</v>
      </c>
      <c r="KN22" s="117">
        <f t="shared" si="221"/>
        <v>1.0000000000000001E-5</v>
      </c>
      <c r="KO22" s="117" t="str">
        <f t="shared" si="221"/>
        <v>S</v>
      </c>
      <c r="KP22" s="117" t="str">
        <f t="shared" si="221"/>
        <v>S</v>
      </c>
      <c r="KQ22" s="117" t="str">
        <f t="shared" si="221"/>
        <v>S</v>
      </c>
      <c r="KR22" s="117" t="str">
        <f t="shared" si="221"/>
        <v>S</v>
      </c>
      <c r="KS22" s="117" t="str">
        <f t="shared" si="221"/>
        <v>S</v>
      </c>
      <c r="KT22" s="117" t="str">
        <f t="shared" si="221"/>
        <v>S</v>
      </c>
      <c r="KU22" s="117" t="str">
        <f t="shared" si="221"/>
        <v>S</v>
      </c>
      <c r="KV22" s="117" t="str">
        <f t="shared" si="221"/>
        <v>S</v>
      </c>
      <c r="KW22" s="117">
        <f t="shared" si="221"/>
        <v>2</v>
      </c>
      <c r="KX22" s="117">
        <f t="shared" si="221"/>
        <v>3.0000000000000004</v>
      </c>
      <c r="KY22" s="117">
        <f t="shared" si="221"/>
        <v>0.25</v>
      </c>
      <c r="KZ22" s="117">
        <f t="shared" si="221"/>
        <v>0.3125</v>
      </c>
      <c r="LA22" s="117">
        <f t="shared" si="221"/>
        <v>0.25</v>
      </c>
      <c r="LB22" s="117">
        <f t="shared" si="221"/>
        <v>2.0000000000000001E-4</v>
      </c>
      <c r="LC22" s="117" t="str">
        <f t="shared" si="221"/>
        <v>S</v>
      </c>
      <c r="LD22" s="117" t="str">
        <f t="shared" si="221"/>
        <v>S</v>
      </c>
      <c r="LE22" s="117" t="str">
        <f t="shared" si="221"/>
        <v>S</v>
      </c>
      <c r="LF22" s="117" t="str">
        <f t="shared" si="221"/>
        <v>S</v>
      </c>
      <c r="LG22" s="117" t="str">
        <f t="shared" si="221"/>
        <v>S</v>
      </c>
      <c r="LH22" s="117" t="str">
        <f t="shared" si="221"/>
        <v>S</v>
      </c>
      <c r="LI22" s="117" t="str">
        <f t="shared" si="221"/>
        <v>S</v>
      </c>
      <c r="LJ22" s="117" t="str">
        <f t="shared" si="221"/>
        <v>S</v>
      </c>
      <c r="LK22" s="117" t="str">
        <f t="shared" si="221"/>
        <v>S</v>
      </c>
      <c r="LL22" s="117" t="str">
        <f t="shared" si="221"/>
        <v>S</v>
      </c>
      <c r="LM22" s="117" t="str">
        <f t="shared" si="221"/>
        <v>S</v>
      </c>
      <c r="LN22" s="117" t="str">
        <f t="shared" si="221"/>
        <v>S</v>
      </c>
      <c r="LO22" s="117" t="str">
        <f t="shared" si="221"/>
        <v>S</v>
      </c>
      <c r="LP22" s="117" t="str">
        <f t="shared" si="221"/>
        <v>S</v>
      </c>
      <c r="LQ22" s="117">
        <f t="shared" si="221"/>
        <v>3.0000000000000004</v>
      </c>
      <c r="LR22" s="117">
        <f t="shared" si="221"/>
        <v>0.16999999999999998</v>
      </c>
      <c r="LS22" s="117">
        <f t="shared" si="221"/>
        <v>1.41</v>
      </c>
      <c r="LT22" s="117">
        <f t="shared" si="221"/>
        <v>0.27300000000000002</v>
      </c>
      <c r="LU22" s="117">
        <f t="shared" si="221"/>
        <v>0.27</v>
      </c>
      <c r="LV22" s="117">
        <f t="shared" si="221"/>
        <v>0.1</v>
      </c>
      <c r="LW22" s="117">
        <f t="shared" si="221"/>
        <v>9.4629999999999992</v>
      </c>
      <c r="LX22" s="117">
        <f t="shared" si="221"/>
        <v>8.4947435596928661E-2</v>
      </c>
      <c r="LY22" s="117">
        <f t="shared" si="221"/>
        <v>4.0999999999999996</v>
      </c>
      <c r="LZ22" s="117" t="str">
        <f t="shared" si="221"/>
        <v>S</v>
      </c>
      <c r="MA22" s="117" t="str">
        <f t="shared" si="221"/>
        <v>S</v>
      </c>
      <c r="MB22" s="117" t="str">
        <f t="shared" si="221"/>
        <v>S</v>
      </c>
      <c r="MC22" s="117" t="str">
        <f t="shared" si="221"/>
        <v>S</v>
      </c>
      <c r="MD22" s="117" t="str">
        <f t="shared" si="221"/>
        <v>S</v>
      </c>
      <c r="ME22" s="117" t="str">
        <f t="shared" si="221"/>
        <v>S</v>
      </c>
      <c r="MF22" s="117" t="str">
        <f t="shared" si="221"/>
        <v>S</v>
      </c>
      <c r="MG22" s="117" t="str">
        <f t="shared" si="221"/>
        <v>S</v>
      </c>
      <c r="MH22" s="117" t="str">
        <f t="shared" si="221"/>
        <v>S</v>
      </c>
      <c r="MI22" s="117" t="str">
        <f t="shared" si="221"/>
        <v>S</v>
      </c>
      <c r="MJ22" s="117" t="str">
        <f>MJ$14</f>
        <v>S</v>
      </c>
      <c r="MK22" s="117" t="str">
        <f t="shared" si="221"/>
        <v>S</v>
      </c>
      <c r="ML22" s="117" t="str">
        <f t="shared" si="221"/>
        <v>S</v>
      </c>
      <c r="MM22" s="117" t="str">
        <f t="shared" si="221"/>
        <v>S</v>
      </c>
      <c r="MN22" s="117" t="str">
        <f t="shared" si="221"/>
        <v>S</v>
      </c>
      <c r="MO22" s="117" t="str">
        <f t="shared" si="221"/>
        <v>S</v>
      </c>
      <c r="MP22" s="117" t="str">
        <f t="shared" si="221"/>
        <v>S</v>
      </c>
      <c r="MQ22" s="117" t="str">
        <f t="shared" si="221"/>
        <v>S</v>
      </c>
      <c r="MR22" s="117" t="str">
        <f t="shared" ref="MR22:PC22" si="222">MR$14</f>
        <v>S</v>
      </c>
      <c r="MS22" s="117" t="str">
        <f t="shared" si="222"/>
        <v>S</v>
      </c>
      <c r="MT22" s="117" t="str">
        <f t="shared" si="222"/>
        <v>S</v>
      </c>
      <c r="MU22" s="117" t="str">
        <f t="shared" si="222"/>
        <v>S</v>
      </c>
      <c r="MV22" s="117" t="str">
        <f t="shared" si="222"/>
        <v>S</v>
      </c>
      <c r="MW22" s="117" t="str">
        <f t="shared" si="222"/>
        <v>S</v>
      </c>
      <c r="MX22" s="117" t="str">
        <f t="shared" si="222"/>
        <v>S</v>
      </c>
      <c r="MY22" s="117" t="str">
        <f t="shared" si="222"/>
        <v>S</v>
      </c>
      <c r="MZ22" s="117" t="str">
        <f t="shared" si="222"/>
        <v>S</v>
      </c>
      <c r="NA22" s="117" t="str">
        <f t="shared" si="222"/>
        <v>S</v>
      </c>
      <c r="NB22" s="117" t="str">
        <f t="shared" si="222"/>
        <v>S</v>
      </c>
      <c r="NC22" s="117" t="str">
        <f t="shared" si="222"/>
        <v>S</v>
      </c>
      <c r="ND22" s="117" t="str">
        <f t="shared" si="222"/>
        <v>S</v>
      </c>
      <c r="NE22" s="117">
        <f t="shared" si="222"/>
        <v>0</v>
      </c>
      <c r="NF22" s="117">
        <f t="shared" si="222"/>
        <v>1.0000000000000001E-5</v>
      </c>
      <c r="NG22" s="117" t="str">
        <f t="shared" si="222"/>
        <v>S</v>
      </c>
      <c r="NH22" s="117" t="str">
        <f t="shared" si="222"/>
        <v>S</v>
      </c>
      <c r="NI22" s="117" t="str">
        <f t="shared" si="222"/>
        <v>S</v>
      </c>
      <c r="NJ22" s="117" t="str">
        <f t="shared" si="222"/>
        <v>S</v>
      </c>
      <c r="NK22" s="117" t="str">
        <f t="shared" si="222"/>
        <v>S</v>
      </c>
      <c r="NL22" s="117" t="str">
        <f t="shared" si="222"/>
        <v>S</v>
      </c>
      <c r="NM22" s="117" t="str">
        <f t="shared" si="222"/>
        <v>S</v>
      </c>
      <c r="NN22" s="117" t="str">
        <f t="shared" si="222"/>
        <v>S</v>
      </c>
      <c r="NO22" s="117">
        <f t="shared" si="222"/>
        <v>4</v>
      </c>
      <c r="NP22" s="117">
        <f t="shared" si="222"/>
        <v>6.0000000000000009</v>
      </c>
      <c r="NQ22" s="117">
        <f t="shared" si="222"/>
        <v>0.625</v>
      </c>
      <c r="NR22" s="117">
        <f t="shared" si="222"/>
        <v>0.5</v>
      </c>
      <c r="NS22" s="117">
        <f t="shared" si="222"/>
        <v>0.5</v>
      </c>
      <c r="NT22" s="117">
        <f t="shared" si="222"/>
        <v>0.12520000000000001</v>
      </c>
      <c r="NU22" s="117" t="str">
        <f t="shared" si="222"/>
        <v>S</v>
      </c>
      <c r="NV22" s="117" t="str">
        <f t="shared" si="222"/>
        <v>S</v>
      </c>
      <c r="NW22" s="117" t="str">
        <f t="shared" si="222"/>
        <v>S</v>
      </c>
      <c r="NX22" s="117" t="str">
        <f t="shared" si="222"/>
        <v>S</v>
      </c>
      <c r="NY22" s="117" t="str">
        <f t="shared" si="222"/>
        <v>S</v>
      </c>
      <c r="NZ22" s="117" t="str">
        <f t="shared" si="222"/>
        <v>S</v>
      </c>
      <c r="OA22" s="117" t="str">
        <f t="shared" si="222"/>
        <v>S</v>
      </c>
      <c r="OB22" s="117" t="str">
        <f t="shared" si="222"/>
        <v>S</v>
      </c>
      <c r="OC22" s="117" t="str">
        <f t="shared" si="222"/>
        <v>S</v>
      </c>
      <c r="OD22" s="117" t="str">
        <f t="shared" si="222"/>
        <v>S</v>
      </c>
      <c r="OE22" s="117">
        <f t="shared" si="222"/>
        <v>3.0000000000000004</v>
      </c>
      <c r="OF22" s="117">
        <f t="shared" si="222"/>
        <v>0.16999999999999998</v>
      </c>
      <c r="OG22" s="117">
        <f t="shared" si="222"/>
        <v>1.41</v>
      </c>
      <c r="OH22" s="117">
        <f t="shared" si="222"/>
        <v>0.27300000000000002</v>
      </c>
      <c r="OI22" s="117">
        <f t="shared" si="222"/>
        <v>0.27</v>
      </c>
      <c r="OJ22" s="117">
        <f t="shared" si="222"/>
        <v>0.1</v>
      </c>
      <c r="OK22" s="117">
        <f t="shared" si="222"/>
        <v>9.4629999999999992</v>
      </c>
      <c r="OL22" s="117">
        <f t="shared" si="222"/>
        <v>8.4947435596928661E-2</v>
      </c>
      <c r="OM22" s="117">
        <f t="shared" si="222"/>
        <v>4.0999999999999996</v>
      </c>
      <c r="ON22" s="117" t="str">
        <f t="shared" si="222"/>
        <v>S</v>
      </c>
      <c r="OO22" s="117" t="str">
        <f t="shared" si="222"/>
        <v>S</v>
      </c>
      <c r="OP22" s="117" t="str">
        <f t="shared" si="222"/>
        <v>S</v>
      </c>
      <c r="OQ22" s="117" t="str">
        <f t="shared" si="222"/>
        <v>S</v>
      </c>
      <c r="OR22" s="117" t="str">
        <f t="shared" si="222"/>
        <v>S</v>
      </c>
      <c r="OS22" s="117" t="str">
        <f t="shared" si="222"/>
        <v>S</v>
      </c>
      <c r="OT22" s="117" t="str">
        <f t="shared" si="222"/>
        <v>S</v>
      </c>
      <c r="OU22" s="117">
        <f t="shared" si="222"/>
        <v>22.352885682963269</v>
      </c>
      <c r="OV22" s="117">
        <f t="shared" si="222"/>
        <v>1.5625</v>
      </c>
      <c r="OW22" s="117">
        <f t="shared" si="222"/>
        <v>2</v>
      </c>
      <c r="OX22" s="117">
        <f t="shared" ca="1" si="222"/>
        <v>1.0000000000000001E-5</v>
      </c>
      <c r="OY22" s="117" t="str">
        <f t="shared" si="222"/>
        <v>S</v>
      </c>
      <c r="OZ22" s="117" t="str">
        <f t="shared" si="222"/>
        <v>S</v>
      </c>
      <c r="PA22" s="117" t="str">
        <f t="shared" si="222"/>
        <v>S</v>
      </c>
      <c r="PB22" s="117" t="str">
        <f t="shared" si="222"/>
        <v>S</v>
      </c>
      <c r="PC22" s="117">
        <f t="shared" si="222"/>
        <v>1.0000006859324079E-6</v>
      </c>
      <c r="PD22" s="117">
        <f t="shared" ref="PD22:RW22" si="223">PD$14</f>
        <v>1.0000000313816476E-6</v>
      </c>
      <c r="PE22" s="117">
        <f t="shared" si="223"/>
        <v>9.9999936016657661E-7</v>
      </c>
      <c r="PF22" s="117">
        <f t="shared" si="223"/>
        <v>9.9999997677932015E-7</v>
      </c>
      <c r="PG22" s="117" t="str">
        <f t="shared" si="223"/>
        <v>S</v>
      </c>
      <c r="PH22" s="117" t="str">
        <f t="shared" si="223"/>
        <v>S</v>
      </c>
      <c r="PI22" s="117" t="str">
        <f t="shared" si="223"/>
        <v>S</v>
      </c>
      <c r="PJ22" s="117" t="str">
        <f t="shared" si="223"/>
        <v>S</v>
      </c>
      <c r="PK22" s="117" t="str">
        <f t="shared" si="223"/>
        <v>Teflon, 2.5 x 2.5</v>
      </c>
      <c r="PL22" s="117" t="str">
        <f t="shared" si="223"/>
        <v>Teflon, 2.5 x 2.5</v>
      </c>
      <c r="PM22" s="117">
        <f t="shared" si="223"/>
        <v>0</v>
      </c>
      <c r="PN22" s="117" t="str">
        <f t="shared" si="223"/>
        <v>Teflon, 2.5 x 2.5</v>
      </c>
      <c r="PO22" s="117" t="str">
        <f t="shared" si="223"/>
        <v>Teflon, 2.5 x 2.5</v>
      </c>
      <c r="PP22" s="117">
        <f t="shared" si="223"/>
        <v>0</v>
      </c>
      <c r="PQ22" s="117">
        <f t="shared" si="223"/>
        <v>0.125</v>
      </c>
      <c r="PR22" s="117">
        <f t="shared" si="223"/>
        <v>0.125</v>
      </c>
      <c r="PS22" s="117">
        <f t="shared" si="223"/>
        <v>0.125</v>
      </c>
      <c r="PT22" s="117">
        <f t="shared" si="223"/>
        <v>0.125</v>
      </c>
      <c r="PU22" s="117" t="str">
        <f t="shared" si="223"/>
        <v>S</v>
      </c>
      <c r="PV22" s="117" t="str">
        <f t="shared" si="223"/>
        <v>S</v>
      </c>
      <c r="PW22" s="117" t="str">
        <f t="shared" si="223"/>
        <v>S</v>
      </c>
      <c r="PX22" s="117" t="str">
        <f t="shared" si="223"/>
        <v>S</v>
      </c>
      <c r="PY22" s="117" t="str">
        <f t="shared" si="223"/>
        <v>S</v>
      </c>
      <c r="PZ22" s="117" t="str">
        <f t="shared" si="223"/>
        <v>S</v>
      </c>
      <c r="QA22" s="117" t="str">
        <f t="shared" si="223"/>
        <v>S</v>
      </c>
      <c r="QB22" s="117" t="str">
        <f t="shared" si="223"/>
        <v>S</v>
      </c>
      <c r="QC22" s="117" t="str">
        <f t="shared" si="223"/>
        <v>S</v>
      </c>
      <c r="QD22" s="117" t="str">
        <f t="shared" si="223"/>
        <v>S</v>
      </c>
      <c r="QE22" s="117" t="str">
        <f t="shared" si="223"/>
        <v>S</v>
      </c>
      <c r="QF22" s="117">
        <f t="shared" ca="1" si="223"/>
        <v>3</v>
      </c>
      <c r="QG22" s="117">
        <f t="shared" ca="1" si="223"/>
        <v>1.5</v>
      </c>
      <c r="QH22" s="117">
        <f t="shared" ca="1" si="223"/>
        <v>1</v>
      </c>
      <c r="QI22" s="117">
        <f t="shared" ca="1" si="223"/>
        <v>3</v>
      </c>
      <c r="QJ22" s="117" t="str">
        <f t="shared" ca="1" si="223"/>
        <v>S</v>
      </c>
      <c r="QK22" s="117" t="str">
        <f t="shared" si="223"/>
        <v>S</v>
      </c>
      <c r="QL22" s="117" t="str">
        <f t="shared" si="223"/>
        <v>S</v>
      </c>
      <c r="QM22" s="117" t="str">
        <f t="shared" si="223"/>
        <v>S</v>
      </c>
      <c r="QN22" s="117" t="str">
        <f t="shared" si="223"/>
        <v>S</v>
      </c>
      <c r="QO22" s="117" t="str">
        <f t="shared" si="223"/>
        <v>S</v>
      </c>
      <c r="QP22" s="117" t="str">
        <f t="shared" si="223"/>
        <v>S</v>
      </c>
      <c r="QQ22" s="117" t="str">
        <f t="shared" si="223"/>
        <v>S</v>
      </c>
      <c r="QR22" s="117" t="str">
        <f t="shared" si="223"/>
        <v>S</v>
      </c>
      <c r="QS22" s="117" t="str">
        <f t="shared" si="223"/>
        <v>S</v>
      </c>
      <c r="QT22" s="117" t="str">
        <f t="shared" si="223"/>
        <v>S</v>
      </c>
      <c r="QU22" s="117" t="str">
        <f t="shared" si="223"/>
        <v>S</v>
      </c>
      <c r="QV22" s="117" t="str">
        <f t="shared" si="223"/>
        <v>S</v>
      </c>
      <c r="QW22" s="117" t="str">
        <f t="shared" si="223"/>
        <v>S</v>
      </c>
      <c r="QX22" s="117" t="str">
        <f t="shared" si="223"/>
        <v>S</v>
      </c>
      <c r="QY22" s="117" t="str">
        <f t="shared" si="223"/>
        <v>S</v>
      </c>
      <c r="QZ22" s="117" t="str">
        <f t="shared" si="223"/>
        <v>S</v>
      </c>
      <c r="RA22" s="117" t="str">
        <f t="shared" si="223"/>
        <v>S</v>
      </c>
      <c r="RB22" s="117" t="str">
        <f t="shared" si="223"/>
        <v>S</v>
      </c>
      <c r="RC22" s="117" t="str">
        <f t="shared" si="223"/>
        <v>S</v>
      </c>
      <c r="RD22" s="117">
        <f t="shared" si="223"/>
        <v>2</v>
      </c>
      <c r="RE22" s="117">
        <f t="shared" si="223"/>
        <v>3.0000000000000004</v>
      </c>
      <c r="RF22" s="117">
        <f t="shared" si="223"/>
        <v>0.18750000000000003</v>
      </c>
      <c r="RG22" s="117">
        <f t="shared" si="223"/>
        <v>0.3125</v>
      </c>
      <c r="RH22" s="117">
        <f t="shared" si="223"/>
        <v>0.18750000000000003</v>
      </c>
      <c r="RI22" s="117">
        <f t="shared" si="223"/>
        <v>2.0000000000000001E-4</v>
      </c>
      <c r="RJ22" s="117" t="str">
        <f t="shared" si="223"/>
        <v>S</v>
      </c>
      <c r="RK22" s="117" t="str">
        <f t="shared" si="223"/>
        <v>S</v>
      </c>
      <c r="RL22" s="117" t="str">
        <f t="shared" si="223"/>
        <v>S</v>
      </c>
      <c r="RM22" s="117" t="str">
        <f t="shared" si="223"/>
        <v>S</v>
      </c>
      <c r="RN22" s="117" t="str">
        <f t="shared" si="223"/>
        <v>S</v>
      </c>
      <c r="RO22" s="117" t="str">
        <f t="shared" si="223"/>
        <v>S</v>
      </c>
      <c r="RP22" s="117" t="str">
        <f t="shared" si="223"/>
        <v>S</v>
      </c>
      <c r="RQ22" s="117" t="str">
        <f t="shared" si="223"/>
        <v>S</v>
      </c>
      <c r="RR22" s="117" t="str">
        <f t="shared" si="223"/>
        <v>S</v>
      </c>
      <c r="RS22" s="117" t="str">
        <f t="shared" si="223"/>
        <v>S</v>
      </c>
      <c r="RT22" s="117" t="str">
        <f t="shared" si="223"/>
        <v>S</v>
      </c>
      <c r="RU22" s="117" t="str">
        <f t="shared" si="223"/>
        <v>S</v>
      </c>
      <c r="RV22" s="117" t="str">
        <f t="shared" si="223"/>
        <v>S</v>
      </c>
      <c r="RW22" s="117" t="str">
        <f t="shared" si="223"/>
        <v>S</v>
      </c>
      <c r="RX22" s="117" t="str">
        <f t="shared" ref="RX22:UO22" si="224">RX$14</f>
        <v>S</v>
      </c>
      <c r="RY22" s="117" t="str">
        <f t="shared" si="224"/>
        <v>S</v>
      </c>
      <c r="RZ22" s="117" t="str">
        <f t="shared" si="224"/>
        <v>S</v>
      </c>
      <c r="SA22" s="117">
        <f t="shared" si="224"/>
        <v>3.0000000000000004</v>
      </c>
      <c r="SB22" s="117">
        <f t="shared" si="224"/>
        <v>0.16999999999999998</v>
      </c>
      <c r="SC22" s="117">
        <f t="shared" si="224"/>
        <v>1.41</v>
      </c>
      <c r="SD22" s="117">
        <f t="shared" si="224"/>
        <v>0.27300000000000002</v>
      </c>
      <c r="SE22" s="117">
        <f t="shared" si="224"/>
        <v>0.27</v>
      </c>
      <c r="SF22" s="117">
        <f t="shared" si="224"/>
        <v>0.1</v>
      </c>
      <c r="SG22" s="117">
        <f t="shared" si="224"/>
        <v>9.4629999999999992</v>
      </c>
      <c r="SH22" s="117">
        <f t="shared" si="224"/>
        <v>8.4947435596928661E-2</v>
      </c>
      <c r="SI22" s="117">
        <f t="shared" si="224"/>
        <v>4.0999999999999996</v>
      </c>
      <c r="SJ22" s="117" t="str">
        <f t="shared" si="224"/>
        <v>S</v>
      </c>
      <c r="SK22" s="117" t="str">
        <f t="shared" si="224"/>
        <v>S</v>
      </c>
      <c r="SL22" s="117" t="str">
        <f t="shared" si="224"/>
        <v>S</v>
      </c>
      <c r="SM22" s="117" t="str">
        <f t="shared" si="224"/>
        <v>S</v>
      </c>
      <c r="SN22" s="117" t="str">
        <f t="shared" si="224"/>
        <v>S</v>
      </c>
      <c r="SO22" s="117" t="str">
        <f t="shared" si="224"/>
        <v>S</v>
      </c>
      <c r="SP22" s="117" t="str">
        <f t="shared" si="224"/>
        <v>S</v>
      </c>
      <c r="SQ22" s="117" t="str">
        <f t="shared" si="224"/>
        <v>S</v>
      </c>
      <c r="SR22" s="117" t="str">
        <f>SR$14</f>
        <v>S</v>
      </c>
      <c r="SS22" s="117">
        <f t="shared" ref="SS22:SV22" si="225">SS$14</f>
        <v>1.5000000000000002</v>
      </c>
      <c r="ST22" s="117">
        <f t="shared" si="225"/>
        <v>1.5000000000000002</v>
      </c>
      <c r="SU22" s="117">
        <f t="shared" si="225"/>
        <v>0.5</v>
      </c>
      <c r="SV22" s="117">
        <f t="shared" si="225"/>
        <v>0.5</v>
      </c>
      <c r="SW22" s="117" t="str">
        <f t="shared" si="224"/>
        <v>S</v>
      </c>
      <c r="SX22" s="117" t="str">
        <f t="shared" si="224"/>
        <v>S</v>
      </c>
      <c r="SY22" s="117" t="str">
        <f t="shared" si="224"/>
        <v>S</v>
      </c>
      <c r="SZ22" s="117" t="str">
        <f t="shared" si="224"/>
        <v>S</v>
      </c>
      <c r="TA22" s="117" t="str">
        <f t="shared" si="224"/>
        <v>S</v>
      </c>
      <c r="TB22" s="117" t="str">
        <f t="shared" si="224"/>
        <v>S</v>
      </c>
      <c r="TC22" s="117" t="str">
        <f t="shared" si="224"/>
        <v>S</v>
      </c>
      <c r="TD22" s="117" t="str">
        <f t="shared" si="224"/>
        <v>S</v>
      </c>
      <c r="TE22" s="117" t="str">
        <f t="shared" si="224"/>
        <v>S</v>
      </c>
      <c r="TF22" s="117">
        <f t="shared" si="224"/>
        <v>3</v>
      </c>
      <c r="TG22" s="117">
        <f t="shared" si="224"/>
        <v>5.7</v>
      </c>
      <c r="TH22" s="117">
        <f t="shared" si="224"/>
        <v>3.0000000000000004</v>
      </c>
      <c r="TI22" s="117">
        <f t="shared" si="224"/>
        <v>0.16999999999999998</v>
      </c>
      <c r="TJ22" s="117">
        <f t="shared" si="224"/>
        <v>2.33</v>
      </c>
      <c r="TK22" s="117">
        <f t="shared" si="224"/>
        <v>0.26</v>
      </c>
      <c r="TL22" s="117">
        <f t="shared" si="224"/>
        <v>0.27</v>
      </c>
      <c r="TM22" s="117">
        <f t="shared" si="224"/>
        <v>0.1</v>
      </c>
      <c r="TN22" s="117">
        <f t="shared" si="224"/>
        <v>9.4630000000000312</v>
      </c>
      <c r="TO22" s="117">
        <f t="shared" si="224"/>
        <v>1.8425437273624747</v>
      </c>
      <c r="TP22" s="117" t="str">
        <f t="shared" si="224"/>
        <v>S</v>
      </c>
      <c r="TQ22" s="117" t="str">
        <f t="shared" si="224"/>
        <v>S</v>
      </c>
      <c r="TR22" s="117" t="str">
        <f t="shared" si="224"/>
        <v>S</v>
      </c>
      <c r="TS22" s="117" t="str">
        <f t="shared" si="224"/>
        <v>S</v>
      </c>
      <c r="TT22" s="117" t="str">
        <f t="shared" si="224"/>
        <v>S</v>
      </c>
      <c r="TU22" s="117" t="str">
        <f t="shared" si="224"/>
        <v>S</v>
      </c>
      <c r="TV22" s="117" t="str">
        <f t="shared" si="224"/>
        <v>S</v>
      </c>
      <c r="TW22" s="117" t="str">
        <f t="shared" si="224"/>
        <v>S</v>
      </c>
      <c r="TX22" s="117" t="str">
        <f t="shared" si="224"/>
        <v>S</v>
      </c>
      <c r="TY22" s="117">
        <f t="shared" si="224"/>
        <v>4</v>
      </c>
      <c r="TZ22" s="117">
        <f t="shared" si="224"/>
        <v>13</v>
      </c>
      <c r="UA22" s="117">
        <f t="shared" si="224"/>
        <v>4.16</v>
      </c>
      <c r="UB22" s="117">
        <f t="shared" si="224"/>
        <v>0.28000000000000003</v>
      </c>
      <c r="UC22" s="117">
        <f t="shared" si="224"/>
        <v>4.0599999999999996</v>
      </c>
      <c r="UD22" s="117">
        <f t="shared" si="224"/>
        <v>0.34499999999999992</v>
      </c>
      <c r="UE22" s="117">
        <f t="shared" si="224"/>
        <v>0.25</v>
      </c>
      <c r="UF22" s="117" t="str">
        <f t="shared" si="224"/>
        <v>S</v>
      </c>
      <c r="UG22" s="117" t="str">
        <f t="shared" si="224"/>
        <v>S</v>
      </c>
      <c r="UH22" s="117" t="str">
        <f t="shared" si="224"/>
        <v>S</v>
      </c>
      <c r="UI22" s="117" t="str">
        <f t="shared" si="224"/>
        <v>S</v>
      </c>
      <c r="UJ22" s="117"/>
      <c r="UK22" s="117" t="str">
        <f t="shared" si="224"/>
        <v>S</v>
      </c>
      <c r="UL22" s="117" t="str">
        <f t="shared" si="224"/>
        <v>S</v>
      </c>
      <c r="UM22" s="117" t="str">
        <f t="shared" si="224"/>
        <v>S</v>
      </c>
      <c r="UN22" s="117" t="str">
        <f t="shared" ref="UN22:UZ22" si="226">UN$14</f>
        <v>S</v>
      </c>
      <c r="UO22" s="117" t="str">
        <f t="shared" si="224"/>
        <v>S</v>
      </c>
      <c r="UP22" s="117" t="str">
        <f t="shared" si="226"/>
        <v>S</v>
      </c>
      <c r="UQ22" s="117" t="str">
        <f t="shared" si="226"/>
        <v>S</v>
      </c>
      <c r="UR22" s="117">
        <f t="shared" si="226"/>
        <v>1</v>
      </c>
      <c r="US22" s="117">
        <f t="shared" si="226"/>
        <v>2</v>
      </c>
      <c r="UT22" s="117">
        <f t="shared" si="226"/>
        <v>500</v>
      </c>
      <c r="UU22" s="117" t="str">
        <f t="shared" si="226"/>
        <v>S</v>
      </c>
      <c r="UV22" s="117" t="str">
        <f t="shared" si="226"/>
        <v>S</v>
      </c>
      <c r="UW22" s="117" t="str">
        <f t="shared" si="226"/>
        <v>S</v>
      </c>
      <c r="UX22" s="117" t="str">
        <f t="shared" si="226"/>
        <v>S</v>
      </c>
      <c r="UY22" s="117" t="str">
        <f t="shared" si="226"/>
        <v>S</v>
      </c>
      <c r="UZ22" s="117" t="str">
        <f t="shared" si="226"/>
        <v>S</v>
      </c>
      <c r="VA22" s="121" t="str">
        <f>VA$14</f>
        <v>S</v>
      </c>
      <c r="VB22" s="121" t="str">
        <f t="shared" ref="VB22:VH22" si="227">VB$14</f>
        <v>S</v>
      </c>
      <c r="VC22" s="121" t="str">
        <f t="shared" si="227"/>
        <v>S</v>
      </c>
      <c r="VD22" s="121" t="str">
        <f t="shared" si="227"/>
        <v>S</v>
      </c>
      <c r="VE22" s="121" t="str">
        <f t="shared" si="227"/>
        <v>S</v>
      </c>
      <c r="VF22" s="121" t="str">
        <f t="shared" si="227"/>
        <v>S</v>
      </c>
      <c r="VG22" s="121" t="str">
        <f t="shared" si="227"/>
        <v>S</v>
      </c>
      <c r="VH22" s="121" t="str">
        <f t="shared" si="227"/>
        <v>U</v>
      </c>
      <c r="VI22" s="117" t="str">
        <f>VI$14</f>
        <v>3</v>
      </c>
      <c r="VJ22" s="117" t="str">
        <f>VJ$14</f>
        <v>.3</v>
      </c>
      <c r="VK22" s="117">
        <f t="shared" ref="VK22:VT22" si="228">VK$14</f>
        <v>3</v>
      </c>
      <c r="VL22" s="117" t="str">
        <f t="shared" si="228"/>
        <v>3-SEC</v>
      </c>
      <c r="VM22" s="117" t="str">
        <f t="shared" si="228"/>
        <v>3-HS-RA</v>
      </c>
      <c r="VN22" s="117" t="str">
        <f t="shared" si="228"/>
        <v>HEADER SUPPORT, REAR SIDE A</v>
      </c>
      <c r="VO22" s="117" t="str">
        <f t="shared" si="228"/>
        <v>000000</v>
      </c>
      <c r="VP22" s="410">
        <f t="shared" si="228"/>
        <v>5</v>
      </c>
      <c r="VQ22" s="410">
        <f t="shared" si="228"/>
        <v>5</v>
      </c>
      <c r="VR22" s="410">
        <f t="shared" si="228"/>
        <v>0.125</v>
      </c>
      <c r="VS22" s="410">
        <f t="shared" si="228"/>
        <v>1.125</v>
      </c>
      <c r="VT22" s="410">
        <f t="shared" si="228"/>
        <v>3.5</v>
      </c>
      <c r="VX22" s="117" t="str">
        <f>VX$14</f>
        <v>3-SEC</v>
      </c>
    </row>
    <row r="23" spans="1:596" ht="14.4" collapsed="1" x14ac:dyDescent="0.3">
      <c r="A23" s="123"/>
      <c r="N23" s="166" t="str">
        <f ca="1">IFERROR(IF( (BTS_Location*2)+(BTS_Spacing*(QTY_of_BTS-1))&lt;&gt;Tube_Length,     (BTS_Location*2)+(BTS_Spacing*(QTY_of_BTS-1))&amp;" does not = actual tube length",""),"")</f>
        <v/>
      </c>
      <c r="AL23" s="67"/>
      <c r="AM23" s="67"/>
      <c r="AN23" s="67"/>
      <c r="AO23" s="67"/>
      <c r="AP23" s="67"/>
      <c r="AQ23" s="67"/>
      <c r="AR23" s="67"/>
      <c r="AS23" s="67"/>
      <c r="AT23" s="67"/>
      <c r="DE23" s="118"/>
      <c r="DF23" s="118" t="s">
        <v>594</v>
      </c>
      <c r="DG23" s="118" t="s">
        <v>594</v>
      </c>
      <c r="DH23" s="118" t="s">
        <v>594</v>
      </c>
      <c r="DI23" s="118" t="s">
        <v>594</v>
      </c>
      <c r="DJ23" s="118" t="s">
        <v>594</v>
      </c>
      <c r="DK23" s="118" t="s">
        <v>594</v>
      </c>
      <c r="DL23" s="118" t="s">
        <v>594</v>
      </c>
      <c r="DM23" s="118" t="s">
        <v>594</v>
      </c>
      <c r="DN23" s="118" t="s">
        <v>594</v>
      </c>
      <c r="DO23" s="118" t="s">
        <v>594</v>
      </c>
      <c r="DP23" s="118" t="s">
        <v>594</v>
      </c>
      <c r="DQ23" s="118" t="s">
        <v>594</v>
      </c>
      <c r="DR23" s="118" t="s">
        <v>594</v>
      </c>
      <c r="DS23" s="118" t="s">
        <v>594</v>
      </c>
      <c r="DT23" s="118"/>
      <c r="DU23" s="118" t="s">
        <v>594</v>
      </c>
      <c r="DV23" s="118" t="s">
        <v>594</v>
      </c>
      <c r="DW23" s="118" t="s">
        <v>594</v>
      </c>
      <c r="DX23" s="118" t="s">
        <v>594</v>
      </c>
      <c r="DY23" s="118" t="s">
        <v>594</v>
      </c>
      <c r="DZ23" s="118" t="s">
        <v>594</v>
      </c>
      <c r="EA23" s="118" t="s">
        <v>594</v>
      </c>
      <c r="EB23" s="118" t="s">
        <v>594</v>
      </c>
      <c r="EC23" s="118" t="s">
        <v>594</v>
      </c>
      <c r="ED23" s="118"/>
      <c r="EE23" s="119" t="s">
        <v>652</v>
      </c>
      <c r="EF23" s="118" t="s">
        <v>594</v>
      </c>
      <c r="EG23" s="118" t="s">
        <v>594</v>
      </c>
      <c r="EH23" s="118"/>
      <c r="EI23" s="118"/>
      <c r="EJ23" s="118" t="s">
        <v>594</v>
      </c>
      <c r="EK23" s="118" t="s">
        <v>594</v>
      </c>
      <c r="EO23" s="41">
        <v>0.62500000000001221</v>
      </c>
      <c r="FJ23" s="118" t="s">
        <v>594</v>
      </c>
      <c r="GD23" s="26" t="s">
        <v>594</v>
      </c>
      <c r="GG23" s="26" t="s">
        <v>594</v>
      </c>
      <c r="GI23" s="118" t="s">
        <v>594</v>
      </c>
      <c r="GU23" s="26" t="s">
        <v>594</v>
      </c>
      <c r="GX23" s="26" t="s">
        <v>594</v>
      </c>
      <c r="HL23" s="166">
        <f ca="1">IF(INT(SSP_Inner_Dim)=0,IF(BTS_Spacing&gt;48,BTS_Spacing,BTS_Spacing*2),SSP_Inner_Dim)</f>
        <v>96</v>
      </c>
      <c r="HM23" s="166">
        <f ca="1">IF(OR(QTY_of_BTS&lt;=2,AND(ISODD((QTY_of_BTS-1)/2),ISODD(QTY_of_BTS)),BTS_Spacing&gt;48),0.000004,BTS_Spacing)</f>
        <v>48</v>
      </c>
      <c r="HV23" s="26">
        <f ca="1">IF(AND(ISEVEN(QTY_of_BTS),QTY_of_BTS&gt;=2,ISEVEN((QTY_of_BTS-1)/2)),BTS_Spacing/2,IF(AND(QTY_of_BTS&lt;=1,SF_Length&lt;=96),SF_Length/2,IF(AND(SF_Length&gt;=96,QTY_of_BTS=1),ABS(Tube_Length/2-BTS_Location)+0.000004,IF(AND(BTS_Spacing&lt;=48,SF_Length&gt;96),ABS(SSP_Length-SSPC_Front_Dim),ABS(Tube_Length/2-(((QTY_of_BTS-1)/2)*BTS_Spacing)-BTS_Location+IF(Offset_BTS?="No",0,IF(Offset_BTS?="Yes - Rear HDR",BTS_Offset,-BTS_Offset)))+0.000004))))</f>
        <v>24.000035999999973</v>
      </c>
      <c r="HW23" s="356" t="str">
        <f ca="1">"These help simplify diagnosing the long formula in cell, "&amp;CELL("address",SSPC_Rear_Dim) &amp; ", by seperating each IF statement into different collumns"</f>
        <v>These help simplify diagnosing the long formula in cell, $HV$6, by seperating each IF statement into different collumns</v>
      </c>
      <c r="HX23" s="356"/>
      <c r="HY23" s="356"/>
      <c r="HZ23" s="356"/>
      <c r="IA23" s="356"/>
      <c r="IM23" s="1"/>
      <c r="IN23" s="1"/>
      <c r="IO23" s="1"/>
      <c r="IP23" s="1"/>
      <c r="IQ23" s="1"/>
      <c r="IR23" s="1"/>
      <c r="IS23" s="1"/>
      <c r="IT23" s="1"/>
      <c r="IU23" s="1"/>
      <c r="IV23" s="1"/>
      <c r="JJ23" s="193"/>
      <c r="JN23" s="194"/>
      <c r="MC23" s="67"/>
      <c r="MD23" s="67"/>
      <c r="ME23" s="67"/>
      <c r="MF23" s="67"/>
      <c r="MG23" s="67"/>
      <c r="MH23" s="67"/>
      <c r="MI23" s="67"/>
      <c r="MJ23" s="67"/>
      <c r="MK23" s="67" t="str">
        <f>IF(AND(HDR_Support_Top_Type="NONE",LZ6="U"),"U","S")</f>
        <v>S</v>
      </c>
      <c r="ML23" s="67"/>
      <c r="MM23" s="67"/>
      <c r="MN23" s="67"/>
      <c r="MO23" s="67"/>
      <c r="MP23" s="67"/>
      <c r="MQ23" s="67"/>
      <c r="MR23" s="67"/>
      <c r="MS23" s="67"/>
      <c r="MT23" s="67"/>
      <c r="MU23" s="67"/>
      <c r="MV23" s="67"/>
      <c r="MW23" s="67"/>
      <c r="MX23" s="67" t="str">
        <f>$MV6</f>
        <v>S</v>
      </c>
      <c r="MY23" s="67" t="str">
        <f>$MV6</f>
        <v>S</v>
      </c>
      <c r="MZ23" s="67"/>
      <c r="NA23" s="67"/>
      <c r="NB23" s="67" t="str">
        <f>$MV6</f>
        <v>S</v>
      </c>
      <c r="NC23" s="67" t="str">
        <f>$MV6</f>
        <v>S</v>
      </c>
      <c r="OX23" s="67"/>
      <c r="PF23" s="289"/>
      <c r="VA23"/>
      <c r="VB23"/>
      <c r="VC23"/>
      <c r="VD23"/>
      <c r="VE23"/>
      <c r="VF23"/>
      <c r="VG23"/>
      <c r="VH23"/>
      <c r="VI23"/>
      <c r="VJ23"/>
      <c r="VK23"/>
      <c r="VL23"/>
      <c r="VM23"/>
      <c r="VN23"/>
      <c r="VO23"/>
      <c r="VP23" s="406"/>
      <c r="VQ23" s="406"/>
      <c r="VR23" s="406"/>
      <c r="VS23" s="406"/>
      <c r="VT23" s="406"/>
      <c r="VX23"/>
    </row>
    <row r="24" spans="1:596" ht="64.5" customHeight="1" x14ac:dyDescent="0.3">
      <c r="G24" s="390" t="str">
        <f>IF(AND(SF_Length&gt;=720, LEFT(A2,6)&lt;&gt;"000000"),"Might need to manipulate model and split into separate bodies, to over come manufacturing limitation of 720 inch / 60 ft length","")</f>
        <v/>
      </c>
      <c r="H24" s="390"/>
      <c r="L24" s="213"/>
      <c r="O24" s="175">
        <f ca="1">IF(AND(QTY_of_BTS=1,LEFT(Offset_BTS?,3)="Yes"),Tube_Length/2+BTS_Offset,Tube_Length/2)</f>
        <v>390</v>
      </c>
      <c r="P24" s="176" t="str">
        <f ca="1">IF(AND(BTS_Location&gt;=O24,QTY_of_BTS&gt;1),"&lt;- Half tube length Ref.  First BTS Location cannot be equal to or larger than this value",    IF(AND(QTY_of_BTS=1,LEFT(Offset_BTS?,3)="Yes"),"&lt;- Half tube length Ref + BTS Offset Ref","&lt;- Half tube length Ref"))</f>
        <v>&lt;- Half tube length Ref</v>
      </c>
      <c r="R24" s="168" t="s">
        <v>1004</v>
      </c>
      <c r="S24" s="391" t="str">
        <f>IF(AND(ProductLine="AXC",BTS_Con_Type="Bolt On",BTS_Type&lt;&gt;"Angle",BTS_Type&lt;&gt;"Channel",BTS_Type&lt;&gt;"None"),"Model only supports 'ANGLE' or  'CHANNEL' BTS Types for an AXC style of 'BOLT ON' BTS Connection Type","")</f>
        <v/>
      </c>
      <c r="T24" s="391"/>
      <c r="U24" s="205"/>
      <c r="V24" s="205"/>
      <c r="AA24" s="329" t="s">
        <v>1299</v>
      </c>
      <c r="AB24" s="213" t="s">
        <v>1093</v>
      </c>
      <c r="AL24" s="331" t="str">
        <f>IF(AND(ProductLine="AXC",HDR_Support_Type&lt;&gt;"None"), IF(OR(RIGHT(Front_Support_Bar_Type,12)&lt;&gt;"Support Beam",RIGHT(Rear_Support_Bar_Type,12)&lt;&gt;"Support Beam"),"Must change header asm table!!  Update weld bar / float bar type to be compatible with Header Supports.",""),"")</f>
        <v/>
      </c>
      <c r="AM24" s="331"/>
      <c r="AV24"/>
      <c r="AW24"/>
      <c r="AX24"/>
      <c r="AY24" s="26" t="s">
        <v>861</v>
      </c>
      <c r="BB24" s="26" t="s">
        <v>864</v>
      </c>
      <c r="BE24" t="s">
        <v>862</v>
      </c>
      <c r="BF24"/>
      <c r="BG24"/>
      <c r="BH24" t="s">
        <v>863</v>
      </c>
      <c r="BI24"/>
      <c r="BJ24"/>
      <c r="BK24"/>
      <c r="BL24"/>
      <c r="BM24"/>
      <c r="BN24"/>
      <c r="BO24"/>
      <c r="BP24"/>
      <c r="BQ24"/>
      <c r="BR24"/>
      <c r="BS24"/>
      <c r="BT24"/>
      <c r="BU24"/>
      <c r="BV24"/>
      <c r="BW24"/>
      <c r="BX24"/>
      <c r="BY24"/>
      <c r="BZ24"/>
      <c r="CA24"/>
      <c r="CB24"/>
      <c r="DF24" s="2"/>
      <c r="DG24" s="2"/>
      <c r="DH24" s="2"/>
      <c r="DI24" s="2"/>
      <c r="DJ24" s="2"/>
      <c r="DO24" s="2"/>
      <c r="DP24" s="2"/>
      <c r="DQ24" s="2"/>
      <c r="DR24" s="2"/>
      <c r="DS24" s="2"/>
      <c r="DT24" s="2"/>
      <c r="DU24" s="2"/>
      <c r="DV24" s="2"/>
      <c r="DW24" s="2"/>
      <c r="DX24" s="2"/>
      <c r="EJ24" s="118" t="s">
        <v>594</v>
      </c>
      <c r="HF24" s="205"/>
      <c r="HL24" s="214" t="s">
        <v>1104</v>
      </c>
      <c r="HM24" s="214" t="s">
        <v>1104</v>
      </c>
      <c r="HV24" s="214" t="s">
        <v>1104</v>
      </c>
      <c r="HZ24" s="392" t="s">
        <v>1105</v>
      </c>
      <c r="IA24" s="392"/>
      <c r="JJ24" s="193"/>
      <c r="JN24" s="194"/>
      <c r="MC24" s="166"/>
      <c r="MD24" s="166"/>
      <c r="ME24" s="166"/>
      <c r="MF24" s="166"/>
      <c r="MG24" s="166"/>
      <c r="MH24" s="166"/>
      <c r="MI24" s="166"/>
      <c r="MJ24" s="269"/>
      <c r="MK24" s="269" t="s">
        <v>1142</v>
      </c>
      <c r="ML24" s="269" t="s">
        <v>1142</v>
      </c>
      <c r="MM24" s="166"/>
      <c r="MN24" s="166"/>
      <c r="MO24" s="166"/>
      <c r="MP24" s="166"/>
      <c r="MQ24" s="166"/>
      <c r="MR24" s="166"/>
      <c r="MS24" s="166"/>
      <c r="MT24" s="166"/>
      <c r="MU24" s="166"/>
      <c r="MV24" s="166"/>
      <c r="MW24" s="166"/>
      <c r="MX24" s="269" t="s">
        <v>1142</v>
      </c>
      <c r="MY24" s="269" t="s">
        <v>1142</v>
      </c>
      <c r="MZ24" s="166"/>
      <c r="NA24" s="166"/>
      <c r="NB24" s="269" t="s">
        <v>1142</v>
      </c>
      <c r="NC24" s="269" t="s">
        <v>1142</v>
      </c>
      <c r="NF24"/>
      <c r="OO24"/>
      <c r="OP24"/>
      <c r="OQ24"/>
      <c r="OR24"/>
      <c r="OS24"/>
      <c r="OT24"/>
      <c r="OU24"/>
      <c r="OV24"/>
      <c r="OW24"/>
      <c r="OX24" s="67"/>
      <c r="OY24"/>
      <c r="OZ24"/>
      <c r="PA24"/>
      <c r="PB24"/>
      <c r="PC24"/>
      <c r="PD24"/>
      <c r="PE24"/>
      <c r="PF24"/>
      <c r="SV24" s="26" t="s">
        <v>1201</v>
      </c>
    </row>
    <row r="25" spans="1:596" ht="14.4" x14ac:dyDescent="0.3">
      <c r="K25" s="186" t="str">
        <f>IF(ProductLine&lt;&gt;"AXC","Bolt on Angle (Hammco)","Bolt on Angle")</f>
        <v>Bolt on Angle</v>
      </c>
      <c r="L25"/>
      <c r="M25" s="114">
        <f ca="1">IF(ProductLine="AXC",   IFERROR(VLOOKUP(Tube_Length, INDIRECT("BTS_Loc\Qty_"&amp;Unit_Type&amp;ROUND(Tube_Dia,4)&amp;"_Table"),19, FALSE),"Type Value"),    IFERROR(VLOOKUP(Tube_Length,BTS_LL_Hammco_Table,3,FALSE),16)    )</f>
        <v>16</v>
      </c>
      <c r="N25" s="40">
        <f ca="1">IF(OR(QTY_of_BTS=1,BTS_Location&gt;Tube_Length/2),4,ABS((Tube_Length-(2*BTS_Location))/(QTY_of_BTS-1)))</f>
        <v>48</v>
      </c>
      <c r="O25" s="114">
        <f ca="1">IF( ProductLine = "AXC",     IFERROR(VLOOKUP(Tube_Length, INDIRECT("BTS_Loc\Qty_"&amp;Unit_Type&amp;ROUND(Tube_Dia,4)&amp;"_Table"),2, FALSE),"Type Val"),    IFERROR(VLOOKUP(Tube_Length,  BTS_LL_Hammco_Table,5,FALSE), 30)   )</f>
        <v>30</v>
      </c>
      <c r="P25"/>
      <c r="R25" s="114" t="str">
        <f>IF(ProductLine="Hammco","Channel","Angle")</f>
        <v>Angle</v>
      </c>
      <c r="S25" s="114" t="str">
        <f>IF(BTS_Type="Angle","L2x3x0.1875",IF(BTS_Type="Channel","C3x4.1","Pick from List"))</f>
        <v>L2x3x0.1875</v>
      </c>
      <c r="T25" s="66" t="str">
        <f>IF(SF_Width&lt;=50,"Weld On","Bolt On")</f>
        <v>Weld On</v>
      </c>
      <c r="U25" s="211"/>
      <c r="V25" s="211" t="str">
        <f>IF(Locking_Tab?="Yes","No","Yes")</f>
        <v>Yes</v>
      </c>
      <c r="AA25"/>
      <c r="AB25"/>
      <c r="AD25" s="187" t="str">
        <f>IF(ProductLine="AXC","Weld On","Bolt On")</f>
        <v>Weld On</v>
      </c>
      <c r="AK25" s="56">
        <f>IF( ProductLine = "Hammco", IFERROR(VLOOKUP(Tube_Length,  BTS_LL_Hammco_Table,6,FALSE), 500),  500)</f>
        <v>500</v>
      </c>
      <c r="AL25" s="65" t="str">
        <f>IF(ProductLine="AXC","None","Channel")</f>
        <v>None</v>
      </c>
      <c r="AT25" s="114" t="str">
        <f ca="1">IF(ISEVEN(QTY_of_BTS),"Bolt On","Weld On")</f>
        <v>Bolt On</v>
      </c>
      <c r="EJ25" s="118" t="s">
        <v>594</v>
      </c>
      <c r="HF25" s="206"/>
      <c r="OX25" s="67"/>
    </row>
    <row r="26" spans="1:596" ht="14.4" x14ac:dyDescent="0.3">
      <c r="M26"/>
      <c r="N26"/>
      <c r="OX26" s="67"/>
      <c r="PV26"/>
      <c r="PW26"/>
      <c r="RB26" s="2"/>
      <c r="RY26" s="2"/>
      <c r="TD26" s="2"/>
      <c r="TW26" s="2"/>
    </row>
    <row r="28" spans="1:596" x14ac:dyDescent="0.25">
      <c r="GH28" s="26" t="s">
        <v>35</v>
      </c>
      <c r="GZ28" s="26" t="s">
        <v>35</v>
      </c>
    </row>
    <row r="30" spans="1:596" x14ac:dyDescent="0.25">
      <c r="GH30" s="26" t="s">
        <v>36</v>
      </c>
      <c r="GZ30" s="26" t="s">
        <v>36</v>
      </c>
    </row>
    <row r="37" spans="1:41" x14ac:dyDescent="0.25">
      <c r="A37" s="120" t="s">
        <v>1276</v>
      </c>
      <c r="B37" s="26" t="s">
        <v>1275</v>
      </c>
      <c r="F37" s="26">
        <v>0.25</v>
      </c>
      <c r="K37" s="26" t="s">
        <v>605</v>
      </c>
      <c r="R37" s="26" t="s">
        <v>144</v>
      </c>
      <c r="S37" s="26" t="s">
        <v>335</v>
      </c>
      <c r="AL37" s="26" t="s">
        <v>144</v>
      </c>
      <c r="AM37" s="26" t="s">
        <v>335</v>
      </c>
      <c r="AN37" s="26" t="s">
        <v>127</v>
      </c>
      <c r="AO37" s="26" t="s">
        <v>127</v>
      </c>
    </row>
  </sheetData>
  <dataConsolidate/>
  <mergeCells count="62">
    <mergeCell ref="G24:H24"/>
    <mergeCell ref="NF3:NU3"/>
    <mergeCell ref="NV3:ON3"/>
    <mergeCell ref="S24:T24"/>
    <mergeCell ref="HZ24:IA24"/>
    <mergeCell ref="JV3:KM3"/>
    <mergeCell ref="KN3:LB3"/>
    <mergeCell ref="JD3:JH3"/>
    <mergeCell ref="LC3:LY3"/>
    <mergeCell ref="IL3:JA3"/>
    <mergeCell ref="JI3:JN3"/>
    <mergeCell ref="EG3:FF3"/>
    <mergeCell ref="ES4:FF4"/>
    <mergeCell ref="FZ3:GO3"/>
    <mergeCell ref="W3:Z3"/>
    <mergeCell ref="AJ3:AK3"/>
    <mergeCell ref="A1:B1"/>
    <mergeCell ref="R2:T2"/>
    <mergeCell ref="A3:A4"/>
    <mergeCell ref="C3:E3"/>
    <mergeCell ref="B3:B4"/>
    <mergeCell ref="K3:K4"/>
    <mergeCell ref="R1:T1"/>
    <mergeCell ref="AF3:AI3"/>
    <mergeCell ref="AC3:AE3"/>
    <mergeCell ref="AA3:AB3"/>
    <mergeCell ref="L3:T3"/>
    <mergeCell ref="F3:J3"/>
    <mergeCell ref="V3:V4"/>
    <mergeCell ref="U3:U4"/>
    <mergeCell ref="SW3:TO3"/>
    <mergeCell ref="UK3:UT3"/>
    <mergeCell ref="OO3:OX3"/>
    <mergeCell ref="OY3:PB3"/>
    <mergeCell ref="PU3:QS3"/>
    <mergeCell ref="PC3:PT3"/>
    <mergeCell ref="TP3:UE3"/>
    <mergeCell ref="RR3:SI3"/>
    <mergeCell ref="CU3:DD3"/>
    <mergeCell ref="AL3:AO3"/>
    <mergeCell ref="RJ3:RQ3"/>
    <mergeCell ref="HZ2:IA2"/>
    <mergeCell ref="EF3:EF4"/>
    <mergeCell ref="EE3:EE4"/>
    <mergeCell ref="QU3:RI3"/>
    <mergeCell ref="BK3:CH3"/>
    <mergeCell ref="AL24:AM24"/>
    <mergeCell ref="DE3:ED3"/>
    <mergeCell ref="CI3:CT3"/>
    <mergeCell ref="VA3:VH3"/>
    <mergeCell ref="VI3:VO3"/>
    <mergeCell ref="SJ3:SQ3"/>
    <mergeCell ref="UV3:UZ3"/>
    <mergeCell ref="JO3:JU3"/>
    <mergeCell ref="AS3:AT3"/>
    <mergeCell ref="AY3:BD3"/>
    <mergeCell ref="BE3:BJ3"/>
    <mergeCell ref="AP3:AR3"/>
    <mergeCell ref="HW23:IA23"/>
    <mergeCell ref="HF3:HI3"/>
    <mergeCell ref="GP3:HB3"/>
    <mergeCell ref="HC3:HE3"/>
  </mergeCells>
  <phoneticPr fontId="20" type="noConversion"/>
  <conditionalFormatting sqref="G4 C6 G24">
    <cfRule type="expression" dxfId="36" priority="12">
      <formula>$G$24&lt;&gt;""</formula>
    </cfRule>
  </conditionalFormatting>
  <conditionalFormatting sqref="H1 H6">
    <cfRule type="expression" dxfId="35" priority="8">
      <formula>$H$1&lt;&gt;""</formula>
    </cfRule>
  </conditionalFormatting>
  <conditionalFormatting sqref="L4:L6 L24">
    <cfRule type="expression" dxfId="34" priority="29">
      <formula>$B$6&lt;&gt;"AXC"</formula>
    </cfRule>
  </conditionalFormatting>
  <conditionalFormatting sqref="M25">
    <cfRule type="expression" dxfId="33" priority="25">
      <formula>$M$6="Type Value"</formula>
    </cfRule>
  </conditionalFormatting>
  <conditionalFormatting sqref="O6 O25 M6 O24:P24">
    <cfRule type="expression" dxfId="32" priority="27">
      <formula>$M$6="Type Value"</formula>
    </cfRule>
  </conditionalFormatting>
  <conditionalFormatting sqref="O6 O25">
    <cfRule type="expression" dxfId="31" priority="26">
      <formula>AND($O$6&gt;=$O$24,$M$6&gt;1)</formula>
    </cfRule>
  </conditionalFormatting>
  <conditionalFormatting sqref="O24:P24">
    <cfRule type="expression" dxfId="30" priority="47">
      <formula>AND($O$6&gt;=$O$24,$M$6&gt;1)</formula>
    </cfRule>
  </conditionalFormatting>
  <conditionalFormatting sqref="P4:P6">
    <cfRule type="expression" dxfId="29" priority="72">
      <formula>OR(ISEVEN(QTY_of_BTS),QTY_of_BTS&lt;=1)</formula>
    </cfRule>
  </conditionalFormatting>
  <conditionalFormatting sqref="Q4:Q6">
    <cfRule type="expression" dxfId="28" priority="75">
      <formula>OR(LEFT(Offset_BTS?,3) &lt;&gt;"Yes",QTY_of_BTS&lt;=1,ISEVEN(QTY_of_BTS))</formula>
    </cfRule>
  </conditionalFormatting>
  <conditionalFormatting sqref="R1 U3:V3 T4:U4 T5:V5">
    <cfRule type="expression" dxfId="27" priority="7">
      <formula>$R$1&lt;&gt;""</formula>
    </cfRule>
  </conditionalFormatting>
  <conditionalFormatting sqref="R6 T6:V6 S24:V24 HF24:HF25 T25:V25">
    <cfRule type="expression" dxfId="26" priority="15">
      <formula>$S$24&lt;&gt;""</formula>
    </cfRule>
  </conditionalFormatting>
  <conditionalFormatting sqref="R25">
    <cfRule type="expression" dxfId="25" priority="43">
      <formula>$S$24&lt;&gt;""</formula>
    </cfRule>
  </conditionalFormatting>
  <conditionalFormatting sqref="S6">
    <cfRule type="expression" dxfId="24" priority="16">
      <formula>OR(AND($R$6="Angle",LEFT($S$6,1)&lt;&gt;"L"),AND($R$6="Channel",LEFT($S$6,1)&lt;&gt;"C"),AND($R$6="S Section",LEFT($S$6,1)&lt;&gt;"S"),AND($R$6="W Section",LEFT($S$6,1)&lt;&gt;"W"))</formula>
    </cfRule>
  </conditionalFormatting>
  <conditionalFormatting sqref="S25">
    <cfRule type="expression" dxfId="23" priority="44">
      <formula>OR(AND($R$6="Angle",LEFT($S$6,1)&lt;&gt;"L"),AND($R$6="Channel",LEFT($S$6,1)&lt;&gt;"C"),AND($R$6="S Section",LEFT($S$6,1)&lt;&gt;"S"),AND($R$6="W Section",LEFT($S$6,1)&lt;&gt;"W"))</formula>
    </cfRule>
  </conditionalFormatting>
  <conditionalFormatting sqref="U3:V3 S4:U4 S5:V6 U25:V25">
    <cfRule type="expression" dxfId="22" priority="9">
      <formula>$R$6="None"</formula>
    </cfRule>
  </conditionalFormatting>
  <conditionalFormatting sqref="U3:V3 T4:U4 T5:V5 R2">
    <cfRule type="expression" dxfId="21" priority="11">
      <formula>$R$2&lt;&gt;""</formula>
    </cfRule>
  </conditionalFormatting>
  <conditionalFormatting sqref="W3 W4:Z6">
    <cfRule type="expression" dxfId="20" priority="57">
      <formula>OR($V$6="No",$B$6="Hammco")</formula>
    </cfRule>
  </conditionalFormatting>
  <conditionalFormatting sqref="Y4:Y6">
    <cfRule type="expression" dxfId="19" priority="76">
      <formula>ROUND($CD$6,0)=0</formula>
    </cfRule>
  </conditionalFormatting>
  <conditionalFormatting sqref="AA6">
    <cfRule type="expression" dxfId="18" priority="56">
      <formula>$S$24&lt;&gt;""</formula>
    </cfRule>
  </conditionalFormatting>
  <conditionalFormatting sqref="AD25">
    <cfRule type="expression" dxfId="17" priority="48">
      <formula>$AC$6="S"</formula>
    </cfRule>
  </conditionalFormatting>
  <conditionalFormatting sqref="AE4:AE6">
    <cfRule type="expression" dxfId="16" priority="13">
      <formula>OR($AC$6="No",$AD$6 &lt;&gt;"HAC Weld On")</formula>
    </cfRule>
  </conditionalFormatting>
  <conditionalFormatting sqref="AF3:AI5 AF6:AG6 AI6">
    <cfRule type="expression" dxfId="15" priority="90">
      <formula>LEFT($AD$6,3) &lt;&gt;"AXC"</formula>
    </cfRule>
  </conditionalFormatting>
  <conditionalFormatting sqref="AF3:AK6 AD4 AD6">
    <cfRule type="expression" dxfId="14" priority="58">
      <formula>$AC$6="No"</formula>
    </cfRule>
  </conditionalFormatting>
  <conditionalFormatting sqref="AH6">
    <cfRule type="expression" dxfId="13" priority="93">
      <formula>OR($AC$6="No",LEFT($AD$6,3)&lt;&gt;"AXC")</formula>
    </cfRule>
  </conditionalFormatting>
  <conditionalFormatting sqref="AJ3:AK6 AK25">
    <cfRule type="expression" dxfId="12" priority="94">
      <formula>$AD$6&lt;&gt;"Bolt On"</formula>
    </cfRule>
  </conditionalFormatting>
  <conditionalFormatting sqref="AK25">
    <cfRule type="expression" dxfId="11" priority="32">
      <formula>$AC$6="S"</formula>
    </cfRule>
  </conditionalFormatting>
  <conditionalFormatting sqref="AL4:AL5 AL24:AM24">
    <cfRule type="expression" dxfId="10" priority="4">
      <formula>$AL$24&lt;&gt;""</formula>
    </cfRule>
  </conditionalFormatting>
  <conditionalFormatting sqref="AM6">
    <cfRule type="expression" dxfId="9" priority="34">
      <formula>OR(AND($R$6="Angle",LEFT($S$6,1)&lt;&gt;"L"),AND($R$6="Channel",LEFT($S$6,1)&lt;&gt;"C"),AND($R$6="S Section",LEFT($S$6,1)&lt;&gt;"S"),AND($R$6="W Section",LEFT($S$6,1)&lt;&gt;"W"))</formula>
    </cfRule>
  </conditionalFormatting>
  <conditionalFormatting sqref="AM4:AO5 AN6:AO6">
    <cfRule type="expression" dxfId="8" priority="88">
      <formula>$AL$6="None"</formula>
    </cfRule>
  </conditionalFormatting>
  <conditionalFormatting sqref="AN4:AT6">
    <cfRule type="expression" dxfId="7" priority="23">
      <formula>$B$6="AXC"</formula>
    </cfRule>
  </conditionalFormatting>
  <conditionalFormatting sqref="AP3:AS3">
    <cfRule type="expression" dxfId="6" priority="64">
      <formula>$B$6="AXC"</formula>
    </cfRule>
  </conditionalFormatting>
  <conditionalFormatting sqref="AQ4">
    <cfRule type="expression" dxfId="5" priority="65">
      <formula>$AL$6="None"</formula>
    </cfRule>
  </conditionalFormatting>
  <conditionalFormatting sqref="AQ6">
    <cfRule type="expression" dxfId="4" priority="66">
      <formula>OR(AND($AP$6&lt;&gt;"None",$AP$6="Angle",LEFT($AQ$6,1)&lt;&gt;"L"), AND($AP$6&lt;&gt;"None",$AP$6="Channel",LEFT($AQ$6,1)&lt;&gt;"C"))</formula>
    </cfRule>
  </conditionalFormatting>
  <conditionalFormatting sqref="AQ4:AR6">
    <cfRule type="expression" dxfId="3" priority="67">
      <formula>$AP$6="None"</formula>
    </cfRule>
  </conditionalFormatting>
  <conditionalFormatting sqref="AT25">
    <cfRule type="expression" dxfId="2" priority="21">
      <formula>$B$6="AXC"</formula>
    </cfRule>
  </conditionalFormatting>
  <conditionalFormatting sqref="BS6">
    <cfRule type="expression" dxfId="1" priority="69">
      <formula>LEFT($BP$6,2)&lt;&gt;"BC"</formula>
    </cfRule>
  </conditionalFormatting>
  <conditionalFormatting sqref="BT4:BW6">
    <cfRule type="expression" dxfId="0" priority="89">
      <formula>LEFT($BP$6,2)&lt;&gt;"BC"</formula>
    </cfRule>
  </conditionalFormatting>
  <dataValidations xWindow="1183" yWindow="652" count="31">
    <dataValidation allowBlank="1" sqref="AG28:AG29 IH6:II6 IW6:JC6 IK6:IU6 C6:H6 CJ6:CT6 A6 A11:A14 VK15:VT22 VU6:XFD14 AG6:AK6 Q6:Q14 P7:P14 JI6:JM6 HG6:HT6 EO22:EO23 N6:O14 OO6:QQ6 AK25 N25:O25 B7:M14 QU6:UL6 W6:Y6 JT6:JU22 JB7:JM14 VK6:VL14 VX6:VX22 R7:AT14 HF7:JA21 OO7:SN21 FZ6:HE21 JN6:JP14 JQ6:JS21 JB15:JP21 JV6:ON21 JV22:SN22 FX22:JS22 AU6:BZ14 CA6:CH6 SO7:VJ22 AF22:EN22 US6:VJ6 AF15:ES21 CV6:ES6 CA7:ES14 EP22:ES22 ET6:FY22 B15:AE22 VN7:VT14" xr:uid="{00000000-0002-0000-0000-000000000000}"/>
    <dataValidation allowBlank="1" promptTitle="$LIBRARY:MATERIAL@000000_S01c_SF" prompt="Select a material to apply to this configuration. A valid material entry follows the form 'Library:Material'" sqref="I6" xr:uid="{00000000-0002-0000-0000-000001000000}"/>
    <dataValidation allowBlank="1" promptTitle="$PRP@PartNo" prompt="3X-SFR" sqref="VM6:VM14 VO6" xr:uid="{00000000-0002-0000-0000-000002000000}"/>
    <dataValidation type="list" allowBlank="1" sqref="R25 R6" xr:uid="{00000000-0002-0000-0000-000003000000}">
      <formula1>BTS_List</formula1>
    </dataValidation>
    <dataValidation type="list" allowBlank="1" sqref="S25 S6" xr:uid="{00000000-0002-0000-0000-000004000000}">
      <formula1>INDIRECT(VLOOKUP(BTS_Type,BTS_Table,2,FALSE))</formula1>
    </dataValidation>
    <dataValidation type="list" allowBlank="1" sqref="AP6 AL25 AL6" xr:uid="{00000000-0002-0000-0000-000005000000}">
      <formula1>"None, Angle, Channel"</formula1>
    </dataValidation>
    <dataValidation type="list" allowBlank="1" sqref="AM6" xr:uid="{00000000-0002-0000-0000-000006000000}">
      <formula1>INDIRECT(IF($AL$6="Channel","C_Channel_List","L_Angle_List"))</formula1>
    </dataValidation>
    <dataValidation type="list" allowBlank="1" sqref="K25 K6" xr:uid="{00000000-0002-0000-0000-000007000000}">
      <formula1>TTS_List</formula1>
    </dataValidation>
    <dataValidation operator="greaterThanOrEqual" allowBlank="1" showErrorMessage="1" errorTitle="Error" error="Value below 1 not supported.  For no BTS use DELETE BODY command to remove parent features." sqref="M6 M25" xr:uid="{00000000-0002-0000-0000-000008000000}"/>
    <dataValidation type="list" allowBlank="1" errorTitle="Error" error="Only &quot;S&quot; or &quot;U&quot; supported" sqref="AF6" xr:uid="{00000000-0002-0000-0000-000009000000}">
      <formula1>"0.5"",0.75"",0.375"",1"",1.5"""</formula1>
    </dataValidation>
    <dataValidation allowBlank="1" promptTitle="$PRP@PartNo" prompt="1-2X-SFR" sqref="CU6 CI6" xr:uid="{00000000-0002-0000-0000-00000B000000}"/>
    <dataValidation type="list" allowBlank="1" sqref="P6" xr:uid="{00000000-0002-0000-0000-00000C000000}">
      <formula1>Offset_Center_BTS_List</formula1>
    </dataValidation>
    <dataValidation showErrorMessage="1" errorTitle="SOLIDWORKS Error:" error="The value you have entered is invalid.  Please enter a valid value before continuing." promptTitle="D1@Air Seal Panel Trim or Remove" prompt="Enter a valid value for this parameter." sqref="IE6:IF6 HU6:IA6" xr:uid="{00000000-0002-0000-0000-00000D000000}"/>
    <dataValidation allowBlank="1" showErrorMessage="1" sqref="IM23:IV23 IG4 DO24:DX24 DF24:DJ24 DY5:EK5 IB4:ID4 TW26 O5:DE5 PX5:QQ5 RB26 QU5:RA5 RY26 TD26 NG5:PU5 UZ4 RZ5:TC5 TE5:TV5 RC5:RX5 FU5:IL5 A5:L5 FS5 TX5:VJ5 IW5:NE5 EM5:FQ5 VM5:VO5 VU5:XFD5" xr:uid="{00000000-0002-0000-0000-00000E000000}"/>
    <dataValidation type="list" allowBlank="1" sqref="B6" xr:uid="{00000000-0002-0000-0000-00000F000000}">
      <formula1>"AXC, Hammco"</formula1>
    </dataValidation>
    <dataValidation type="list" allowBlank="1" sqref="HF25 T25:U25 T6" xr:uid="{00000000-0002-0000-0000-000010000000}">
      <formula1>"Bolt On,Weld On"</formula1>
    </dataValidation>
    <dataValidation type="list" allowBlank="1" sqref="AR6" xr:uid="{00000000-0002-0000-0000-000011000000}">
      <formula1>"Weld on, Bolt on"</formula1>
    </dataValidation>
    <dataValidation type="list" allowBlank="1" sqref="AQ6" xr:uid="{00000000-0002-0000-0000-000012000000}">
      <formula1>INDIRECT(IF($AP$6="Channel","C_Channel_List","L_Angle_List"))</formula1>
    </dataValidation>
    <dataValidation type="list" allowBlank="1" sqref="AN6:AO6" xr:uid="{00000000-0002-0000-0000-000013000000}">
      <formula1>Slide_Pad_List</formula1>
    </dataValidation>
    <dataValidation type="list" allowBlank="1" sqref="AS6 U25:V25 U6:V6" xr:uid="{00000000-0002-0000-0000-000015000000}">
      <formula1>"Yes, No"</formula1>
    </dataValidation>
    <dataValidation allowBlank="1" promptTitle="$PRP@Description" prompt="SIDE FRAME ASSEMBLY" sqref="VN6" xr:uid="{00000000-0002-0000-0000-000016000000}"/>
    <dataValidation type="list" allowBlank="1" errorTitle="Error" error="Only &quot;S&quot; or &quot;U&quot; supported" sqref="AD25" xr:uid="{00000000-0002-0000-0000-000017000000}">
      <formula1>"Bolt On, Weld On"</formula1>
    </dataValidation>
    <dataValidation type="list" allowBlank="1" sqref="HF6" xr:uid="{00000000-0002-0000-0000-000018000000}">
      <formula1>"Yes - Left Side, Yes - Right Side, No"</formula1>
    </dataValidation>
    <dataValidation type="list" allowBlank="1" showErrorMessage="1" errorTitle="Error" error="Only &quot;S&quot; or &quot;U&quot; supported" sqref="AA6 AC6" xr:uid="{00000000-0002-0000-0000-000019000000}">
      <formula1>"Yes, No"</formula1>
    </dataValidation>
    <dataValidation allowBlank="1" showErrorMessage="1" errorTitle="Error" error="Only &quot;S&quot; or &quot;U&quot; supported" sqref="AB6" xr:uid="{00000000-0002-0000-0000-00001A000000}"/>
    <dataValidation type="list" allowBlank="1" sqref="L6" xr:uid="{00000000-0002-0000-0000-00001B000000}">
      <formula1>"EH\VV\VI_, Horizontal_, Horiz\TEMA\API_"</formula1>
    </dataValidation>
    <dataValidation allowBlank="1" errorTitle="Error" error="Only &quot;S&quot; or &quot;U&quot; supported" sqref="UM6:UR6" xr:uid="{00000000-0002-0000-0000-000014000000}"/>
    <dataValidation type="list" allowBlank="1" showInputMessage="1" showErrorMessage="1" sqref="AE6" xr:uid="{71C6781E-7E17-466A-9610-BD27ADC288B2}">
      <formula1>"Outside, Inside"</formula1>
    </dataValidation>
    <dataValidation type="list" allowBlank="1" showErrorMessage="1" errorTitle="Error" error="Only &quot;S&quot; or &quot;U&quot; supported" sqref="AD6" xr:uid="{3A013899-5731-45A0-81FF-A7FD08C06FB4}">
      <formula1>"AXC Weld On, HAC Bolt On, HAC Weld On"</formula1>
    </dataValidation>
    <dataValidation type="list" allowBlank="1" promptTitle="$LIBRARY:MATERIAL@000000_S01c_SF" prompt="Select a material to apply to this configuration. A valid material entry follows the form 'Library:Material'" sqref="J6" xr:uid="{618CA0BF-DD35-466B-B3C9-7561B7AB1F48}">
      <formula1>"Painted, Galvanized"</formula1>
    </dataValidation>
    <dataValidation type="list" allowBlank="1" sqref="Z6" xr:uid="{FDD41256-5E26-4F56-BE13-F9C5F21EB607}">
      <formula1>"STD, Actual"</formula1>
    </dataValidation>
  </dataValidations>
  <pageMargins left="0.7" right="0.7" top="0.75" bottom="0.75" header="0.3" footer="0.3"/>
  <pageSetup orientation="portrait" r:id="rId1"/>
  <cellWatches>
    <cellWatch r="EH4"/>
    <cellWatch r="EI4"/>
    <cellWatch r="EH6"/>
    <cellWatch r="EI6"/>
  </cellWatches>
  <ignoredErrors>
    <ignoredError sqref="PI6 KO11:KO14 LC9:LP9 LD11:LD14 VE7:VH8 KO9 VA7:VC8 QC7:QC8 OO9:PB14 PQ9:PR14 PN9:PO14 PG9:PL14 VJ9:VK14 VO13:VO14 MM10:NG14 NV9:NY14 QP9:QQ10 US9:UT14 VO9:VO10 NJ9:NT14 NU7:NU14 OC9:OM14 ON7:ON14 UN9 UK9:UM14 RR9:RV9 RR11:RV14 PU9:QC9 QE9:QN9 SW9:TA9 TC9:TT9 TC11:TT14 QE11:QN14 PU11:QC14 QP11:QX14 QS9:QX9 QS10:QW10 RR10:RU10 QD10:QM10 QO10 SW11:TA14 SW10:TS10 PU10:QB10 TU10 LZ9:MI9 VA18:VB18 VJ18:VK21 QP21:QS21 QU21:QX21 UM6:UN8 MK9:NI9 QY10:RI10 QZ11:RI14 QZ9:RI9 RW10:SN10 RX11:SN14 RX9:SN9 SO9:SQ14 TV9:UI14 SU6 FQ9:FW9 FS6:FU6 FJ9:FL9 VD18:VH18 VA19:VH21 VA9:VH14 VM15:VO16 VM11:VO12 VM9:VM10 VM13:VM14 VM18:VO21 OO15:PB21 PQ15:PR21 PN15:PO21 PG15:PL21 VJ15:VK16 MM15:NG21 NV15:NY21 US15:UT21 NJ15:NT21 OC15:OM21 UK15:UM21 RR15:RV21 TC15:TT21 QE15:QN21 PU15:QC21 QP15:QX20 SW15:TA21 QZ15:RI21 RX15:SN21 SO15:SQ21 TV15:UI21 VA15:VH16" formula="1"/>
  </ignoredErrors>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J299"/>
  <sheetViews>
    <sheetView topLeftCell="CK1" workbookViewId="0">
      <selection activeCell="CK23" sqref="CK23"/>
    </sheetView>
  </sheetViews>
  <sheetFormatPr defaultRowHeight="14.4" x14ac:dyDescent="0.3"/>
  <cols>
    <col min="1" max="1" width="9"/>
    <col min="2" max="2" width="21" bestFit="1" customWidth="1"/>
    <col min="3" max="3" width="9.44140625" bestFit="1" customWidth="1"/>
    <col min="4" max="4" width="10.44140625" bestFit="1" customWidth="1"/>
    <col min="5" max="5" width="9"/>
    <col min="6" max="6" width="10.88671875" bestFit="1" customWidth="1"/>
    <col min="7" max="7" width="15.44140625" bestFit="1" customWidth="1"/>
    <col min="8" max="8" width="17.109375" bestFit="1" customWidth="1"/>
    <col min="9" max="9" width="9.44140625" bestFit="1" customWidth="1"/>
    <col min="10" max="10" width="10.88671875" bestFit="1" customWidth="1"/>
    <col min="11" max="11" width="16" bestFit="1" customWidth="1"/>
    <col min="12" max="12" width="15.5546875" bestFit="1" customWidth="1"/>
    <col min="13" max="13" width="6.5546875" bestFit="1" customWidth="1"/>
    <col min="14" max="14" width="4.88671875" bestFit="1" customWidth="1"/>
    <col min="15" max="15" width="3.109375" bestFit="1" customWidth="1"/>
    <col min="16" max="18" width="5.88671875" bestFit="1" customWidth="1"/>
    <col min="19" max="20" width="4.88671875" bestFit="1" customWidth="1"/>
    <col min="21" max="21" width="5.88671875" bestFit="1" customWidth="1"/>
    <col min="22" max="22" width="11.88671875" bestFit="1" customWidth="1"/>
    <col min="23" max="23" width="5.88671875" bestFit="1" customWidth="1"/>
    <col min="24" max="24" width="16.44140625" bestFit="1" customWidth="1"/>
    <col min="25" max="25" width="6.44140625" bestFit="1" customWidth="1"/>
    <col min="26" max="26" width="7.44140625" bestFit="1" customWidth="1"/>
    <col min="27" max="27" width="10.88671875" bestFit="1" customWidth="1"/>
    <col min="28" max="28" width="22.88671875" bestFit="1" customWidth="1"/>
    <col min="29" max="29" width="21" bestFit="1" customWidth="1"/>
    <col min="30" max="30" width="3.88671875" bestFit="1" customWidth="1"/>
    <col min="31" max="31" width="17.44140625" bestFit="1" customWidth="1"/>
    <col min="32" max="33" width="5.88671875" bestFit="1" customWidth="1"/>
    <col min="34" max="37" width="6.88671875" bestFit="1" customWidth="1"/>
    <col min="38" max="38" width="7.44140625" bestFit="1" customWidth="1"/>
    <col min="39" max="39" width="10.88671875" bestFit="1" customWidth="1"/>
    <col min="42" max="42" width="14.88671875" bestFit="1" customWidth="1"/>
    <col min="43" max="43" width="3.109375" bestFit="1" customWidth="1"/>
    <col min="44" max="44" width="5.88671875" bestFit="1" customWidth="1"/>
    <col min="45" max="45" width="4.88671875" bestFit="1" customWidth="1"/>
    <col min="46" max="48" width="5.88671875" bestFit="1" customWidth="1"/>
    <col min="49" max="50" width="4.88671875" bestFit="1" customWidth="1"/>
    <col min="51" max="51" width="5.88671875" bestFit="1" customWidth="1"/>
    <col min="52" max="52" width="11.88671875" bestFit="1" customWidth="1"/>
    <col min="53" max="53" width="10.88671875" bestFit="1" customWidth="1"/>
    <col min="56" max="56" width="15.44140625" bestFit="1" customWidth="1"/>
    <col min="57" max="57" width="3.109375" bestFit="1" customWidth="1"/>
    <col min="58" max="58" width="3.88671875" bestFit="1" customWidth="1"/>
    <col min="59" max="60" width="5.88671875" bestFit="1" customWidth="1"/>
    <col min="61" max="61" width="6.88671875" bestFit="1" customWidth="1"/>
    <col min="62" max="63" width="5.88671875" bestFit="1" customWidth="1"/>
    <col min="64" max="64" width="7.44140625" bestFit="1" customWidth="1"/>
    <col min="65" max="65" width="10.88671875" bestFit="1" customWidth="1"/>
    <col min="67" max="67" width="17.109375" bestFit="1" customWidth="1"/>
    <col min="68" max="68" width="4.88671875" bestFit="1" customWidth="1"/>
    <col min="69" max="69" width="3.109375" bestFit="1" customWidth="1"/>
    <col min="70" max="72" width="5.33203125" bestFit="1" customWidth="1"/>
    <col min="73" max="73" width="4.44140625" bestFit="1" customWidth="1"/>
    <col min="74" max="74" width="10.44140625" bestFit="1" customWidth="1"/>
    <col min="75" max="75" width="5.88671875" bestFit="1" customWidth="1"/>
    <col min="76" max="78" width="11.88671875" bestFit="1" customWidth="1"/>
    <col min="79" max="79" width="7.44140625" bestFit="1" customWidth="1"/>
    <col min="80" max="81" width="6.88671875" bestFit="1" customWidth="1"/>
    <col min="82" max="82" width="10.88671875" bestFit="1" customWidth="1"/>
    <col min="83" max="83" width="11.109375" customWidth="1"/>
    <col min="84" max="84" width="17.44140625" bestFit="1" customWidth="1"/>
    <col min="85" max="86" width="6.88671875" bestFit="1" customWidth="1"/>
    <col min="87" max="87" width="10.44140625" bestFit="1" customWidth="1"/>
    <col min="89" max="89" width="24.33203125" bestFit="1" customWidth="1"/>
    <col min="90" max="90" width="29.33203125" bestFit="1" customWidth="1"/>
    <col min="91" max="91" width="10.88671875" bestFit="1" customWidth="1"/>
    <col min="94" max="94" width="12.5546875" bestFit="1" customWidth="1"/>
    <col min="95" max="95" width="17.44140625" bestFit="1" customWidth="1"/>
    <col min="96" max="96" width="10.44140625" bestFit="1" customWidth="1"/>
    <col min="98" max="98" width="18" bestFit="1" customWidth="1"/>
    <col min="99" max="99" width="17.6640625" customWidth="1"/>
    <col min="100" max="100" width="18.88671875" bestFit="1" customWidth="1"/>
    <col min="101" max="101" width="19.88671875" bestFit="1" customWidth="1"/>
    <col min="102" max="102" width="15.33203125" bestFit="1" customWidth="1"/>
    <col min="103" max="103" width="18.5546875" bestFit="1" customWidth="1"/>
    <col min="104" max="104" width="19.5546875" bestFit="1" customWidth="1"/>
    <col min="105" max="105" width="19.88671875" bestFit="1" customWidth="1"/>
    <col min="106" max="106" width="17.44140625" bestFit="1" customWidth="1"/>
    <col min="107" max="107" width="17.5546875" bestFit="1" customWidth="1"/>
    <col min="108" max="108" width="10.88671875" bestFit="1" customWidth="1"/>
    <col min="109" max="109" width="43.88671875" bestFit="1" customWidth="1"/>
    <col min="111" max="111" width="20.44140625" bestFit="1" customWidth="1"/>
    <col min="112" max="112" width="10" bestFit="1" customWidth="1"/>
    <col min="113" max="113" width="10.88671875" bestFit="1" customWidth="1"/>
    <col min="114" max="114" width="12.88671875" bestFit="1" customWidth="1"/>
    <col min="115" max="115" width="14.6640625" style="3" bestFit="1" customWidth="1"/>
    <col min="116" max="116" width="19.44140625" style="3" bestFit="1" customWidth="1"/>
    <col min="117" max="117" width="10.44140625" bestFit="1" customWidth="1"/>
    <col min="118" max="118" width="12.88671875" bestFit="1" customWidth="1"/>
    <col min="119" max="119" width="16.44140625" bestFit="1" customWidth="1"/>
    <col min="121" max="121" width="18.109375" bestFit="1" customWidth="1"/>
    <col min="122" max="123" width="16.44140625" customWidth="1"/>
    <col min="125" max="125" width="21.88671875" bestFit="1" customWidth="1"/>
    <col min="126" max="126" width="15.33203125" bestFit="1" customWidth="1"/>
    <col min="127" max="127" width="10.33203125" bestFit="1" customWidth="1"/>
    <col min="128" max="128" width="11.33203125" bestFit="1" customWidth="1"/>
    <col min="129" max="129" width="16.44140625" bestFit="1" customWidth="1"/>
    <col min="130" max="130" width="17" bestFit="1" customWidth="1"/>
    <col min="131" max="131" width="10.88671875" bestFit="1" customWidth="1"/>
    <col min="132" max="132" width="15.88671875" bestFit="1" customWidth="1"/>
    <col min="134" max="134" width="14.5546875" bestFit="1" customWidth="1"/>
    <col min="138" max="138" width="3.6640625" style="3" customWidth="1"/>
    <col min="139" max="139" width="13.6640625" style="3" customWidth="1"/>
    <col min="140" max="140" width="3.6640625" customWidth="1"/>
    <col min="141" max="156" width="3" customWidth="1"/>
    <col min="157" max="157" width="3.6640625" customWidth="1"/>
    <col min="158" max="158" width="4" customWidth="1"/>
    <col min="160" max="160" width="3.6640625" style="3" customWidth="1"/>
    <col min="161" max="161" width="13.6640625" style="3" customWidth="1"/>
    <col min="162" max="162" width="3.6640625" customWidth="1"/>
    <col min="163" max="178" width="3" customWidth="1"/>
    <col min="179" max="179" width="3.6640625" customWidth="1"/>
    <col min="180" max="180" width="4" customWidth="1"/>
    <col min="182" max="182" width="3.6640625" customWidth="1"/>
    <col min="183" max="183" width="13.6640625" style="3" customWidth="1"/>
    <col min="184" max="184" width="3.6640625" customWidth="1"/>
    <col min="185" max="200" width="3" customWidth="1"/>
    <col min="201" max="201" width="3.6640625" customWidth="1"/>
    <col min="202" max="202" width="4" customWidth="1"/>
    <col min="204" max="204" width="3.6640625" style="3" customWidth="1"/>
    <col min="205" max="205" width="13.6640625" style="3" customWidth="1"/>
    <col min="206" max="206" width="3.6640625" customWidth="1"/>
    <col min="207" max="222" width="3" customWidth="1"/>
    <col min="223" max="223" width="3.6640625" customWidth="1"/>
    <col min="224" max="224" width="4" customWidth="1"/>
    <col min="226" max="226" width="3.6640625" customWidth="1"/>
    <col min="227" max="227" width="13.6640625" style="3" customWidth="1"/>
    <col min="228" max="228" width="3.6640625" customWidth="1"/>
    <col min="229" max="244" width="3" customWidth="1"/>
    <col min="245" max="245" width="3.6640625" customWidth="1"/>
    <col min="246" max="246" width="4" customWidth="1"/>
    <col min="248" max="248" width="3.6640625" customWidth="1"/>
    <col min="249" max="249" width="13.6640625" style="3" customWidth="1"/>
    <col min="250" max="250" width="3.6640625" customWidth="1"/>
    <col min="251" max="266" width="3" customWidth="1"/>
    <col min="267" max="267" width="3.6640625" customWidth="1"/>
    <col min="268" max="268" width="4" customWidth="1"/>
    <col min="270" max="270" width="3.6640625" customWidth="1"/>
    <col min="271" max="271" width="13.6640625" style="3" customWidth="1"/>
    <col min="272" max="272" width="3.6640625" customWidth="1"/>
    <col min="273" max="288" width="3" customWidth="1"/>
    <col min="289" max="289" width="3.6640625" customWidth="1"/>
    <col min="290" max="290" width="4" customWidth="1"/>
    <col min="292" max="292" width="3.6640625" customWidth="1"/>
    <col min="293" max="293" width="13.6640625" style="3" customWidth="1"/>
    <col min="294" max="294" width="3.6640625" customWidth="1"/>
    <col min="295" max="310" width="3" customWidth="1"/>
    <col min="311" max="311" width="3.6640625" customWidth="1"/>
    <col min="312" max="312" width="4" customWidth="1"/>
    <col min="314" max="314" width="3.6640625" customWidth="1"/>
    <col min="315" max="315" width="13.6640625" style="3" customWidth="1"/>
    <col min="316" max="316" width="3.6640625" customWidth="1"/>
    <col min="317" max="332" width="3" customWidth="1"/>
    <col min="333" max="333" width="3.6640625" customWidth="1"/>
    <col min="334" max="334" width="4" customWidth="1"/>
    <col min="336" max="336" width="3.6640625" customWidth="1"/>
    <col min="337" max="337" width="13.6640625" style="3" customWidth="1"/>
    <col min="338" max="338" width="3.6640625" customWidth="1"/>
    <col min="339" max="354" width="3" customWidth="1"/>
    <col min="355" max="355" width="3.6640625" customWidth="1"/>
    <col min="356" max="356" width="4" customWidth="1"/>
    <col min="358" max="358" width="3.6640625" customWidth="1"/>
    <col min="359" max="359" width="13.6640625" style="3" customWidth="1"/>
    <col min="360" max="360" width="3.6640625" customWidth="1"/>
    <col min="361" max="376" width="3" customWidth="1"/>
    <col min="377" max="377" width="3.6640625" customWidth="1"/>
    <col min="378" max="378" width="4" customWidth="1"/>
    <col min="380" max="380" width="3.6640625" customWidth="1"/>
    <col min="381" max="381" width="13.6640625" style="3" customWidth="1"/>
    <col min="382" max="382" width="3.6640625" customWidth="1"/>
    <col min="383" max="398" width="3" customWidth="1"/>
    <col min="399" max="399" width="3.6640625" customWidth="1"/>
    <col min="400" max="400" width="4" customWidth="1"/>
  </cols>
  <sheetData>
    <row r="1" spans="2:400" x14ac:dyDescent="0.3">
      <c r="F1" t="s">
        <v>234</v>
      </c>
      <c r="G1" s="3"/>
      <c r="H1" s="3"/>
      <c r="I1" s="3"/>
      <c r="J1" s="3"/>
      <c r="L1" t="s">
        <v>82</v>
      </c>
      <c r="AB1" s="3"/>
      <c r="AC1" s="3"/>
      <c r="AE1" t="s">
        <v>126</v>
      </c>
      <c r="AP1" t="s">
        <v>170</v>
      </c>
      <c r="BD1" t="s">
        <v>193</v>
      </c>
      <c r="BO1" t="s">
        <v>338</v>
      </c>
      <c r="CF1" t="s">
        <v>275</v>
      </c>
      <c r="CK1" t="s">
        <v>1259</v>
      </c>
      <c r="CT1" t="s">
        <v>251</v>
      </c>
      <c r="DK1" s="3" t="s">
        <v>719</v>
      </c>
      <c r="DU1" s="3" t="s">
        <v>1118</v>
      </c>
      <c r="ED1" s="231" t="s">
        <v>1269</v>
      </c>
      <c r="EI1"/>
      <c r="FE1" s="230" t="s">
        <v>1123</v>
      </c>
      <c r="GA1" s="230" t="s">
        <v>1124</v>
      </c>
      <c r="GW1" s="230" t="s">
        <v>1123</v>
      </c>
      <c r="HS1"/>
      <c r="IO1"/>
      <c r="JK1"/>
      <c r="KF1" s="3"/>
      <c r="KG1"/>
      <c r="LB1" s="3"/>
      <c r="LC1" t="s">
        <v>1123</v>
      </c>
      <c r="LX1" s="3"/>
      <c r="LY1" t="s">
        <v>1123</v>
      </c>
      <c r="MT1" s="3"/>
      <c r="MU1" t="s">
        <v>1123</v>
      </c>
      <c r="NP1" s="3"/>
      <c r="NQ1" t="s">
        <v>1123</v>
      </c>
    </row>
    <row r="2" spans="2:400" s="3" customFormat="1" x14ac:dyDescent="0.3">
      <c r="F2" s="3">
        <v>1</v>
      </c>
      <c r="G2" s="3">
        <v>2</v>
      </c>
      <c r="H2" s="3">
        <v>3</v>
      </c>
      <c r="I2" s="3">
        <v>4</v>
      </c>
      <c r="J2" s="3">
        <v>5</v>
      </c>
      <c r="L2" s="3">
        <v>1</v>
      </c>
      <c r="M2" s="3">
        <v>2</v>
      </c>
      <c r="N2" s="3">
        <v>3</v>
      </c>
      <c r="O2" s="3">
        <v>4</v>
      </c>
      <c r="P2" s="3">
        <v>5</v>
      </c>
      <c r="Q2" s="3">
        <v>6</v>
      </c>
      <c r="R2" s="3">
        <v>7</v>
      </c>
      <c r="S2" s="3">
        <v>8</v>
      </c>
      <c r="T2" s="3">
        <v>9</v>
      </c>
      <c r="U2" s="3">
        <v>10</v>
      </c>
      <c r="V2" s="3">
        <v>11</v>
      </c>
      <c r="W2" s="3">
        <v>12</v>
      </c>
      <c r="X2" s="3">
        <v>13</v>
      </c>
      <c r="Y2" s="3">
        <v>14</v>
      </c>
      <c r="Z2" s="3">
        <v>15</v>
      </c>
      <c r="AA2" s="3">
        <v>16</v>
      </c>
      <c r="AB2"/>
      <c r="AC2"/>
      <c r="AE2" s="3">
        <v>1</v>
      </c>
      <c r="AF2" s="3">
        <v>2</v>
      </c>
      <c r="AG2" s="3">
        <v>3</v>
      </c>
      <c r="AH2" s="3">
        <v>4</v>
      </c>
      <c r="AI2" s="3">
        <v>5</v>
      </c>
      <c r="AJ2" s="3">
        <v>6</v>
      </c>
      <c r="AK2" s="3">
        <v>7</v>
      </c>
      <c r="AL2" s="3">
        <v>8</v>
      </c>
      <c r="AM2" s="3">
        <v>9</v>
      </c>
      <c r="AP2" s="3">
        <v>1</v>
      </c>
      <c r="AQ2" s="3">
        <v>2</v>
      </c>
      <c r="AR2" s="3">
        <v>3</v>
      </c>
      <c r="AS2" s="3">
        <v>4</v>
      </c>
      <c r="AT2" s="3">
        <v>5</v>
      </c>
      <c r="AU2" s="3">
        <v>6</v>
      </c>
      <c r="AV2" s="3">
        <v>7</v>
      </c>
      <c r="AW2" s="3">
        <v>8</v>
      </c>
      <c r="AX2" s="3">
        <v>9</v>
      </c>
      <c r="AY2" s="3">
        <v>10</v>
      </c>
      <c r="AZ2" s="3">
        <v>11</v>
      </c>
      <c r="BA2" s="3">
        <v>12</v>
      </c>
      <c r="BD2" s="3">
        <v>1</v>
      </c>
      <c r="BE2" s="3">
        <v>2</v>
      </c>
      <c r="BF2" s="3">
        <v>3</v>
      </c>
      <c r="BG2" s="3">
        <v>4</v>
      </c>
      <c r="BH2" s="3">
        <v>5</v>
      </c>
      <c r="BI2" s="3">
        <v>6</v>
      </c>
      <c r="BJ2" s="3">
        <v>7</v>
      </c>
      <c r="BK2" s="3">
        <v>8</v>
      </c>
      <c r="BL2" s="3">
        <v>9</v>
      </c>
      <c r="BM2" s="3">
        <v>10</v>
      </c>
      <c r="BP2" s="3">
        <v>1</v>
      </c>
      <c r="BQ2" s="3">
        <v>2</v>
      </c>
      <c r="BR2" s="3">
        <v>3</v>
      </c>
      <c r="BS2" s="3">
        <v>4</v>
      </c>
      <c r="BT2" s="3">
        <v>5</v>
      </c>
      <c r="BU2" s="3">
        <v>6</v>
      </c>
      <c r="BV2" s="3">
        <v>7</v>
      </c>
      <c r="BW2" s="3">
        <v>8</v>
      </c>
      <c r="BX2" s="3">
        <v>9</v>
      </c>
      <c r="BY2" s="3">
        <v>10</v>
      </c>
      <c r="BZ2" s="3">
        <v>11</v>
      </c>
      <c r="CA2" s="3">
        <v>12</v>
      </c>
      <c r="CB2" s="3">
        <v>13</v>
      </c>
      <c r="CC2" s="3">
        <v>14</v>
      </c>
      <c r="CD2" s="3">
        <v>15</v>
      </c>
      <c r="CF2" s="3" t="s">
        <v>275</v>
      </c>
      <c r="CK2" t="s">
        <v>1260</v>
      </c>
      <c r="CP2" t="s">
        <v>253</v>
      </c>
      <c r="CQ2"/>
      <c r="CR2"/>
      <c r="CT2" t="s">
        <v>252</v>
      </c>
      <c r="CU2" s="404" t="s">
        <v>562</v>
      </c>
      <c r="CV2" s="404"/>
      <c r="CW2" s="404"/>
      <c r="CX2"/>
      <c r="CY2"/>
      <c r="CZ2"/>
      <c r="DA2"/>
      <c r="DB2"/>
      <c r="DC2"/>
      <c r="DD2"/>
      <c r="DE2"/>
      <c r="DK2" s="3" t="s">
        <v>720</v>
      </c>
      <c r="DM2"/>
      <c r="DQ2" s="3" t="s">
        <v>1179</v>
      </c>
      <c r="ED2" s="231" t="s">
        <v>1270</v>
      </c>
      <c r="EI2" s="231" t="s">
        <v>1125</v>
      </c>
      <c r="FE2" s="231" t="s">
        <v>1126</v>
      </c>
      <c r="GA2" s="231" t="s">
        <v>1127</v>
      </c>
      <c r="GW2" s="231" t="s">
        <v>1128</v>
      </c>
      <c r="HS2" s="231" t="s">
        <v>1129</v>
      </c>
      <c r="IO2" s="231" t="s">
        <v>1130</v>
      </c>
      <c r="JK2" s="231" t="s">
        <v>1131</v>
      </c>
      <c r="KG2" s="231" t="s">
        <v>1132</v>
      </c>
      <c r="LC2" s="231" t="s">
        <v>1158</v>
      </c>
      <c r="LY2" s="231" t="s">
        <v>1159</v>
      </c>
      <c r="MU2" s="231" t="s">
        <v>1160</v>
      </c>
      <c r="NQ2" s="231" t="s">
        <v>1161</v>
      </c>
    </row>
    <row r="3" spans="2:400" ht="98.4" thickBot="1" x14ac:dyDescent="0.35">
      <c r="B3" t="s">
        <v>243</v>
      </c>
      <c r="G3" s="2" t="s">
        <v>630</v>
      </c>
      <c r="H3" s="2" t="s">
        <v>631</v>
      </c>
      <c r="I3" s="2" t="s">
        <v>632</v>
      </c>
      <c r="J3" s="2"/>
      <c r="M3" s="184" t="s">
        <v>55</v>
      </c>
      <c r="N3" s="184" t="s">
        <v>56</v>
      </c>
      <c r="V3" s="185" t="s">
        <v>57</v>
      </c>
      <c r="W3" s="139"/>
      <c r="X3" s="140" t="s">
        <v>58</v>
      </c>
      <c r="Y3" s="140"/>
      <c r="Z3" s="140"/>
      <c r="AB3" s="3"/>
      <c r="AC3" s="3"/>
      <c r="AE3" s="5"/>
      <c r="AF3" s="6" t="s">
        <v>86</v>
      </c>
      <c r="AG3" s="6" t="s">
        <v>87</v>
      </c>
      <c r="AH3" s="6" t="s">
        <v>88</v>
      </c>
      <c r="AI3" s="6" t="s">
        <v>89</v>
      </c>
      <c r="AJ3" s="6" t="s">
        <v>90</v>
      </c>
      <c r="AK3" s="6" t="s">
        <v>91</v>
      </c>
      <c r="AL3" s="6" t="s">
        <v>92</v>
      </c>
      <c r="AP3" s="5"/>
      <c r="AQ3" s="6" t="s">
        <v>166</v>
      </c>
      <c r="AR3" s="6" t="s">
        <v>67</v>
      </c>
      <c r="AS3" s="6" t="s">
        <v>167</v>
      </c>
      <c r="AT3" s="6" t="s">
        <v>60</v>
      </c>
      <c r="AU3" s="6" t="s">
        <v>61</v>
      </c>
      <c r="AV3" s="6" t="s">
        <v>62</v>
      </c>
      <c r="AW3" s="6" t="s">
        <v>63</v>
      </c>
      <c r="AX3" s="6" t="s">
        <v>64</v>
      </c>
      <c r="AY3" s="6" t="s">
        <v>168</v>
      </c>
      <c r="AZ3" s="6" t="s">
        <v>169</v>
      </c>
      <c r="BD3" s="5"/>
      <c r="BE3" s="6" t="s">
        <v>166</v>
      </c>
      <c r="BF3" s="6" t="s">
        <v>67</v>
      </c>
      <c r="BG3" s="6" t="s">
        <v>59</v>
      </c>
      <c r="BH3" s="6" t="s">
        <v>171</v>
      </c>
      <c r="BI3" s="6" t="s">
        <v>172</v>
      </c>
      <c r="BJ3" s="6" t="s">
        <v>173</v>
      </c>
      <c r="BK3" s="6" t="s">
        <v>174</v>
      </c>
      <c r="BL3" s="6" t="s">
        <v>68</v>
      </c>
      <c r="BO3" s="5"/>
      <c r="BP3" s="6" t="s">
        <v>67</v>
      </c>
      <c r="BQ3" s="6" t="s">
        <v>59</v>
      </c>
      <c r="BR3" s="6" t="s">
        <v>60</v>
      </c>
      <c r="BS3" s="6" t="s">
        <v>61</v>
      </c>
      <c r="BT3" s="6" t="s">
        <v>62</v>
      </c>
      <c r="BU3" s="6" t="s">
        <v>63</v>
      </c>
      <c r="BV3" s="6" t="s">
        <v>64</v>
      </c>
      <c r="BW3" s="6" t="s">
        <v>65</v>
      </c>
      <c r="BX3" s="6" t="s">
        <v>339</v>
      </c>
      <c r="BY3" s="6" t="s">
        <v>340</v>
      </c>
      <c r="BZ3" s="6" t="s">
        <v>341</v>
      </c>
      <c r="CA3" s="6" t="s">
        <v>68</v>
      </c>
      <c r="CB3" s="6" t="s">
        <v>342</v>
      </c>
      <c r="CC3" s="6" t="s">
        <v>343</v>
      </c>
      <c r="CF3">
        <v>1</v>
      </c>
      <c r="CG3">
        <v>2</v>
      </c>
      <c r="CH3">
        <v>3</v>
      </c>
      <c r="CI3">
        <v>4</v>
      </c>
      <c r="CK3" s="3">
        <v>1</v>
      </c>
      <c r="CL3" s="3">
        <v>2</v>
      </c>
      <c r="CM3" s="3"/>
      <c r="CP3" s="3">
        <v>1</v>
      </c>
      <c r="CQ3" s="3">
        <v>2</v>
      </c>
      <c r="CR3" s="3"/>
      <c r="CT3" s="3">
        <v>1</v>
      </c>
      <c r="CU3" s="3">
        <v>2</v>
      </c>
      <c r="CV3" s="3">
        <v>3</v>
      </c>
      <c r="CW3" s="3">
        <v>4</v>
      </c>
      <c r="CX3" s="3">
        <v>5</v>
      </c>
      <c r="CY3" s="3">
        <v>6</v>
      </c>
      <c r="CZ3" s="3">
        <v>7</v>
      </c>
      <c r="DA3" s="3">
        <v>8</v>
      </c>
      <c r="DB3" s="3">
        <v>9</v>
      </c>
      <c r="DC3" s="3">
        <v>10</v>
      </c>
      <c r="DD3" s="3"/>
      <c r="DE3" s="3"/>
      <c r="DK3" s="3">
        <v>1</v>
      </c>
      <c r="DL3" s="3">
        <v>2</v>
      </c>
      <c r="DQ3" s="3">
        <v>1</v>
      </c>
      <c r="DR3" s="3">
        <v>2</v>
      </c>
      <c r="DU3" s="3">
        <v>1</v>
      </c>
      <c r="DV3" s="3">
        <v>2</v>
      </c>
      <c r="DW3" s="3">
        <v>3</v>
      </c>
      <c r="DX3" s="3">
        <v>4</v>
      </c>
      <c r="DY3" s="3">
        <v>5</v>
      </c>
      <c r="DZ3" s="3">
        <v>6</v>
      </c>
      <c r="EA3" s="3"/>
      <c r="ED3" s="3">
        <v>1</v>
      </c>
      <c r="EE3" s="3">
        <v>2</v>
      </c>
      <c r="EI3" s="3">
        <v>1</v>
      </c>
      <c r="EJ3" s="3">
        <v>2</v>
      </c>
      <c r="EK3" s="3">
        <v>3</v>
      </c>
      <c r="EL3" s="3">
        <v>4</v>
      </c>
      <c r="EM3" s="3">
        <v>5</v>
      </c>
      <c r="EN3" s="3">
        <v>6</v>
      </c>
      <c r="EO3" s="3">
        <v>7</v>
      </c>
      <c r="EP3" s="3">
        <v>8</v>
      </c>
      <c r="EQ3" s="3">
        <v>9</v>
      </c>
      <c r="ER3" s="3">
        <v>10</v>
      </c>
      <c r="ES3" s="3">
        <v>11</v>
      </c>
      <c r="ET3" s="3">
        <v>12</v>
      </c>
      <c r="EU3" s="3">
        <v>13</v>
      </c>
      <c r="EV3" s="3">
        <v>14</v>
      </c>
      <c r="EW3" s="3">
        <v>15</v>
      </c>
      <c r="EX3" s="3">
        <v>16</v>
      </c>
      <c r="EY3" s="3">
        <v>17</v>
      </c>
      <c r="EZ3" s="3">
        <v>18</v>
      </c>
      <c r="FA3" s="3">
        <v>19</v>
      </c>
      <c r="FE3" s="3">
        <v>1</v>
      </c>
      <c r="FF3" s="3">
        <v>2</v>
      </c>
      <c r="FG3" s="3">
        <v>3</v>
      </c>
      <c r="FH3" s="3">
        <v>4</v>
      </c>
      <c r="FI3" s="3">
        <v>5</v>
      </c>
      <c r="FJ3" s="3">
        <v>6</v>
      </c>
      <c r="FK3" s="3">
        <v>7</v>
      </c>
      <c r="FL3" s="3">
        <v>8</v>
      </c>
      <c r="FM3" s="3">
        <v>9</v>
      </c>
      <c r="FN3" s="3">
        <v>10</v>
      </c>
      <c r="FO3" s="3">
        <v>11</v>
      </c>
      <c r="FP3" s="3">
        <v>12</v>
      </c>
      <c r="FQ3" s="3">
        <v>13</v>
      </c>
      <c r="FR3" s="3">
        <v>14</v>
      </c>
      <c r="FS3" s="3">
        <v>15</v>
      </c>
      <c r="FT3" s="3">
        <v>16</v>
      </c>
      <c r="FU3" s="3">
        <v>17</v>
      </c>
      <c r="FV3" s="3">
        <v>18</v>
      </c>
      <c r="FW3" s="3">
        <v>19</v>
      </c>
      <c r="FZ3" s="3"/>
      <c r="GA3" s="3">
        <v>1</v>
      </c>
      <c r="GB3" s="3">
        <v>2</v>
      </c>
      <c r="GC3" s="3">
        <v>3</v>
      </c>
      <c r="GD3" s="3">
        <v>4</v>
      </c>
      <c r="GE3" s="3">
        <v>5</v>
      </c>
      <c r="GF3" s="3">
        <v>6</v>
      </c>
      <c r="GG3" s="3">
        <v>7</v>
      </c>
      <c r="GH3" s="3">
        <v>8</v>
      </c>
      <c r="GI3" s="3">
        <v>9</v>
      </c>
      <c r="GJ3" s="3">
        <v>10</v>
      </c>
      <c r="GK3" s="3">
        <v>11</v>
      </c>
      <c r="GL3" s="3">
        <v>12</v>
      </c>
      <c r="GM3" s="3">
        <v>13</v>
      </c>
      <c r="GN3" s="3">
        <v>14</v>
      </c>
      <c r="GO3" s="3">
        <v>15</v>
      </c>
      <c r="GP3" s="3">
        <v>16</v>
      </c>
      <c r="GQ3" s="3">
        <v>17</v>
      </c>
      <c r="GR3" s="3">
        <v>18</v>
      </c>
      <c r="GS3" s="3">
        <v>19</v>
      </c>
      <c r="GW3" s="3">
        <v>1</v>
      </c>
      <c r="GX3" s="3">
        <v>2</v>
      </c>
      <c r="GY3" s="3">
        <v>3</v>
      </c>
      <c r="GZ3" s="3">
        <v>4</v>
      </c>
      <c r="HA3" s="3">
        <v>5</v>
      </c>
      <c r="HB3" s="3">
        <v>6</v>
      </c>
      <c r="HC3" s="3">
        <v>7</v>
      </c>
      <c r="HD3" s="3">
        <v>8</v>
      </c>
      <c r="HE3" s="3">
        <v>9</v>
      </c>
      <c r="HF3" s="3">
        <v>10</v>
      </c>
      <c r="HG3" s="3">
        <v>11</v>
      </c>
      <c r="HH3" s="3">
        <v>12</v>
      </c>
      <c r="HI3" s="3">
        <v>13</v>
      </c>
      <c r="HJ3" s="3">
        <v>14</v>
      </c>
      <c r="HK3" s="3">
        <v>15</v>
      </c>
      <c r="HL3" s="3">
        <v>16</v>
      </c>
      <c r="HM3" s="3">
        <v>17</v>
      </c>
      <c r="HN3" s="3">
        <v>18</v>
      </c>
      <c r="HO3" s="3">
        <v>19</v>
      </c>
      <c r="HR3" s="3"/>
      <c r="HS3" s="3">
        <v>1</v>
      </c>
      <c r="HT3" s="3">
        <v>2</v>
      </c>
      <c r="HU3" s="3">
        <v>3</v>
      </c>
      <c r="HV3" s="3">
        <v>4</v>
      </c>
      <c r="HW3" s="3">
        <v>5</v>
      </c>
      <c r="HX3" s="3">
        <v>6</v>
      </c>
      <c r="HY3" s="3">
        <v>7</v>
      </c>
      <c r="HZ3" s="3">
        <v>8</v>
      </c>
      <c r="IA3" s="3">
        <v>9</v>
      </c>
      <c r="IB3" s="3">
        <v>10</v>
      </c>
      <c r="IC3" s="3">
        <v>11</v>
      </c>
      <c r="ID3" s="3">
        <v>12</v>
      </c>
      <c r="IE3" s="3">
        <v>13</v>
      </c>
      <c r="IF3" s="3">
        <v>14</v>
      </c>
      <c r="IG3" s="3">
        <v>15</v>
      </c>
      <c r="IH3" s="3">
        <v>16</v>
      </c>
      <c r="II3" s="3">
        <v>17</v>
      </c>
      <c r="IJ3" s="3">
        <v>18</v>
      </c>
      <c r="IK3" s="3">
        <v>19</v>
      </c>
      <c r="IN3" s="3"/>
      <c r="IO3" s="3">
        <v>1</v>
      </c>
      <c r="IP3" s="3">
        <v>2</v>
      </c>
      <c r="IQ3" s="3">
        <v>3</v>
      </c>
      <c r="IR3" s="3">
        <v>4</v>
      </c>
      <c r="IS3" s="3">
        <v>5</v>
      </c>
      <c r="IT3" s="3">
        <v>6</v>
      </c>
      <c r="IU3" s="3">
        <v>7</v>
      </c>
      <c r="IV3" s="3">
        <v>8</v>
      </c>
      <c r="IW3" s="3">
        <v>9</v>
      </c>
      <c r="IX3" s="3">
        <v>10</v>
      </c>
      <c r="IY3" s="3">
        <v>11</v>
      </c>
      <c r="IZ3" s="3">
        <v>12</v>
      </c>
      <c r="JA3" s="3">
        <v>13</v>
      </c>
      <c r="JB3" s="3">
        <v>14</v>
      </c>
      <c r="JC3" s="3">
        <v>15</v>
      </c>
      <c r="JD3" s="3">
        <v>16</v>
      </c>
      <c r="JE3" s="3">
        <v>17</v>
      </c>
      <c r="JF3" s="3">
        <v>18</v>
      </c>
      <c r="JG3" s="3">
        <v>19</v>
      </c>
      <c r="JJ3" s="3"/>
      <c r="JK3" s="3">
        <v>1</v>
      </c>
      <c r="JL3" s="3">
        <v>2</v>
      </c>
      <c r="JM3" s="3">
        <v>3</v>
      </c>
      <c r="JN3" s="3">
        <v>4</v>
      </c>
      <c r="JO3" s="3">
        <v>5</v>
      </c>
      <c r="JP3" s="3">
        <v>6</v>
      </c>
      <c r="JQ3" s="3">
        <v>7</v>
      </c>
      <c r="JR3" s="3">
        <v>8</v>
      </c>
      <c r="JS3" s="3">
        <v>9</v>
      </c>
      <c r="JT3" s="3">
        <v>10</v>
      </c>
      <c r="JU3" s="3">
        <v>11</v>
      </c>
      <c r="JV3" s="3">
        <v>12</v>
      </c>
      <c r="JW3" s="3">
        <v>13</v>
      </c>
      <c r="JX3" s="3">
        <v>14</v>
      </c>
      <c r="JY3" s="3">
        <v>15</v>
      </c>
      <c r="JZ3" s="3">
        <v>16</v>
      </c>
      <c r="KA3" s="3">
        <v>17</v>
      </c>
      <c r="KB3" s="3">
        <v>18</v>
      </c>
      <c r="KC3" s="3">
        <v>19</v>
      </c>
      <c r="KF3" s="3"/>
      <c r="KG3" s="3">
        <v>1</v>
      </c>
      <c r="KH3" s="3">
        <v>2</v>
      </c>
      <c r="KI3" s="3">
        <v>3</v>
      </c>
      <c r="KJ3" s="3">
        <v>4</v>
      </c>
      <c r="KK3" s="3">
        <v>5</v>
      </c>
      <c r="KL3" s="3">
        <v>6</v>
      </c>
      <c r="KM3" s="3">
        <v>7</v>
      </c>
      <c r="KN3" s="3">
        <v>8</v>
      </c>
      <c r="KO3" s="3">
        <v>9</v>
      </c>
      <c r="KP3" s="3">
        <v>10</v>
      </c>
      <c r="KQ3" s="3">
        <v>11</v>
      </c>
      <c r="KR3" s="3">
        <v>12</v>
      </c>
      <c r="KS3" s="3">
        <v>13</v>
      </c>
      <c r="KT3" s="3">
        <v>14</v>
      </c>
      <c r="KU3" s="3">
        <v>15</v>
      </c>
      <c r="KV3" s="3">
        <v>16</v>
      </c>
      <c r="KW3" s="3">
        <v>17</v>
      </c>
      <c r="KX3" s="3">
        <v>18</v>
      </c>
      <c r="KY3" s="3">
        <v>19</v>
      </c>
      <c r="LB3" s="3"/>
      <c r="LC3" s="3">
        <v>1</v>
      </c>
      <c r="LD3" s="3">
        <v>2</v>
      </c>
      <c r="LE3" s="3">
        <v>3</v>
      </c>
      <c r="LF3" s="3">
        <v>4</v>
      </c>
      <c r="LG3" s="3">
        <v>5</v>
      </c>
      <c r="LH3" s="3">
        <v>6</v>
      </c>
      <c r="LI3" s="3">
        <v>7</v>
      </c>
      <c r="LJ3" s="3">
        <v>8</v>
      </c>
      <c r="LK3" s="3">
        <v>9</v>
      </c>
      <c r="LL3" s="3">
        <v>10</v>
      </c>
      <c r="LM3" s="3">
        <v>11</v>
      </c>
      <c r="LN3" s="3">
        <v>12</v>
      </c>
      <c r="LO3" s="3">
        <v>13</v>
      </c>
      <c r="LP3" s="3">
        <v>14</v>
      </c>
      <c r="LQ3" s="3">
        <v>15</v>
      </c>
      <c r="LR3" s="3">
        <v>16</v>
      </c>
      <c r="LS3" s="3">
        <v>17</v>
      </c>
      <c r="LT3" s="3">
        <v>18</v>
      </c>
      <c r="LU3" s="3">
        <v>19</v>
      </c>
      <c r="LX3" s="3"/>
      <c r="LY3" s="3">
        <v>1</v>
      </c>
      <c r="LZ3" s="3">
        <v>2</v>
      </c>
      <c r="MA3" s="3">
        <v>3</v>
      </c>
      <c r="MB3" s="3">
        <v>4</v>
      </c>
      <c r="MC3" s="3">
        <v>5</v>
      </c>
      <c r="MD3" s="3">
        <v>6</v>
      </c>
      <c r="ME3" s="3">
        <v>7</v>
      </c>
      <c r="MF3" s="3">
        <v>8</v>
      </c>
      <c r="MG3" s="3">
        <v>9</v>
      </c>
      <c r="MH3" s="3">
        <v>10</v>
      </c>
      <c r="MI3" s="3">
        <v>11</v>
      </c>
      <c r="MJ3" s="3">
        <v>12</v>
      </c>
      <c r="MK3" s="3">
        <v>13</v>
      </c>
      <c r="ML3" s="3">
        <v>14</v>
      </c>
      <c r="MM3" s="3">
        <v>15</v>
      </c>
      <c r="MN3" s="3">
        <v>16</v>
      </c>
      <c r="MO3" s="3">
        <v>17</v>
      </c>
      <c r="MP3" s="3">
        <v>18</v>
      </c>
      <c r="MQ3" s="3">
        <v>19</v>
      </c>
      <c r="MT3" s="3"/>
      <c r="MU3" s="3">
        <v>1</v>
      </c>
      <c r="MV3" s="3">
        <v>2</v>
      </c>
      <c r="MW3" s="3">
        <v>3</v>
      </c>
      <c r="MX3" s="3">
        <v>4</v>
      </c>
      <c r="MY3" s="3">
        <v>5</v>
      </c>
      <c r="MZ3" s="3">
        <v>6</v>
      </c>
      <c r="NA3" s="3">
        <v>7</v>
      </c>
      <c r="NB3" s="3">
        <v>8</v>
      </c>
      <c r="NC3" s="3">
        <v>9</v>
      </c>
      <c r="ND3" s="3">
        <v>10</v>
      </c>
      <c r="NE3" s="3">
        <v>11</v>
      </c>
      <c r="NF3" s="3">
        <v>12</v>
      </c>
      <c r="NG3" s="3">
        <v>13</v>
      </c>
      <c r="NH3" s="3">
        <v>14</v>
      </c>
      <c r="NI3" s="3">
        <v>15</v>
      </c>
      <c r="NJ3" s="3">
        <v>16</v>
      </c>
      <c r="NK3" s="3">
        <v>17</v>
      </c>
      <c r="NL3" s="3">
        <v>18</v>
      </c>
      <c r="NM3" s="3">
        <v>19</v>
      </c>
      <c r="NP3" s="3"/>
      <c r="NQ3" s="3">
        <v>1</v>
      </c>
      <c r="NR3" s="3">
        <v>2</v>
      </c>
      <c r="NS3" s="3">
        <v>3</v>
      </c>
      <c r="NT3" s="3">
        <v>4</v>
      </c>
      <c r="NU3" s="3">
        <v>5</v>
      </c>
      <c r="NV3" s="3">
        <v>6</v>
      </c>
      <c r="NW3" s="3">
        <v>7</v>
      </c>
      <c r="NX3" s="3">
        <v>8</v>
      </c>
      <c r="NY3" s="3">
        <v>9</v>
      </c>
      <c r="NZ3" s="3">
        <v>10</v>
      </c>
      <c r="OA3" s="3">
        <v>11</v>
      </c>
      <c r="OB3" s="3">
        <v>12</v>
      </c>
      <c r="OC3" s="3">
        <v>13</v>
      </c>
      <c r="OD3" s="3">
        <v>14</v>
      </c>
      <c r="OE3" s="3">
        <v>15</v>
      </c>
      <c r="OF3" s="3">
        <v>16</v>
      </c>
      <c r="OG3" s="3">
        <v>17</v>
      </c>
      <c r="OH3" s="3">
        <v>18</v>
      </c>
      <c r="OI3" s="3">
        <v>19</v>
      </c>
    </row>
    <row r="4" spans="2:400" ht="96.6" thickTop="1" thickBot="1" x14ac:dyDescent="0.35">
      <c r="B4" s="124" t="s">
        <v>244</v>
      </c>
      <c r="C4" s="125">
        <v>1</v>
      </c>
      <c r="D4" s="126" t="s">
        <v>261</v>
      </c>
      <c r="E4" s="3"/>
      <c r="F4" s="124" t="s">
        <v>127</v>
      </c>
      <c r="G4" s="131" t="s">
        <v>230</v>
      </c>
      <c r="H4" s="131" t="s">
        <v>126</v>
      </c>
      <c r="I4" s="125">
        <v>3</v>
      </c>
      <c r="J4" s="132" t="s">
        <v>85</v>
      </c>
      <c r="L4" s="2"/>
      <c r="M4" s="2" t="s">
        <v>4</v>
      </c>
      <c r="N4" s="2" t="s">
        <v>4</v>
      </c>
      <c r="O4" s="2" t="s">
        <v>59</v>
      </c>
      <c r="P4" s="2" t="s">
        <v>60</v>
      </c>
      <c r="Q4" s="2" t="s">
        <v>61</v>
      </c>
      <c r="R4" s="2" t="s">
        <v>62</v>
      </c>
      <c r="S4" s="2" t="s">
        <v>63</v>
      </c>
      <c r="T4" s="2" t="s">
        <v>64</v>
      </c>
      <c r="U4" s="2" t="s">
        <v>65</v>
      </c>
      <c r="V4" s="2" t="s">
        <v>66</v>
      </c>
      <c r="W4" s="7" t="s">
        <v>67</v>
      </c>
      <c r="X4" s="7" t="s">
        <v>68</v>
      </c>
      <c r="Y4" s="7" t="s">
        <v>336</v>
      </c>
      <c r="Z4" s="7" t="s">
        <v>337</v>
      </c>
      <c r="AA4" s="3"/>
      <c r="AE4" s="124" t="str">
        <f t="shared" ref="AE4:AE35" si="0">CONCATENATE("L",AF4,"x",AG4,"x",AH4)</f>
        <v>L1x1x0.125</v>
      </c>
      <c r="AF4" s="134">
        <v>1</v>
      </c>
      <c r="AG4" s="134">
        <v>1</v>
      </c>
      <c r="AH4" s="134">
        <v>0.125</v>
      </c>
      <c r="AI4" s="134">
        <v>0.18750000000000003</v>
      </c>
      <c r="AJ4" s="134">
        <v>0.125</v>
      </c>
      <c r="AK4" s="131">
        <f t="shared" ref="AK4:AK35" si="1">((((SIGN(AH4-AJ4))+1)*(AH4-AJ4))/2)+0.0002</f>
        <v>2.0000000000000001E-4</v>
      </c>
      <c r="AL4" s="131" t="s">
        <v>125</v>
      </c>
      <c r="AM4" s="132" t="s">
        <v>85</v>
      </c>
      <c r="AP4" s="124" t="str">
        <f t="shared" ref="AP4:AP34" si="2">CONCATENATE("S",AQ4,"x",AR4)</f>
        <v>S24x121</v>
      </c>
      <c r="AQ4" s="131">
        <v>24</v>
      </c>
      <c r="AR4" s="134">
        <v>121</v>
      </c>
      <c r="AS4" s="134">
        <v>24.5</v>
      </c>
      <c r="AT4" s="134">
        <v>0.8</v>
      </c>
      <c r="AU4" s="134">
        <v>8.0500000000000007</v>
      </c>
      <c r="AV4" s="134">
        <v>1.0900000000000001</v>
      </c>
      <c r="AW4" s="134">
        <v>0.6</v>
      </c>
      <c r="AX4" s="134">
        <v>0.3</v>
      </c>
      <c r="AY4" s="131">
        <v>9.4630000000000312</v>
      </c>
      <c r="AZ4" s="134">
        <f t="shared" ref="AZ4:AZ34" si="3">AS4-2*AV4-2*(AW4*COS(AY4/180*3.141592654))-2*((((AU4-AT4)/4)-(AW4-AW4*SIN(AY4/180*3.141592654)))*TAN(AY4/180*3.141592654))</f>
        <v>20.699248944603845</v>
      </c>
      <c r="BA4" s="132" t="s">
        <v>85</v>
      </c>
      <c r="BD4" s="142" t="str">
        <f t="shared" ref="BD4:BD67" si="4">CONCATENATE("W",BE4,"x",BF4)</f>
        <v>W4x13</v>
      </c>
      <c r="BE4" s="131">
        <v>4</v>
      </c>
      <c r="BF4" s="134">
        <v>13</v>
      </c>
      <c r="BG4" s="134">
        <v>4.16</v>
      </c>
      <c r="BH4" s="134">
        <v>0.28000000000000003</v>
      </c>
      <c r="BI4" s="134">
        <v>4.0599999999999996</v>
      </c>
      <c r="BJ4" s="134">
        <v>0.34499999999999992</v>
      </c>
      <c r="BK4" s="134">
        <v>0.25</v>
      </c>
      <c r="BL4" s="131" t="s">
        <v>192</v>
      </c>
      <c r="BM4" s="132" t="s">
        <v>85</v>
      </c>
      <c r="BO4" s="145" t="s">
        <v>276</v>
      </c>
      <c r="BP4" s="146">
        <v>58.000000000000007</v>
      </c>
      <c r="BQ4" s="147">
        <v>18</v>
      </c>
      <c r="BR4" s="147">
        <v>0.7</v>
      </c>
      <c r="BS4" s="147">
        <v>4.2</v>
      </c>
      <c r="BT4" s="147">
        <v>0.625</v>
      </c>
      <c r="BU4" s="147">
        <v>0.63</v>
      </c>
      <c r="BV4" s="147">
        <v>0.39228593464893474</v>
      </c>
      <c r="BW4" s="146">
        <v>9.4629999999999992</v>
      </c>
      <c r="BX4" s="146">
        <v>9.9999999999975109E-4</v>
      </c>
      <c r="BY4" s="146">
        <v>15.099256781995562</v>
      </c>
      <c r="BZ4" s="146">
        <v>1.450371609002219</v>
      </c>
      <c r="CA4" s="148"/>
      <c r="CB4" s="148">
        <v>1.4375</v>
      </c>
      <c r="CC4" s="148">
        <v>15.125</v>
      </c>
      <c r="CD4" s="149" t="s">
        <v>85</v>
      </c>
      <c r="CF4" s="145" t="s">
        <v>276</v>
      </c>
      <c r="CG4" s="148">
        <v>1.4375</v>
      </c>
      <c r="CH4" s="148">
        <v>15.125</v>
      </c>
      <c r="CI4" s="149" t="s">
        <v>261</v>
      </c>
      <c r="CK4" s="3" t="s">
        <v>1261</v>
      </c>
      <c r="CL4" s="3" t="s">
        <v>1262</v>
      </c>
      <c r="CM4" s="3"/>
      <c r="CP4" s="3" t="s">
        <v>260</v>
      </c>
      <c r="CQ4" t="s">
        <v>254</v>
      </c>
      <c r="CT4" t="s">
        <v>254</v>
      </c>
      <c r="CU4" t="s">
        <v>255</v>
      </c>
      <c r="CV4" t="s">
        <v>563</v>
      </c>
      <c r="CW4" t="s">
        <v>564</v>
      </c>
      <c r="CX4" t="s">
        <v>256</v>
      </c>
      <c r="CY4" t="s">
        <v>565</v>
      </c>
      <c r="CZ4" t="s">
        <v>566</v>
      </c>
      <c r="DA4" t="s">
        <v>257</v>
      </c>
      <c r="DB4" t="s">
        <v>258</v>
      </c>
      <c r="DC4" t="s">
        <v>259</v>
      </c>
      <c r="DK4" s="97" t="s">
        <v>721</v>
      </c>
      <c r="DL4" s="97" t="s">
        <v>722</v>
      </c>
      <c r="DM4" s="96"/>
      <c r="DO4" t="s">
        <v>1039</v>
      </c>
      <c r="DQ4" t="s">
        <v>1178</v>
      </c>
      <c r="DR4" s="3" t="s">
        <v>1180</v>
      </c>
      <c r="DU4" s="3" t="s">
        <v>1114</v>
      </c>
      <c r="DV4" s="3" t="s">
        <v>1115</v>
      </c>
      <c r="DW4" s="3" t="s">
        <v>2</v>
      </c>
      <c r="DX4" s="3" t="s">
        <v>1</v>
      </c>
      <c r="DY4" s="3" t="s">
        <v>1117</v>
      </c>
      <c r="DZ4" s="3" t="s">
        <v>1116</v>
      </c>
      <c r="EE4" t="s">
        <v>1268</v>
      </c>
      <c r="EH4" s="58" t="s">
        <v>1133</v>
      </c>
      <c r="EI4" s="2" t="s">
        <v>1134</v>
      </c>
      <c r="EJ4" s="6" t="s">
        <v>1117</v>
      </c>
      <c r="EK4" s="6" t="s">
        <v>1135</v>
      </c>
      <c r="EL4" s="6"/>
      <c r="EM4" s="6"/>
      <c r="EN4" s="6"/>
      <c r="EO4" s="6"/>
      <c r="EP4" s="6"/>
      <c r="EQ4" s="6"/>
      <c r="ER4" s="6"/>
      <c r="ES4" s="6"/>
      <c r="ET4" s="6"/>
      <c r="EU4" s="6"/>
      <c r="EV4" s="6"/>
      <c r="EW4" s="6"/>
      <c r="EX4" s="6"/>
      <c r="EY4" s="6"/>
      <c r="EZ4" s="6"/>
      <c r="FA4" s="6" t="s">
        <v>1136</v>
      </c>
      <c r="FD4" s="58" t="s">
        <v>1133</v>
      </c>
      <c r="FE4" s="2" t="s">
        <v>1134</v>
      </c>
      <c r="FF4" s="6" t="s">
        <v>1117</v>
      </c>
      <c r="FG4" s="6" t="s">
        <v>1135</v>
      </c>
      <c r="FH4" s="6"/>
      <c r="FI4" s="6"/>
      <c r="FJ4" s="6"/>
      <c r="FK4" s="6"/>
      <c r="FL4" s="6"/>
      <c r="FM4" s="6"/>
      <c r="FN4" s="6"/>
      <c r="FO4" s="6"/>
      <c r="FP4" s="6"/>
      <c r="FQ4" s="6"/>
      <c r="FR4" s="6"/>
      <c r="FS4" s="6"/>
      <c r="FT4" s="6"/>
      <c r="FU4" s="6"/>
      <c r="FV4" s="6"/>
      <c r="FW4" s="6" t="s">
        <v>1136</v>
      </c>
      <c r="FZ4" s="58" t="s">
        <v>1133</v>
      </c>
      <c r="GA4" s="2" t="s">
        <v>1134</v>
      </c>
      <c r="GB4" s="6" t="s">
        <v>1117</v>
      </c>
      <c r="GC4" s="6" t="s">
        <v>1135</v>
      </c>
      <c r="GD4" s="6"/>
      <c r="GE4" s="6"/>
      <c r="GF4" s="6"/>
      <c r="GG4" s="6"/>
      <c r="GH4" s="6"/>
      <c r="GI4" s="6"/>
      <c r="GJ4" s="6"/>
      <c r="GK4" s="6"/>
      <c r="GL4" s="6"/>
      <c r="GM4" s="6"/>
      <c r="GN4" s="6"/>
      <c r="GO4" s="6"/>
      <c r="GP4" s="6"/>
      <c r="GQ4" s="6"/>
      <c r="GR4" s="6"/>
      <c r="GS4" s="6" t="s">
        <v>1136</v>
      </c>
      <c r="GV4" s="58" t="s">
        <v>1133</v>
      </c>
      <c r="GW4" s="2" t="s">
        <v>1134</v>
      </c>
      <c r="GX4" s="6" t="s">
        <v>1117</v>
      </c>
      <c r="GY4" s="6" t="s">
        <v>1135</v>
      </c>
      <c r="GZ4" s="6"/>
      <c r="HA4" s="6"/>
      <c r="HB4" s="6"/>
      <c r="HC4" s="6"/>
      <c r="HD4" s="6"/>
      <c r="HE4" s="6"/>
      <c r="HF4" s="6"/>
      <c r="HG4" s="6"/>
      <c r="HH4" s="6"/>
      <c r="HI4" s="6"/>
      <c r="HJ4" s="6"/>
      <c r="HK4" s="6"/>
      <c r="HL4" s="6"/>
      <c r="HM4" s="6"/>
      <c r="HN4" s="6"/>
      <c r="HO4" s="6" t="s">
        <v>1136</v>
      </c>
      <c r="HR4" s="58" t="s">
        <v>1133</v>
      </c>
      <c r="HS4" s="2" t="s">
        <v>1134</v>
      </c>
      <c r="HT4" s="6" t="s">
        <v>1117</v>
      </c>
      <c r="HU4" s="6" t="s">
        <v>1135</v>
      </c>
      <c r="HV4" s="6"/>
      <c r="HW4" s="6"/>
      <c r="HX4" s="6"/>
      <c r="HY4" s="6"/>
      <c r="HZ4" s="6"/>
      <c r="IA4" s="6"/>
      <c r="IB4" s="6"/>
      <c r="IC4" s="6"/>
      <c r="ID4" s="6"/>
      <c r="IE4" s="6"/>
      <c r="IF4" s="6"/>
      <c r="IG4" s="6"/>
      <c r="IH4" s="6"/>
      <c r="II4" s="6"/>
      <c r="IJ4" s="6"/>
      <c r="IK4" s="6" t="s">
        <v>1136</v>
      </c>
      <c r="IN4" s="58" t="s">
        <v>1133</v>
      </c>
      <c r="IO4" s="2" t="s">
        <v>1134</v>
      </c>
      <c r="IP4" s="6" t="s">
        <v>1117</v>
      </c>
      <c r="IQ4" s="6" t="s">
        <v>1135</v>
      </c>
      <c r="IR4" s="6"/>
      <c r="IS4" s="6"/>
      <c r="IT4" s="6"/>
      <c r="IU4" s="6"/>
      <c r="IV4" s="6"/>
      <c r="IW4" s="6"/>
      <c r="IX4" s="6"/>
      <c r="IY4" s="6"/>
      <c r="IZ4" s="6"/>
      <c r="JA4" s="6"/>
      <c r="JB4" s="6"/>
      <c r="JC4" s="6"/>
      <c r="JD4" s="6"/>
      <c r="JE4" s="6"/>
      <c r="JF4" s="6"/>
      <c r="JG4" s="6" t="s">
        <v>1136</v>
      </c>
      <c r="JJ4" s="58" t="s">
        <v>1133</v>
      </c>
      <c r="JK4" s="2" t="s">
        <v>1134</v>
      </c>
      <c r="JL4" s="6" t="s">
        <v>1117</v>
      </c>
      <c r="JM4" s="6" t="s">
        <v>1135</v>
      </c>
      <c r="JN4" s="6"/>
      <c r="JO4" s="6"/>
      <c r="JP4" s="6"/>
      <c r="JQ4" s="6"/>
      <c r="JR4" s="6"/>
      <c r="JS4" s="6"/>
      <c r="JT4" s="6"/>
      <c r="JU4" s="6"/>
      <c r="JV4" s="6"/>
      <c r="JW4" s="6"/>
      <c r="JX4" s="6"/>
      <c r="JY4" s="6"/>
      <c r="JZ4" s="6"/>
      <c r="KA4" s="6"/>
      <c r="KB4" s="6"/>
      <c r="KC4" s="6" t="s">
        <v>1136</v>
      </c>
      <c r="KF4" s="58" t="s">
        <v>1133</v>
      </c>
      <c r="KG4" s="2" t="s">
        <v>1134</v>
      </c>
      <c r="KH4" s="6" t="s">
        <v>1117</v>
      </c>
      <c r="KI4" s="6" t="s">
        <v>1135</v>
      </c>
      <c r="KJ4" s="6"/>
      <c r="KK4" s="6"/>
      <c r="KL4" s="6"/>
      <c r="KM4" s="6"/>
      <c r="KN4" s="6"/>
      <c r="KO4" s="6"/>
      <c r="KP4" s="6"/>
      <c r="KQ4" s="6"/>
      <c r="KR4" s="6"/>
      <c r="KS4" s="6"/>
      <c r="KT4" s="6"/>
      <c r="KU4" s="6"/>
      <c r="KV4" s="6"/>
      <c r="KW4" s="6"/>
      <c r="KX4" s="6"/>
      <c r="KY4" s="6" t="s">
        <v>1136</v>
      </c>
      <c r="LB4" s="58" t="s">
        <v>1133</v>
      </c>
      <c r="LC4" s="2" t="s">
        <v>1134</v>
      </c>
      <c r="LD4" s="6" t="s">
        <v>1117</v>
      </c>
      <c r="LE4" s="6" t="s">
        <v>1135</v>
      </c>
      <c r="LF4" s="6"/>
      <c r="LG4" s="6"/>
      <c r="LH4" s="6"/>
      <c r="LI4" s="6"/>
      <c r="LJ4" s="6"/>
      <c r="LK4" s="6"/>
      <c r="LL4" s="6"/>
      <c r="LM4" s="6"/>
      <c r="LN4" s="6"/>
      <c r="LO4" s="6"/>
      <c r="LP4" s="6"/>
      <c r="LQ4" s="6"/>
      <c r="LR4" s="6"/>
      <c r="LS4" s="6"/>
      <c r="LT4" s="6"/>
      <c r="LU4" s="6" t="s">
        <v>1136</v>
      </c>
      <c r="LX4" s="58" t="s">
        <v>1133</v>
      </c>
      <c r="LY4" s="2" t="s">
        <v>1134</v>
      </c>
      <c r="LZ4" s="6" t="s">
        <v>1117</v>
      </c>
      <c r="MA4" s="6" t="s">
        <v>1135</v>
      </c>
      <c r="MB4" s="6"/>
      <c r="MC4" s="6"/>
      <c r="MD4" s="6"/>
      <c r="ME4" s="6"/>
      <c r="MF4" s="6"/>
      <c r="MG4" s="6"/>
      <c r="MH4" s="6"/>
      <c r="MI4" s="6"/>
      <c r="MJ4" s="6"/>
      <c r="MK4" s="6"/>
      <c r="ML4" s="6"/>
      <c r="MM4" s="6"/>
      <c r="MN4" s="6"/>
      <c r="MO4" s="6"/>
      <c r="MP4" s="6"/>
      <c r="MQ4" s="6" t="s">
        <v>1136</v>
      </c>
      <c r="MT4" s="58" t="s">
        <v>1133</v>
      </c>
      <c r="MU4" s="2" t="s">
        <v>1134</v>
      </c>
      <c r="MV4" s="6" t="s">
        <v>1117</v>
      </c>
      <c r="MW4" s="6" t="s">
        <v>1135</v>
      </c>
      <c r="MX4" s="6"/>
      <c r="MY4" s="6"/>
      <c r="MZ4" s="6"/>
      <c r="NA4" s="6"/>
      <c r="NB4" s="6"/>
      <c r="NC4" s="6"/>
      <c r="ND4" s="6"/>
      <c r="NE4" s="6"/>
      <c r="NF4" s="6"/>
      <c r="NG4" s="6"/>
      <c r="NH4" s="6"/>
      <c r="NI4" s="6"/>
      <c r="NJ4" s="6"/>
      <c r="NK4" s="6"/>
      <c r="NL4" s="6"/>
      <c r="NM4" s="6" t="s">
        <v>1136</v>
      </c>
      <c r="NP4" s="58" t="s">
        <v>1133</v>
      </c>
      <c r="NQ4" s="2" t="s">
        <v>1134</v>
      </c>
      <c r="NR4" s="6" t="s">
        <v>1117</v>
      </c>
      <c r="NS4" s="6" t="s">
        <v>1135</v>
      </c>
      <c r="NT4" s="6"/>
      <c r="NU4" s="6"/>
      <c r="NV4" s="6"/>
      <c r="NW4" s="6"/>
      <c r="NX4" s="6"/>
      <c r="NY4" s="6"/>
      <c r="NZ4" s="6"/>
      <c r="OA4" s="6"/>
      <c r="OB4" s="6"/>
      <c r="OC4" s="6"/>
      <c r="OD4" s="6"/>
      <c r="OE4" s="6"/>
      <c r="OF4" s="6"/>
      <c r="OG4" s="6"/>
      <c r="OH4" s="6"/>
      <c r="OI4" s="6" t="s">
        <v>1136</v>
      </c>
    </row>
    <row r="5" spans="2:400" ht="15" thickTop="1" x14ac:dyDescent="0.3">
      <c r="B5" s="127" t="s">
        <v>605</v>
      </c>
      <c r="C5" s="3">
        <v>1.5</v>
      </c>
      <c r="D5" s="128" t="s">
        <v>261</v>
      </c>
      <c r="E5" s="3"/>
      <c r="F5" s="127" t="s">
        <v>198</v>
      </c>
      <c r="G5" t="s">
        <v>230</v>
      </c>
      <c r="H5" t="s">
        <v>126</v>
      </c>
      <c r="I5" s="3">
        <v>3</v>
      </c>
      <c r="J5" s="133" t="s">
        <v>85</v>
      </c>
      <c r="L5" s="124" t="str">
        <f t="shared" ref="L5:L33" si="5">CONCATENATE("C",O5,"x",M5)</f>
        <v>C15x50</v>
      </c>
      <c r="M5" s="134">
        <v>50</v>
      </c>
      <c r="N5" s="134">
        <v>14.7</v>
      </c>
      <c r="O5" s="134">
        <v>15</v>
      </c>
      <c r="P5" s="134">
        <v>0.71599999999999997</v>
      </c>
      <c r="Q5" s="134">
        <v>3.7159999999999997</v>
      </c>
      <c r="R5" s="134">
        <v>0.65</v>
      </c>
      <c r="S5" s="134">
        <v>0.5</v>
      </c>
      <c r="T5" s="134">
        <v>0.24</v>
      </c>
      <c r="U5" s="131">
        <v>9.4629999999999992</v>
      </c>
      <c r="V5" s="134">
        <f t="shared" ref="V5:V33" si="6">R5-(T5*COS(RADIANS(U5)/RADIANS(180)*3.141592654)) - ((((Q5-P5)/2) - (T5-T5*SIN(RADIANS(U5)/RADIANS(180)*3.141592654)))*TAN(RADIANS(U5)/RADIANS(180)*3.141592654))</f>
        <v>0.19667369953242217</v>
      </c>
      <c r="W5" s="135">
        <f t="shared" ref="W5:W33" si="7">M5</f>
        <v>50</v>
      </c>
      <c r="X5" s="136"/>
      <c r="Y5" s="137">
        <v>1.4375</v>
      </c>
      <c r="Z5" s="137">
        <v>12.125</v>
      </c>
      <c r="AA5" s="132" t="s">
        <v>85</v>
      </c>
      <c r="AE5" s="127" t="str">
        <f t="shared" si="0"/>
        <v>L1.125x1.125x0.125</v>
      </c>
      <c r="AF5" s="138">
        <v>1.125</v>
      </c>
      <c r="AG5" s="138">
        <v>1.125</v>
      </c>
      <c r="AH5" s="138">
        <v>0.125</v>
      </c>
      <c r="AI5" s="138">
        <v>0.18750000000000003</v>
      </c>
      <c r="AJ5" s="138">
        <v>0.125</v>
      </c>
      <c r="AK5">
        <f t="shared" si="1"/>
        <v>2.0000000000000001E-4</v>
      </c>
      <c r="AM5" s="133" t="s">
        <v>85</v>
      </c>
      <c r="AP5" s="127" t="str">
        <f t="shared" si="2"/>
        <v>S24x106</v>
      </c>
      <c r="AQ5">
        <v>24</v>
      </c>
      <c r="AR5" s="138">
        <v>106.00000000000001</v>
      </c>
      <c r="AS5" s="138">
        <v>24.5</v>
      </c>
      <c r="AT5" s="138">
        <v>0.62</v>
      </c>
      <c r="AU5" s="138">
        <v>7.87</v>
      </c>
      <c r="AV5" s="138">
        <v>1.0900000000000001</v>
      </c>
      <c r="AW5" s="138">
        <v>0.6</v>
      </c>
      <c r="AX5" s="138">
        <v>0.3</v>
      </c>
      <c r="AY5">
        <v>9.4630000000000312</v>
      </c>
      <c r="AZ5" s="138">
        <f t="shared" si="3"/>
        <v>20.699248944603845</v>
      </c>
      <c r="BA5" s="133" t="s">
        <v>85</v>
      </c>
      <c r="BD5" s="143" t="str">
        <f t="shared" si="4"/>
        <v>W5x16</v>
      </c>
      <c r="BE5">
        <v>5</v>
      </c>
      <c r="BF5" s="138">
        <v>16</v>
      </c>
      <c r="BG5" s="138">
        <v>5.0099999999999989</v>
      </c>
      <c r="BH5" s="138">
        <v>0.24</v>
      </c>
      <c r="BI5" s="138">
        <v>5</v>
      </c>
      <c r="BJ5" s="138">
        <v>0.36</v>
      </c>
      <c r="BK5" s="138">
        <v>0.25</v>
      </c>
      <c r="BM5" s="133" t="s">
        <v>85</v>
      </c>
      <c r="BO5" s="150" t="s">
        <v>277</v>
      </c>
      <c r="BP5" s="138">
        <v>51.9</v>
      </c>
      <c r="BQ5" s="144">
        <v>18</v>
      </c>
      <c r="BR5" s="144">
        <v>0.6</v>
      </c>
      <c r="BS5" s="144">
        <v>4.0999999999999996</v>
      </c>
      <c r="BT5" s="144">
        <v>0.625</v>
      </c>
      <c r="BU5" s="144">
        <v>0.63</v>
      </c>
      <c r="BV5" s="144">
        <v>0.39228593464893474</v>
      </c>
      <c r="BW5" s="138">
        <v>9.4629999999999992</v>
      </c>
      <c r="BX5" s="138">
        <v>9.9999999999977884E-4</v>
      </c>
      <c r="BY5" s="138">
        <v>15.099256781995562</v>
      </c>
      <c r="BZ5" s="138">
        <v>1.450371609002219</v>
      </c>
      <c r="CB5">
        <v>1.4375</v>
      </c>
      <c r="CC5">
        <v>15.125</v>
      </c>
      <c r="CD5" s="151" t="s">
        <v>85</v>
      </c>
      <c r="CF5" s="150" t="s">
        <v>277</v>
      </c>
      <c r="CG5">
        <v>1.4375</v>
      </c>
      <c r="CH5">
        <v>15.125</v>
      </c>
      <c r="CI5" s="151" t="s">
        <v>261</v>
      </c>
      <c r="CK5" s="292">
        <v>0</v>
      </c>
      <c r="CL5" s="291" t="s">
        <v>127</v>
      </c>
      <c r="CM5" s="219" t="s">
        <v>261</v>
      </c>
      <c r="CP5" s="290">
        <v>0.5</v>
      </c>
      <c r="CQ5" s="291" t="s">
        <v>335</v>
      </c>
      <c r="CR5" s="219" t="s">
        <v>261</v>
      </c>
      <c r="CT5" s="145" t="s">
        <v>335</v>
      </c>
      <c r="CU5" s="157">
        <v>1.625</v>
      </c>
      <c r="CV5" s="157">
        <v>0.6875</v>
      </c>
      <c r="CW5" s="148">
        <v>0.1875</v>
      </c>
      <c r="CX5" s="148">
        <v>2</v>
      </c>
      <c r="CY5" s="148">
        <v>0.5</v>
      </c>
      <c r="CZ5" s="148">
        <v>0.1875</v>
      </c>
      <c r="DA5" s="148">
        <v>2.3125</v>
      </c>
      <c r="DB5" s="148">
        <v>3</v>
      </c>
      <c r="DC5" s="158">
        <v>0.5</v>
      </c>
      <c r="DD5" s="149" t="s">
        <v>261</v>
      </c>
      <c r="DE5" t="s">
        <v>567</v>
      </c>
      <c r="DG5" t="s">
        <v>1050</v>
      </c>
      <c r="DK5" s="99" t="s">
        <v>728</v>
      </c>
      <c r="DL5" s="100">
        <v>0.9375</v>
      </c>
      <c r="DM5" s="101" t="s">
        <v>261</v>
      </c>
      <c r="DO5" s="195">
        <v>0.125</v>
      </c>
      <c r="DQ5" s="292" t="s">
        <v>1181</v>
      </c>
      <c r="DR5" s="294">
        <v>1</v>
      </c>
      <c r="DS5" s="219" t="s">
        <v>261</v>
      </c>
      <c r="DU5" s="215">
        <f>DV5*12</f>
        <v>72</v>
      </c>
      <c r="DV5" s="216">
        <v>6</v>
      </c>
      <c r="DW5" s="216">
        <v>1</v>
      </c>
      <c r="DX5" s="217">
        <v>0</v>
      </c>
      <c r="DY5" s="218">
        <f>IF(DW5=1,   (DU5-DX5)/2,  (DU5-(DX5*(DW5-1)))/2  )</f>
        <v>36</v>
      </c>
      <c r="DZ5" s="216">
        <v>42</v>
      </c>
      <c r="EA5" s="219" t="s">
        <v>261</v>
      </c>
      <c r="ED5" s="322" t="s">
        <v>1267</v>
      </c>
      <c r="EE5" s="323">
        <v>1</v>
      </c>
      <c r="EH5" s="232">
        <v>5</v>
      </c>
      <c r="EI5" s="233">
        <v>60</v>
      </c>
      <c r="EJ5" s="234">
        <v>30</v>
      </c>
      <c r="EK5" s="234">
        <v>30</v>
      </c>
      <c r="EL5" s="234" t="s">
        <v>1137</v>
      </c>
      <c r="EM5" s="234" t="s">
        <v>1137</v>
      </c>
      <c r="EN5" s="234" t="s">
        <v>1137</v>
      </c>
      <c r="EO5" s="234" t="s">
        <v>1137</v>
      </c>
      <c r="EP5" s="234" t="s">
        <v>1137</v>
      </c>
      <c r="EQ5" s="234" t="s">
        <v>1137</v>
      </c>
      <c r="ER5" s="234" t="s">
        <v>1137</v>
      </c>
      <c r="ES5" s="234" t="s">
        <v>1137</v>
      </c>
      <c r="ET5" s="234" t="s">
        <v>1137</v>
      </c>
      <c r="EU5" s="234" t="s">
        <v>1137</v>
      </c>
      <c r="EV5" s="234" t="s">
        <v>1137</v>
      </c>
      <c r="EW5" s="234" t="s">
        <v>1137</v>
      </c>
      <c r="EX5" s="234" t="s">
        <v>1137</v>
      </c>
      <c r="EY5" s="234" t="s">
        <v>1137</v>
      </c>
      <c r="EZ5" s="234"/>
      <c r="FA5" s="235">
        <v>1</v>
      </c>
      <c r="FB5" s="236">
        <f>SUM(EJ5:EZ5)</f>
        <v>60</v>
      </c>
      <c r="FD5" s="237">
        <f>EH5</f>
        <v>5</v>
      </c>
      <c r="FE5" s="238">
        <f t="shared" ref="FE5:FX17" si="8">EI5</f>
        <v>60</v>
      </c>
      <c r="FF5" s="239">
        <f t="shared" si="8"/>
        <v>30</v>
      </c>
      <c r="FG5" s="239">
        <f t="shared" si="8"/>
        <v>30</v>
      </c>
      <c r="FH5" s="239" t="str">
        <f t="shared" si="8"/>
        <v xml:space="preserve"> </v>
      </c>
      <c r="FI5" s="239" t="str">
        <f t="shared" si="8"/>
        <v xml:space="preserve"> </v>
      </c>
      <c r="FJ5" s="239" t="str">
        <f t="shared" si="8"/>
        <v xml:space="preserve"> </v>
      </c>
      <c r="FK5" s="239" t="str">
        <f t="shared" si="8"/>
        <v xml:space="preserve"> </v>
      </c>
      <c r="FL5" s="239" t="str">
        <f t="shared" si="8"/>
        <v xml:space="preserve"> </v>
      </c>
      <c r="FM5" s="239" t="str">
        <f t="shared" si="8"/>
        <v xml:space="preserve"> </v>
      </c>
      <c r="FN5" s="239" t="str">
        <f t="shared" si="8"/>
        <v xml:space="preserve"> </v>
      </c>
      <c r="FO5" s="239" t="str">
        <f t="shared" si="8"/>
        <v xml:space="preserve"> </v>
      </c>
      <c r="FP5" s="239" t="str">
        <f t="shared" si="8"/>
        <v xml:space="preserve"> </v>
      </c>
      <c r="FQ5" s="239" t="str">
        <f t="shared" si="8"/>
        <v xml:space="preserve"> </v>
      </c>
      <c r="FR5" s="239" t="str">
        <f t="shared" si="8"/>
        <v xml:space="preserve"> </v>
      </c>
      <c r="FS5" s="239" t="str">
        <f t="shared" si="8"/>
        <v xml:space="preserve"> </v>
      </c>
      <c r="FT5" s="239" t="str">
        <f t="shared" si="8"/>
        <v xml:space="preserve"> </v>
      </c>
      <c r="FU5" s="239" t="str">
        <f t="shared" si="8"/>
        <v xml:space="preserve"> </v>
      </c>
      <c r="FV5" s="239">
        <f t="shared" si="8"/>
        <v>0</v>
      </c>
      <c r="FW5" s="240">
        <f t="shared" si="8"/>
        <v>1</v>
      </c>
      <c r="FX5" s="241">
        <f t="shared" si="8"/>
        <v>60</v>
      </c>
      <c r="FZ5" s="242">
        <v>5</v>
      </c>
      <c r="GA5" s="233">
        <v>60</v>
      </c>
      <c r="GB5" s="234"/>
      <c r="GC5" s="234"/>
      <c r="GD5" s="234" t="s">
        <v>1137</v>
      </c>
      <c r="GE5" s="234" t="s">
        <v>1137</v>
      </c>
      <c r="GF5" s="234" t="s">
        <v>1137</v>
      </c>
      <c r="GG5" s="234" t="s">
        <v>1137</v>
      </c>
      <c r="GH5" s="234" t="s">
        <v>1137</v>
      </c>
      <c r="GI5" s="234" t="s">
        <v>1137</v>
      </c>
      <c r="GJ5" s="234" t="s">
        <v>1137</v>
      </c>
      <c r="GK5" s="234" t="s">
        <v>1137</v>
      </c>
      <c r="GL5" s="234" t="s">
        <v>1137</v>
      </c>
      <c r="GM5" s="234" t="s">
        <v>1137</v>
      </c>
      <c r="GN5" s="234" t="s">
        <v>1137</v>
      </c>
      <c r="GO5" s="234" t="s">
        <v>1137</v>
      </c>
      <c r="GP5" s="234" t="s">
        <v>1137</v>
      </c>
      <c r="GQ5" s="234" t="s">
        <v>1137</v>
      </c>
      <c r="GR5" s="234"/>
      <c r="GS5" s="235">
        <v>0</v>
      </c>
      <c r="GT5" s="236">
        <f>SUM(GB5:GR5)</f>
        <v>0</v>
      </c>
      <c r="GV5" s="237">
        <f>FZ5</f>
        <v>5</v>
      </c>
      <c r="GW5" s="238">
        <f t="shared" ref="GW5:HL20" si="9">GA5</f>
        <v>60</v>
      </c>
      <c r="GX5" s="239">
        <f t="shared" si="9"/>
        <v>0</v>
      </c>
      <c r="GY5" s="239">
        <f t="shared" si="9"/>
        <v>0</v>
      </c>
      <c r="GZ5" s="239" t="str">
        <f t="shared" si="9"/>
        <v xml:space="preserve"> </v>
      </c>
      <c r="HA5" s="239" t="str">
        <f t="shared" si="9"/>
        <v xml:space="preserve"> </v>
      </c>
      <c r="HB5" s="239" t="str">
        <f t="shared" si="9"/>
        <v xml:space="preserve"> </v>
      </c>
      <c r="HC5" s="239" t="str">
        <f t="shared" si="9"/>
        <v xml:space="preserve"> </v>
      </c>
      <c r="HD5" s="239" t="str">
        <f t="shared" si="9"/>
        <v xml:space="preserve"> </v>
      </c>
      <c r="HE5" s="239" t="str">
        <f t="shared" si="9"/>
        <v xml:space="preserve"> </v>
      </c>
      <c r="HF5" s="239" t="str">
        <f t="shared" si="9"/>
        <v xml:space="preserve"> </v>
      </c>
      <c r="HG5" s="239" t="str">
        <f t="shared" si="9"/>
        <v xml:space="preserve"> </v>
      </c>
      <c r="HH5" s="239" t="str">
        <f t="shared" si="9"/>
        <v xml:space="preserve"> </v>
      </c>
      <c r="HI5" s="239" t="str">
        <f t="shared" si="9"/>
        <v xml:space="preserve"> </v>
      </c>
      <c r="HJ5" s="239" t="str">
        <f t="shared" si="9"/>
        <v xml:space="preserve"> </v>
      </c>
      <c r="HK5" s="239" t="str">
        <f t="shared" si="9"/>
        <v xml:space="preserve"> </v>
      </c>
      <c r="HL5" s="239" t="str">
        <f t="shared" si="9"/>
        <v xml:space="preserve"> </v>
      </c>
      <c r="HM5" s="239" t="str">
        <f t="shared" ref="HM5:HP65" si="10">GQ5</f>
        <v xml:space="preserve"> </v>
      </c>
      <c r="HN5" s="239">
        <f t="shared" si="10"/>
        <v>0</v>
      </c>
      <c r="HO5" s="240">
        <f t="shared" si="10"/>
        <v>0</v>
      </c>
      <c r="HP5" s="241">
        <f t="shared" si="10"/>
        <v>0</v>
      </c>
      <c r="HR5" s="232">
        <v>5</v>
      </c>
      <c r="HS5" s="233">
        <v>60</v>
      </c>
      <c r="HT5" s="234"/>
      <c r="HU5" s="234"/>
      <c r="HV5" s="234"/>
      <c r="HW5" s="234"/>
      <c r="HX5" s="234"/>
      <c r="HY5" s="234"/>
      <c r="HZ5" s="234"/>
      <c r="IA5" s="234"/>
      <c r="IB5" s="234"/>
      <c r="IC5" s="234"/>
      <c r="ID5" s="234"/>
      <c r="IE5" s="234"/>
      <c r="IF5" s="234"/>
      <c r="IG5" s="234"/>
      <c r="IH5" s="234"/>
      <c r="II5" s="234"/>
      <c r="IJ5" s="234"/>
      <c r="IK5" s="235">
        <v>0</v>
      </c>
      <c r="IL5" s="236"/>
      <c r="IN5" s="232">
        <v>5</v>
      </c>
      <c r="IO5" s="233">
        <v>60</v>
      </c>
      <c r="IP5" s="234"/>
      <c r="IQ5" s="234"/>
      <c r="IR5" s="234"/>
      <c r="IS5" s="234"/>
      <c r="IT5" s="234"/>
      <c r="IU5" s="234"/>
      <c r="IV5" s="234"/>
      <c r="IW5" s="234"/>
      <c r="IX5" s="234"/>
      <c r="IY5" s="234"/>
      <c r="IZ5" s="234"/>
      <c r="JA5" s="234"/>
      <c r="JB5" s="234"/>
      <c r="JC5" s="234"/>
      <c r="JD5" s="234"/>
      <c r="JE5" s="234"/>
      <c r="JF5" s="234"/>
      <c r="JG5" s="235">
        <v>0</v>
      </c>
      <c r="JH5" s="236"/>
      <c r="JJ5" s="242">
        <v>5</v>
      </c>
      <c r="JK5" s="233">
        <v>60</v>
      </c>
      <c r="JL5" s="234"/>
      <c r="JM5" s="234"/>
      <c r="JN5" s="234"/>
      <c r="JO5" s="234"/>
      <c r="JP5" s="234"/>
      <c r="JQ5" s="234"/>
      <c r="JR5" s="234"/>
      <c r="JS5" s="234"/>
      <c r="JT5" s="234"/>
      <c r="JU5" s="234"/>
      <c r="JV5" s="234"/>
      <c r="JW5" s="234"/>
      <c r="JX5" s="234"/>
      <c r="JY5" s="234"/>
      <c r="JZ5" s="234"/>
      <c r="KA5" s="234"/>
      <c r="KB5" s="234"/>
      <c r="KC5" s="235">
        <v>0</v>
      </c>
      <c r="KD5" s="236"/>
      <c r="KF5" s="232">
        <v>5</v>
      </c>
      <c r="KG5" s="233">
        <v>60</v>
      </c>
      <c r="KH5" s="234">
        <v>30</v>
      </c>
      <c r="KI5" s="234">
        <v>30</v>
      </c>
      <c r="KJ5" s="234"/>
      <c r="KK5" s="234"/>
      <c r="KL5" s="234"/>
      <c r="KM5" s="234"/>
      <c r="KN5" s="234"/>
      <c r="KO5" s="234"/>
      <c r="KP5" s="234"/>
      <c r="KQ5" s="234"/>
      <c r="KR5" s="234"/>
      <c r="KS5" s="234"/>
      <c r="KT5" s="234"/>
      <c r="KU5" s="234"/>
      <c r="KV5" s="234"/>
      <c r="KW5" s="234"/>
      <c r="KX5" s="234"/>
      <c r="KY5" s="235">
        <v>1</v>
      </c>
      <c r="KZ5" s="236"/>
      <c r="LB5" s="237">
        <f>$KF5</f>
        <v>5</v>
      </c>
      <c r="LC5" s="281">
        <f>$KG5</f>
        <v>60</v>
      </c>
      <c r="LD5" s="282">
        <f>$KH5</f>
        <v>30</v>
      </c>
      <c r="LE5" s="282">
        <f>$KI5</f>
        <v>30</v>
      </c>
      <c r="LF5" s="282">
        <f>$KJ5</f>
        <v>0</v>
      </c>
      <c r="LG5" s="282">
        <f>$KK5</f>
        <v>0</v>
      </c>
      <c r="LH5" s="282">
        <f>$KL5</f>
        <v>0</v>
      </c>
      <c r="LI5" s="282">
        <f>$KM5</f>
        <v>0</v>
      </c>
      <c r="LJ5" s="282">
        <f>$KN5</f>
        <v>0</v>
      </c>
      <c r="LK5" s="282">
        <f>$KO5</f>
        <v>0</v>
      </c>
      <c r="LL5" s="282">
        <f>$KP5</f>
        <v>0</v>
      </c>
      <c r="LM5" s="282">
        <f>$KQ5</f>
        <v>0</v>
      </c>
      <c r="LN5" s="282">
        <f>$KR5</f>
        <v>0</v>
      </c>
      <c r="LO5" s="282">
        <f>$KS5</f>
        <v>0</v>
      </c>
      <c r="LP5" s="282">
        <f>$KT5</f>
        <v>0</v>
      </c>
      <c r="LQ5" s="282">
        <f>$KU5</f>
        <v>0</v>
      </c>
      <c r="LR5" s="282">
        <f>$KV5</f>
        <v>0</v>
      </c>
      <c r="LS5" s="282">
        <f>$KW5</f>
        <v>0</v>
      </c>
      <c r="LT5" s="282">
        <f>$KX5</f>
        <v>0</v>
      </c>
      <c r="LU5" s="283">
        <f>$KY5</f>
        <v>1</v>
      </c>
      <c r="LV5" s="280">
        <f>$KZ5</f>
        <v>0</v>
      </c>
      <c r="LX5" s="237">
        <f>$KF5</f>
        <v>5</v>
      </c>
      <c r="LY5" s="281">
        <f>$KG5</f>
        <v>60</v>
      </c>
      <c r="LZ5" s="282">
        <f>$KH5</f>
        <v>30</v>
      </c>
      <c r="MA5" s="282">
        <f>$KI5</f>
        <v>30</v>
      </c>
      <c r="MB5" s="282">
        <f>$KJ5</f>
        <v>0</v>
      </c>
      <c r="MC5" s="282">
        <f>$KK5</f>
        <v>0</v>
      </c>
      <c r="MD5" s="282">
        <f>$KL5</f>
        <v>0</v>
      </c>
      <c r="ME5" s="282">
        <f>$KM5</f>
        <v>0</v>
      </c>
      <c r="MF5" s="282">
        <f>$KN5</f>
        <v>0</v>
      </c>
      <c r="MG5" s="282">
        <f>$KO5</f>
        <v>0</v>
      </c>
      <c r="MH5" s="282">
        <f>$KP5</f>
        <v>0</v>
      </c>
      <c r="MI5" s="282">
        <f>$KQ5</f>
        <v>0</v>
      </c>
      <c r="MJ5" s="282">
        <f>$KR5</f>
        <v>0</v>
      </c>
      <c r="MK5" s="282">
        <f>$KS5</f>
        <v>0</v>
      </c>
      <c r="ML5" s="282">
        <f>$KT5</f>
        <v>0</v>
      </c>
      <c r="MM5" s="282">
        <f>$KU5</f>
        <v>0</v>
      </c>
      <c r="MN5" s="282">
        <f>$KV5</f>
        <v>0</v>
      </c>
      <c r="MO5" s="282">
        <f>$KW5</f>
        <v>0</v>
      </c>
      <c r="MP5" s="282">
        <f>$KX5</f>
        <v>0</v>
      </c>
      <c r="MQ5" s="283">
        <f>$KY5</f>
        <v>1</v>
      </c>
      <c r="MR5" s="280">
        <f>$KZ5</f>
        <v>0</v>
      </c>
      <c r="MT5" s="237">
        <f>$KF5</f>
        <v>5</v>
      </c>
      <c r="MU5" s="281">
        <f>$KG5</f>
        <v>60</v>
      </c>
      <c r="MV5" s="282">
        <f>$KH5</f>
        <v>30</v>
      </c>
      <c r="MW5" s="282">
        <f>$KI5</f>
        <v>30</v>
      </c>
      <c r="MX5" s="282">
        <f>$KJ5</f>
        <v>0</v>
      </c>
      <c r="MY5" s="282">
        <f>$KK5</f>
        <v>0</v>
      </c>
      <c r="MZ5" s="282">
        <f>$KL5</f>
        <v>0</v>
      </c>
      <c r="NA5" s="282">
        <f>$KM5</f>
        <v>0</v>
      </c>
      <c r="NB5" s="282">
        <f>$KN5</f>
        <v>0</v>
      </c>
      <c r="NC5" s="282">
        <f>$KO5</f>
        <v>0</v>
      </c>
      <c r="ND5" s="282">
        <f>$KP5</f>
        <v>0</v>
      </c>
      <c r="NE5" s="282">
        <f>$KQ5</f>
        <v>0</v>
      </c>
      <c r="NF5" s="282">
        <f>$KR5</f>
        <v>0</v>
      </c>
      <c r="NG5" s="282">
        <f>$KS5</f>
        <v>0</v>
      </c>
      <c r="NH5" s="282">
        <f>$KT5</f>
        <v>0</v>
      </c>
      <c r="NI5" s="282">
        <f>$KU5</f>
        <v>0</v>
      </c>
      <c r="NJ5" s="282">
        <f>$KV5</f>
        <v>0</v>
      </c>
      <c r="NK5" s="282">
        <f>$KW5</f>
        <v>0</v>
      </c>
      <c r="NL5" s="282">
        <f>$KX5</f>
        <v>0</v>
      </c>
      <c r="NM5" s="283">
        <f>$KY5</f>
        <v>1</v>
      </c>
      <c r="NN5" s="280">
        <f>$KZ5</f>
        <v>0</v>
      </c>
      <c r="NP5" s="237">
        <f>$KF5</f>
        <v>5</v>
      </c>
      <c r="NQ5" s="281">
        <f>$KG5</f>
        <v>60</v>
      </c>
      <c r="NR5" s="282">
        <f>$KH5</f>
        <v>30</v>
      </c>
      <c r="NS5" s="282">
        <f>$KI5</f>
        <v>30</v>
      </c>
      <c r="NT5" s="282">
        <f>$KJ5</f>
        <v>0</v>
      </c>
      <c r="NU5" s="282">
        <f>$KK5</f>
        <v>0</v>
      </c>
      <c r="NV5" s="282">
        <f>$KL5</f>
        <v>0</v>
      </c>
      <c r="NW5" s="282">
        <f>$KM5</f>
        <v>0</v>
      </c>
      <c r="NX5" s="282">
        <f>$KN5</f>
        <v>0</v>
      </c>
      <c r="NY5" s="282">
        <f>$KO5</f>
        <v>0</v>
      </c>
      <c r="NZ5" s="282">
        <f>$KP5</f>
        <v>0</v>
      </c>
      <c r="OA5" s="282">
        <f>$KQ5</f>
        <v>0</v>
      </c>
      <c r="OB5" s="282">
        <f>$KR5</f>
        <v>0</v>
      </c>
      <c r="OC5" s="282">
        <f>$KS5</f>
        <v>0</v>
      </c>
      <c r="OD5" s="282">
        <f>$KT5</f>
        <v>0</v>
      </c>
      <c r="OE5" s="282">
        <f>$KU5</f>
        <v>0</v>
      </c>
      <c r="OF5" s="282">
        <f>$KV5</f>
        <v>0</v>
      </c>
      <c r="OG5" s="282">
        <f>$KW5</f>
        <v>0</v>
      </c>
      <c r="OH5" s="282">
        <f>$KX5</f>
        <v>0</v>
      </c>
      <c r="OI5" s="283">
        <f>$KY5</f>
        <v>1</v>
      </c>
      <c r="OJ5" s="280">
        <f>$KZ5</f>
        <v>0</v>
      </c>
    </row>
    <row r="6" spans="2:400" x14ac:dyDescent="0.3">
      <c r="B6" s="127" t="s">
        <v>245</v>
      </c>
      <c r="C6" s="3">
        <v>2</v>
      </c>
      <c r="D6" s="128" t="s">
        <v>261</v>
      </c>
      <c r="E6" s="3"/>
      <c r="F6" s="127" t="s">
        <v>144</v>
      </c>
      <c r="G6" t="s">
        <v>231</v>
      </c>
      <c r="H6" t="s">
        <v>82</v>
      </c>
      <c r="I6" s="3">
        <v>4</v>
      </c>
      <c r="J6" s="133" t="s">
        <v>85</v>
      </c>
      <c r="L6" s="127" t="str">
        <f t="shared" si="5"/>
        <v>C15x40</v>
      </c>
      <c r="M6" s="138">
        <v>40</v>
      </c>
      <c r="N6" s="138">
        <v>11.8</v>
      </c>
      <c r="O6" s="138">
        <v>15</v>
      </c>
      <c r="P6" s="138">
        <v>0.52</v>
      </c>
      <c r="Q6" s="138">
        <v>3.52</v>
      </c>
      <c r="R6" s="138">
        <v>0.65</v>
      </c>
      <c r="S6" s="138">
        <v>0.5</v>
      </c>
      <c r="T6" s="138">
        <v>0.24</v>
      </c>
      <c r="U6">
        <v>9.4629999999999992</v>
      </c>
      <c r="V6" s="138">
        <f t="shared" si="6"/>
        <v>0.19667369953242217</v>
      </c>
      <c r="W6" s="139">
        <f t="shared" si="7"/>
        <v>40</v>
      </c>
      <c r="X6" s="140"/>
      <c r="Y6" s="141">
        <v>1.4375</v>
      </c>
      <c r="Z6" s="141">
        <v>12.125</v>
      </c>
      <c r="AA6" s="133" t="s">
        <v>85</v>
      </c>
      <c r="AE6" s="127" t="str">
        <f t="shared" si="0"/>
        <v>L1.25x1.25x0.1875</v>
      </c>
      <c r="AF6" s="138">
        <v>1.25</v>
      </c>
      <c r="AG6" s="138">
        <v>1.25</v>
      </c>
      <c r="AH6" s="138">
        <v>0.18750000000000003</v>
      </c>
      <c r="AI6" s="138">
        <v>0.18750000000000003</v>
      </c>
      <c r="AJ6" s="138">
        <v>0.18750000000000003</v>
      </c>
      <c r="AK6">
        <f t="shared" si="1"/>
        <v>2.0000000000000001E-4</v>
      </c>
      <c r="AL6" t="s">
        <v>124</v>
      </c>
      <c r="AM6" s="133" t="s">
        <v>85</v>
      </c>
      <c r="AP6" s="127" t="str">
        <f t="shared" si="2"/>
        <v>S24x100</v>
      </c>
      <c r="AQ6">
        <v>24</v>
      </c>
      <c r="AR6" s="138">
        <v>100</v>
      </c>
      <c r="AS6" s="138">
        <v>24.000000000000004</v>
      </c>
      <c r="AT6" s="138">
        <v>0.745</v>
      </c>
      <c r="AU6" s="138">
        <v>7.2450000000000001</v>
      </c>
      <c r="AV6" s="138">
        <v>0.87</v>
      </c>
      <c r="AW6" s="138">
        <v>0.6</v>
      </c>
      <c r="AX6" s="138">
        <v>0.3</v>
      </c>
      <c r="AY6">
        <v>9.4630000000000312</v>
      </c>
      <c r="AZ6" s="138">
        <f t="shared" si="3"/>
        <v>20.701753503985309</v>
      </c>
      <c r="BA6" s="133" t="s">
        <v>85</v>
      </c>
      <c r="BD6" s="143" t="str">
        <f t="shared" si="4"/>
        <v>W5x19</v>
      </c>
      <c r="BE6">
        <v>5</v>
      </c>
      <c r="BF6" s="138">
        <v>19</v>
      </c>
      <c r="BG6" s="138">
        <v>5.15</v>
      </c>
      <c r="BH6" s="138">
        <v>0.27</v>
      </c>
      <c r="BI6" s="138">
        <v>5.0300000000000011</v>
      </c>
      <c r="BJ6" s="138">
        <v>0.43</v>
      </c>
      <c r="BK6" s="138">
        <v>0.25</v>
      </c>
      <c r="BM6" s="133" t="s">
        <v>85</v>
      </c>
      <c r="BO6" s="150" t="s">
        <v>278</v>
      </c>
      <c r="BP6" s="138">
        <v>45.8</v>
      </c>
      <c r="BQ6" s="144">
        <v>18</v>
      </c>
      <c r="BR6" s="144">
        <v>0.5</v>
      </c>
      <c r="BS6" s="144">
        <v>4</v>
      </c>
      <c r="BT6" s="144">
        <v>0.625</v>
      </c>
      <c r="BU6" s="144">
        <v>0.63</v>
      </c>
      <c r="BV6" s="144">
        <v>0.39228593464893474</v>
      </c>
      <c r="BW6" s="138">
        <v>9.4629999999999992</v>
      </c>
      <c r="BX6" s="138">
        <v>9.9999999999975109E-4</v>
      </c>
      <c r="BY6" s="138">
        <v>15.099256781995562</v>
      </c>
      <c r="BZ6" s="138">
        <v>1.450371609002219</v>
      </c>
      <c r="CB6">
        <v>1.4375</v>
      </c>
      <c r="CC6">
        <v>15.125</v>
      </c>
      <c r="CD6" s="151" t="s">
        <v>85</v>
      </c>
      <c r="CF6" s="150" t="s">
        <v>278</v>
      </c>
      <c r="CG6">
        <v>1.4375</v>
      </c>
      <c r="CH6">
        <v>15.125</v>
      </c>
      <c r="CI6" s="151" t="s">
        <v>261</v>
      </c>
      <c r="CK6" s="293">
        <v>1</v>
      </c>
      <c r="CL6" s="90" t="s">
        <v>1263</v>
      </c>
      <c r="CM6" s="224" t="s">
        <v>261</v>
      </c>
      <c r="CP6" s="244">
        <v>1</v>
      </c>
      <c r="CQ6" s="90" t="s">
        <v>332</v>
      </c>
      <c r="CR6" s="224" t="s">
        <v>261</v>
      </c>
      <c r="CT6" s="150" t="s">
        <v>332</v>
      </c>
      <c r="CU6" s="159">
        <v>2.5</v>
      </c>
      <c r="CV6" s="159">
        <v>0.75</v>
      </c>
      <c r="CW6">
        <v>0.1875</v>
      </c>
      <c r="CX6">
        <v>3.0625</v>
      </c>
      <c r="CY6">
        <v>0.5</v>
      </c>
      <c r="CZ6">
        <v>0.1875</v>
      </c>
      <c r="DA6">
        <v>3.3125</v>
      </c>
      <c r="DB6">
        <v>4</v>
      </c>
      <c r="DC6" s="3">
        <v>1</v>
      </c>
      <c r="DD6" s="151" t="s">
        <v>261</v>
      </c>
      <c r="DE6" t="s">
        <v>568</v>
      </c>
      <c r="DG6" s="3">
        <v>1</v>
      </c>
      <c r="DH6" s="3">
        <v>2</v>
      </c>
      <c r="DI6" s="3">
        <v>3</v>
      </c>
      <c r="DK6" s="91" t="s">
        <v>738</v>
      </c>
      <c r="DL6" s="89">
        <v>0.875</v>
      </c>
      <c r="DM6" s="92" t="s">
        <v>261</v>
      </c>
      <c r="DO6" s="196">
        <v>0.1875</v>
      </c>
      <c r="DQ6" s="293" t="s">
        <v>1182</v>
      </c>
      <c r="DR6" s="89">
        <v>2</v>
      </c>
      <c r="DS6" s="224" t="s">
        <v>261</v>
      </c>
      <c r="DU6" s="220">
        <f t="shared" ref="DU6:DU32" si="11">DV6*12</f>
        <v>96</v>
      </c>
      <c r="DV6" s="221">
        <v>8</v>
      </c>
      <c r="DW6" s="221">
        <v>1</v>
      </c>
      <c r="DX6" s="222">
        <v>0</v>
      </c>
      <c r="DY6" s="223">
        <f>IF(DW6=1,   (DU6-DX6)/2,  (DU6-(DX6*(DW6-1)))/2  )</f>
        <v>48</v>
      </c>
      <c r="DZ6" s="221">
        <v>66</v>
      </c>
      <c r="EA6" s="224" t="s">
        <v>261</v>
      </c>
      <c r="ED6" s="324" t="s">
        <v>1008</v>
      </c>
      <c r="EE6" s="92">
        <v>2</v>
      </c>
      <c r="EH6" s="243">
        <v>6</v>
      </c>
      <c r="EI6" s="244">
        <v>72</v>
      </c>
      <c r="EJ6" s="90">
        <v>36</v>
      </c>
      <c r="EK6" s="90">
        <v>36</v>
      </c>
      <c r="EL6" s="90" t="s">
        <v>1137</v>
      </c>
      <c r="EM6" s="90" t="s">
        <v>1137</v>
      </c>
      <c r="EN6" s="90" t="s">
        <v>1137</v>
      </c>
      <c r="EO6" s="90" t="s">
        <v>1137</v>
      </c>
      <c r="EP6" s="90" t="s">
        <v>1137</v>
      </c>
      <c r="EQ6" s="90" t="s">
        <v>1137</v>
      </c>
      <c r="ER6" s="90" t="s">
        <v>1137</v>
      </c>
      <c r="ES6" s="90" t="s">
        <v>1137</v>
      </c>
      <c r="ET6" s="90" t="s">
        <v>1137</v>
      </c>
      <c r="EU6" s="90" t="s">
        <v>1137</v>
      </c>
      <c r="EV6" s="90" t="s">
        <v>1137</v>
      </c>
      <c r="EW6" s="90" t="s">
        <v>1137</v>
      </c>
      <c r="EX6" s="90" t="s">
        <v>1137</v>
      </c>
      <c r="EY6" s="90" t="s">
        <v>1137</v>
      </c>
      <c r="EZ6" s="90"/>
      <c r="FA6" s="224">
        <v>1</v>
      </c>
      <c r="FB6" s="245">
        <f t="shared" ref="FB6:FB65" si="12">SUM(EJ6:EZ6)</f>
        <v>72</v>
      </c>
      <c r="FD6" s="237">
        <f t="shared" ref="FD6:FS33" si="13">EH6</f>
        <v>6</v>
      </c>
      <c r="FE6" s="246">
        <f t="shared" si="8"/>
        <v>72</v>
      </c>
      <c r="FF6" s="247">
        <f t="shared" si="8"/>
        <v>36</v>
      </c>
      <c r="FG6" s="247">
        <f t="shared" si="8"/>
        <v>36</v>
      </c>
      <c r="FH6" s="247" t="str">
        <f t="shared" si="8"/>
        <v xml:space="preserve"> </v>
      </c>
      <c r="FI6" s="247" t="str">
        <f t="shared" si="8"/>
        <v xml:space="preserve"> </v>
      </c>
      <c r="FJ6" s="247" t="str">
        <f t="shared" si="8"/>
        <v xml:space="preserve"> </v>
      </c>
      <c r="FK6" s="247" t="str">
        <f t="shared" si="8"/>
        <v xml:space="preserve"> </v>
      </c>
      <c r="FL6" s="247" t="str">
        <f t="shared" si="8"/>
        <v xml:space="preserve"> </v>
      </c>
      <c r="FM6" s="247" t="str">
        <f t="shared" si="8"/>
        <v xml:space="preserve"> </v>
      </c>
      <c r="FN6" s="247" t="str">
        <f t="shared" si="8"/>
        <v xml:space="preserve"> </v>
      </c>
      <c r="FO6" s="247" t="str">
        <f t="shared" si="8"/>
        <v xml:space="preserve"> </v>
      </c>
      <c r="FP6" s="247" t="str">
        <f t="shared" si="8"/>
        <v xml:space="preserve"> </v>
      </c>
      <c r="FQ6" s="247" t="str">
        <f t="shared" si="8"/>
        <v xml:space="preserve"> </v>
      </c>
      <c r="FR6" s="247" t="str">
        <f t="shared" si="8"/>
        <v xml:space="preserve"> </v>
      </c>
      <c r="FS6" s="247" t="str">
        <f t="shared" si="8"/>
        <v xml:space="preserve"> </v>
      </c>
      <c r="FT6" s="247" t="str">
        <f t="shared" si="8"/>
        <v xml:space="preserve"> </v>
      </c>
      <c r="FU6" s="247" t="str">
        <f t="shared" si="8"/>
        <v xml:space="preserve"> </v>
      </c>
      <c r="FV6" s="247">
        <f t="shared" si="8"/>
        <v>0</v>
      </c>
      <c r="FW6" s="248">
        <f t="shared" si="8"/>
        <v>1</v>
      </c>
      <c r="FX6" s="241">
        <f t="shared" si="8"/>
        <v>72</v>
      </c>
      <c r="FZ6" s="249">
        <v>6</v>
      </c>
      <c r="GA6" s="244">
        <v>72</v>
      </c>
      <c r="GB6" s="90">
        <v>36</v>
      </c>
      <c r="GC6" s="90">
        <v>36</v>
      </c>
      <c r="GD6" s="90" t="s">
        <v>1137</v>
      </c>
      <c r="GE6" s="90" t="s">
        <v>1137</v>
      </c>
      <c r="GF6" s="90" t="s">
        <v>1137</v>
      </c>
      <c r="GG6" s="90" t="s">
        <v>1137</v>
      </c>
      <c r="GH6" s="90" t="s">
        <v>1137</v>
      </c>
      <c r="GI6" s="90" t="s">
        <v>1137</v>
      </c>
      <c r="GJ6" s="90" t="s">
        <v>1137</v>
      </c>
      <c r="GK6" s="90" t="s">
        <v>1137</v>
      </c>
      <c r="GL6" s="90" t="s">
        <v>1137</v>
      </c>
      <c r="GM6" s="90" t="s">
        <v>1137</v>
      </c>
      <c r="GN6" s="90" t="s">
        <v>1137</v>
      </c>
      <c r="GO6" s="90" t="s">
        <v>1137</v>
      </c>
      <c r="GP6" s="90" t="s">
        <v>1137</v>
      </c>
      <c r="GQ6" s="90" t="s">
        <v>1137</v>
      </c>
      <c r="GR6" s="90"/>
      <c r="GS6" s="224">
        <v>1</v>
      </c>
      <c r="GT6" s="245">
        <f t="shared" ref="GT6:GT65" si="14">SUM(GB6:GR6)</f>
        <v>72</v>
      </c>
      <c r="GV6" s="237">
        <f t="shared" ref="GV6:HK35" si="15">FZ6</f>
        <v>6</v>
      </c>
      <c r="GW6" s="246">
        <f t="shared" si="9"/>
        <v>72</v>
      </c>
      <c r="GX6" s="247">
        <f t="shared" si="9"/>
        <v>36</v>
      </c>
      <c r="GY6" s="247">
        <f t="shared" si="9"/>
        <v>36</v>
      </c>
      <c r="GZ6" s="247" t="str">
        <f t="shared" si="9"/>
        <v xml:space="preserve"> </v>
      </c>
      <c r="HA6" s="247" t="str">
        <f t="shared" si="9"/>
        <v xml:space="preserve"> </v>
      </c>
      <c r="HB6" s="247" t="str">
        <f t="shared" si="9"/>
        <v xml:space="preserve"> </v>
      </c>
      <c r="HC6" s="247" t="str">
        <f t="shared" si="9"/>
        <v xml:space="preserve"> </v>
      </c>
      <c r="HD6" s="247" t="str">
        <f t="shared" si="9"/>
        <v xml:space="preserve"> </v>
      </c>
      <c r="HE6" s="247" t="str">
        <f t="shared" si="9"/>
        <v xml:space="preserve"> </v>
      </c>
      <c r="HF6" s="247" t="str">
        <f t="shared" si="9"/>
        <v xml:space="preserve"> </v>
      </c>
      <c r="HG6" s="247" t="str">
        <f t="shared" si="9"/>
        <v xml:space="preserve"> </v>
      </c>
      <c r="HH6" s="247" t="str">
        <f t="shared" si="9"/>
        <v xml:space="preserve"> </v>
      </c>
      <c r="HI6" s="247" t="str">
        <f t="shared" si="9"/>
        <v xml:space="preserve"> </v>
      </c>
      <c r="HJ6" s="247" t="str">
        <f t="shared" si="9"/>
        <v xml:space="preserve"> </v>
      </c>
      <c r="HK6" s="247" t="str">
        <f t="shared" si="9"/>
        <v xml:space="preserve"> </v>
      </c>
      <c r="HL6" s="247" t="str">
        <f t="shared" si="9"/>
        <v xml:space="preserve"> </v>
      </c>
      <c r="HM6" s="247" t="str">
        <f t="shared" si="10"/>
        <v xml:space="preserve"> </v>
      </c>
      <c r="HN6" s="247">
        <f t="shared" si="10"/>
        <v>0</v>
      </c>
      <c r="HO6" s="248">
        <f t="shared" si="10"/>
        <v>1</v>
      </c>
      <c r="HP6" s="241">
        <f t="shared" si="10"/>
        <v>72</v>
      </c>
      <c r="HR6" s="243">
        <v>6</v>
      </c>
      <c r="HS6" s="244">
        <v>72</v>
      </c>
      <c r="HT6" s="90"/>
      <c r="HU6" s="90"/>
      <c r="HV6" s="90"/>
      <c r="HW6" s="90"/>
      <c r="HX6" s="90"/>
      <c r="HY6" s="90"/>
      <c r="HZ6" s="90"/>
      <c r="IA6" s="90"/>
      <c r="IB6" s="90"/>
      <c r="IC6" s="90"/>
      <c r="ID6" s="90"/>
      <c r="IE6" s="90"/>
      <c r="IF6" s="90"/>
      <c r="IG6" s="90"/>
      <c r="IH6" s="90"/>
      <c r="II6" s="90"/>
      <c r="IJ6" s="90"/>
      <c r="IK6" s="224">
        <v>0</v>
      </c>
      <c r="IL6" s="245">
        <f>SUM(HT6:II6)</f>
        <v>0</v>
      </c>
      <c r="IN6" s="243">
        <v>6</v>
      </c>
      <c r="IO6" s="244">
        <v>72</v>
      </c>
      <c r="IP6" s="90"/>
      <c r="IQ6" s="90"/>
      <c r="IR6" s="90"/>
      <c r="IS6" s="90"/>
      <c r="IT6" s="90"/>
      <c r="IU6" s="90"/>
      <c r="IV6" s="90"/>
      <c r="IW6" s="90"/>
      <c r="IX6" s="90"/>
      <c r="IY6" s="90"/>
      <c r="IZ6" s="90"/>
      <c r="JA6" s="90"/>
      <c r="JB6" s="90"/>
      <c r="JC6" s="90"/>
      <c r="JD6" s="90"/>
      <c r="JE6" s="90"/>
      <c r="JF6" s="90"/>
      <c r="JG6" s="224">
        <v>0</v>
      </c>
      <c r="JH6" s="245">
        <f>SUM(IP6:JE6)</f>
        <v>0</v>
      </c>
      <c r="JJ6" s="249">
        <v>6</v>
      </c>
      <c r="JK6" s="244">
        <v>72</v>
      </c>
      <c r="JL6" s="90"/>
      <c r="JM6" s="90"/>
      <c r="JN6" s="90"/>
      <c r="JO6" s="90"/>
      <c r="JP6" s="90"/>
      <c r="JQ6" s="90"/>
      <c r="JR6" s="90"/>
      <c r="JS6" s="90"/>
      <c r="JT6" s="90"/>
      <c r="JU6" s="90"/>
      <c r="JV6" s="90"/>
      <c r="JW6" s="90"/>
      <c r="JX6" s="90"/>
      <c r="JY6" s="90"/>
      <c r="JZ6" s="90"/>
      <c r="KA6" s="90"/>
      <c r="KB6" s="90"/>
      <c r="KC6" s="224">
        <v>0</v>
      </c>
      <c r="KD6" s="245">
        <f>SUM(JL6:KA6)</f>
        <v>0</v>
      </c>
      <c r="KF6" s="243">
        <v>6</v>
      </c>
      <c r="KG6" s="244">
        <v>72</v>
      </c>
      <c r="KH6" s="90">
        <v>36</v>
      </c>
      <c r="KI6" s="90">
        <v>36</v>
      </c>
      <c r="KJ6" s="90"/>
      <c r="KK6" s="90"/>
      <c r="KL6" s="90"/>
      <c r="KM6" s="90"/>
      <c r="KN6" s="90"/>
      <c r="KO6" s="90"/>
      <c r="KP6" s="90"/>
      <c r="KQ6" s="90"/>
      <c r="KR6" s="90"/>
      <c r="KS6" s="90"/>
      <c r="KT6" s="90"/>
      <c r="KU6" s="90"/>
      <c r="KV6" s="90"/>
      <c r="KW6" s="90"/>
      <c r="KX6" s="90"/>
      <c r="KY6" s="224">
        <v>1</v>
      </c>
      <c r="KZ6" s="245">
        <f>SUM(KH6:KW6)</f>
        <v>72</v>
      </c>
      <c r="LB6" s="237">
        <f>$KF6</f>
        <v>6</v>
      </c>
      <c r="LC6" s="284">
        <f>$KG6</f>
        <v>72</v>
      </c>
      <c r="LD6" s="237">
        <f>$KH6</f>
        <v>36</v>
      </c>
      <c r="LE6" s="237">
        <f>$KI6</f>
        <v>36</v>
      </c>
      <c r="LF6" s="237">
        <f>$KJ6</f>
        <v>0</v>
      </c>
      <c r="LG6" s="237">
        <f>$KK6</f>
        <v>0</v>
      </c>
      <c r="LH6" s="237">
        <f>$KL6</f>
        <v>0</v>
      </c>
      <c r="LI6" s="237">
        <f>$KM6</f>
        <v>0</v>
      </c>
      <c r="LJ6" s="237">
        <f>$KN6</f>
        <v>0</v>
      </c>
      <c r="LK6" s="237">
        <f>$KO6</f>
        <v>0</v>
      </c>
      <c r="LL6" s="237">
        <f>$KP6</f>
        <v>0</v>
      </c>
      <c r="LM6" s="237">
        <f>$KQ6</f>
        <v>0</v>
      </c>
      <c r="LN6" s="237">
        <f>$KR6</f>
        <v>0</v>
      </c>
      <c r="LO6" s="237">
        <f>$KS6</f>
        <v>0</v>
      </c>
      <c r="LP6" s="237">
        <f>$KT6</f>
        <v>0</v>
      </c>
      <c r="LQ6" s="237">
        <f>$KU6</f>
        <v>0</v>
      </c>
      <c r="LR6" s="237">
        <f>$KV6</f>
        <v>0</v>
      </c>
      <c r="LS6" s="237">
        <f>$KW6</f>
        <v>0</v>
      </c>
      <c r="LT6" s="237">
        <f>$KX6</f>
        <v>0</v>
      </c>
      <c r="LU6" s="285">
        <f>$KY6</f>
        <v>1</v>
      </c>
      <c r="LV6" s="280">
        <f>$KZ6</f>
        <v>72</v>
      </c>
      <c r="LX6" s="237">
        <f>$KF6</f>
        <v>6</v>
      </c>
      <c r="LY6" s="284">
        <f>$KG6</f>
        <v>72</v>
      </c>
      <c r="LZ6" s="237">
        <f>$KH6</f>
        <v>36</v>
      </c>
      <c r="MA6" s="237">
        <f>$KI6</f>
        <v>36</v>
      </c>
      <c r="MB6" s="237">
        <f>$KJ6</f>
        <v>0</v>
      </c>
      <c r="MC6" s="237">
        <f>$KK6</f>
        <v>0</v>
      </c>
      <c r="MD6" s="237">
        <f>$KL6</f>
        <v>0</v>
      </c>
      <c r="ME6" s="237">
        <f>$KM6</f>
        <v>0</v>
      </c>
      <c r="MF6" s="237">
        <f>$KN6</f>
        <v>0</v>
      </c>
      <c r="MG6" s="237">
        <f>$KO6</f>
        <v>0</v>
      </c>
      <c r="MH6" s="237">
        <f>$KP6</f>
        <v>0</v>
      </c>
      <c r="MI6" s="237">
        <f>$KQ6</f>
        <v>0</v>
      </c>
      <c r="MJ6" s="237">
        <f>$KR6</f>
        <v>0</v>
      </c>
      <c r="MK6" s="237">
        <f>$KS6</f>
        <v>0</v>
      </c>
      <c r="ML6" s="237">
        <f>$KT6</f>
        <v>0</v>
      </c>
      <c r="MM6" s="237">
        <f>$KU6</f>
        <v>0</v>
      </c>
      <c r="MN6" s="237">
        <f>$KV6</f>
        <v>0</v>
      </c>
      <c r="MO6" s="237">
        <f>$KW6</f>
        <v>0</v>
      </c>
      <c r="MP6" s="237">
        <f>$KX6</f>
        <v>0</v>
      </c>
      <c r="MQ6" s="285">
        <f>$KY6</f>
        <v>1</v>
      </c>
      <c r="MR6" s="280">
        <f>$KZ6</f>
        <v>72</v>
      </c>
      <c r="MT6" s="237">
        <f>$KF6</f>
        <v>6</v>
      </c>
      <c r="MU6" s="284">
        <f>$KG6</f>
        <v>72</v>
      </c>
      <c r="MV6" s="237">
        <f>$KH6</f>
        <v>36</v>
      </c>
      <c r="MW6" s="237">
        <f>$KI6</f>
        <v>36</v>
      </c>
      <c r="MX6" s="237">
        <f>$KJ6</f>
        <v>0</v>
      </c>
      <c r="MY6" s="237">
        <f>$KK6</f>
        <v>0</v>
      </c>
      <c r="MZ6" s="237">
        <f>$KL6</f>
        <v>0</v>
      </c>
      <c r="NA6" s="237">
        <f>$KM6</f>
        <v>0</v>
      </c>
      <c r="NB6" s="237">
        <f>$KN6</f>
        <v>0</v>
      </c>
      <c r="NC6" s="237">
        <f>$KO6</f>
        <v>0</v>
      </c>
      <c r="ND6" s="237">
        <f>$KP6</f>
        <v>0</v>
      </c>
      <c r="NE6" s="237">
        <f>$KQ6</f>
        <v>0</v>
      </c>
      <c r="NF6" s="237">
        <f>$KR6</f>
        <v>0</v>
      </c>
      <c r="NG6" s="237">
        <f>$KS6</f>
        <v>0</v>
      </c>
      <c r="NH6" s="237">
        <f>$KT6</f>
        <v>0</v>
      </c>
      <c r="NI6" s="237">
        <f>$KU6</f>
        <v>0</v>
      </c>
      <c r="NJ6" s="237">
        <f>$KV6</f>
        <v>0</v>
      </c>
      <c r="NK6" s="237">
        <f>$KW6</f>
        <v>0</v>
      </c>
      <c r="NL6" s="237">
        <f>$KX6</f>
        <v>0</v>
      </c>
      <c r="NM6" s="285">
        <f>$KY6</f>
        <v>1</v>
      </c>
      <c r="NN6" s="280">
        <f>$KZ6</f>
        <v>72</v>
      </c>
      <c r="NP6" s="237">
        <f>$KF6</f>
        <v>6</v>
      </c>
      <c r="NQ6" s="284">
        <f>$KG6</f>
        <v>72</v>
      </c>
      <c r="NR6" s="237">
        <f>$KH6</f>
        <v>36</v>
      </c>
      <c r="NS6" s="237">
        <f>$KI6</f>
        <v>36</v>
      </c>
      <c r="NT6" s="237">
        <f>$KJ6</f>
        <v>0</v>
      </c>
      <c r="NU6" s="237">
        <f>$KK6</f>
        <v>0</v>
      </c>
      <c r="NV6" s="237">
        <f>$KL6</f>
        <v>0</v>
      </c>
      <c r="NW6" s="237">
        <f>$KM6</f>
        <v>0</v>
      </c>
      <c r="NX6" s="237">
        <f>$KN6</f>
        <v>0</v>
      </c>
      <c r="NY6" s="237">
        <f>$KO6</f>
        <v>0</v>
      </c>
      <c r="NZ6" s="237">
        <f>$KP6</f>
        <v>0</v>
      </c>
      <c r="OA6" s="237">
        <f>$KQ6</f>
        <v>0</v>
      </c>
      <c r="OB6" s="237">
        <f>$KR6</f>
        <v>0</v>
      </c>
      <c r="OC6" s="237">
        <f>$KS6</f>
        <v>0</v>
      </c>
      <c r="OD6" s="237">
        <f>$KT6</f>
        <v>0</v>
      </c>
      <c r="OE6" s="237">
        <f>$KU6</f>
        <v>0</v>
      </c>
      <c r="OF6" s="237">
        <f>$KV6</f>
        <v>0</v>
      </c>
      <c r="OG6" s="237">
        <f>$KW6</f>
        <v>0</v>
      </c>
      <c r="OH6" s="237">
        <f>$KX6</f>
        <v>0</v>
      </c>
      <c r="OI6" s="285">
        <f>$KY6</f>
        <v>1</v>
      </c>
      <c r="OJ6" s="280">
        <f>$KZ6</f>
        <v>72</v>
      </c>
    </row>
    <row r="7" spans="2:400" x14ac:dyDescent="0.3">
      <c r="B7" s="127" t="s">
        <v>246</v>
      </c>
      <c r="C7" s="3">
        <v>3</v>
      </c>
      <c r="D7" s="128" t="s">
        <v>261</v>
      </c>
      <c r="E7" s="3"/>
      <c r="F7" s="127" t="s">
        <v>199</v>
      </c>
      <c r="G7" t="s">
        <v>232</v>
      </c>
      <c r="H7" t="s">
        <v>170</v>
      </c>
      <c r="I7" s="3">
        <v>4</v>
      </c>
      <c r="J7" s="133" t="s">
        <v>85</v>
      </c>
      <c r="L7" s="127" t="str">
        <f t="shared" si="5"/>
        <v>C15x33.9</v>
      </c>
      <c r="M7" s="138">
        <v>33.9</v>
      </c>
      <c r="N7" s="138">
        <v>9.9600000000000009</v>
      </c>
      <c r="O7" s="138">
        <v>15</v>
      </c>
      <c r="P7" s="138">
        <v>0.4</v>
      </c>
      <c r="Q7" s="138">
        <v>3.4</v>
      </c>
      <c r="R7" s="138">
        <v>0.65</v>
      </c>
      <c r="S7" s="138">
        <v>0.5</v>
      </c>
      <c r="T7" s="138">
        <v>0.24</v>
      </c>
      <c r="U7">
        <v>9.4629999999999992</v>
      </c>
      <c r="V7" s="138">
        <f t="shared" si="6"/>
        <v>0.19667369953242217</v>
      </c>
      <c r="W7" s="139">
        <f t="shared" si="7"/>
        <v>33.9</v>
      </c>
      <c r="X7" s="140" t="s">
        <v>69</v>
      </c>
      <c r="Y7" s="141">
        <v>1.4375</v>
      </c>
      <c r="Z7" s="141">
        <v>12.125</v>
      </c>
      <c r="AA7" s="133" t="s">
        <v>85</v>
      </c>
      <c r="AE7" s="127" t="str">
        <f t="shared" si="0"/>
        <v>L1.25x1.25x0.25</v>
      </c>
      <c r="AF7" s="138">
        <v>1.25</v>
      </c>
      <c r="AG7" s="138">
        <v>1.25</v>
      </c>
      <c r="AH7" s="138">
        <v>0.25</v>
      </c>
      <c r="AI7" s="138">
        <v>0.18750000000000003</v>
      </c>
      <c r="AJ7" s="138">
        <v>0.18750000000000003</v>
      </c>
      <c r="AK7">
        <f t="shared" si="1"/>
        <v>6.2699999999999978E-2</v>
      </c>
      <c r="AM7" s="133" t="s">
        <v>85</v>
      </c>
      <c r="AP7" s="127" t="str">
        <f t="shared" si="2"/>
        <v>S24x90</v>
      </c>
      <c r="AQ7">
        <v>24</v>
      </c>
      <c r="AR7" s="138">
        <v>90</v>
      </c>
      <c r="AS7" s="138">
        <v>24.000000000000004</v>
      </c>
      <c r="AT7" s="138">
        <v>0.625</v>
      </c>
      <c r="AU7" s="138">
        <v>7.125</v>
      </c>
      <c r="AV7" s="138">
        <v>0.87</v>
      </c>
      <c r="AW7" s="138">
        <v>0.6</v>
      </c>
      <c r="AX7" s="138">
        <v>0.3</v>
      </c>
      <c r="AY7">
        <v>9.4630000000000312</v>
      </c>
      <c r="AZ7" s="138">
        <f t="shared" si="3"/>
        <v>20.701753503985309</v>
      </c>
      <c r="BA7" s="133" t="s">
        <v>85</v>
      </c>
      <c r="BD7" s="143" t="str">
        <f t="shared" si="4"/>
        <v>W6x9</v>
      </c>
      <c r="BE7">
        <v>6.0000000000000009</v>
      </c>
      <c r="BF7" s="138">
        <v>9</v>
      </c>
      <c r="BG7" s="138">
        <v>5.8999999999999995</v>
      </c>
      <c r="BH7" s="138">
        <v>0.16999999999999998</v>
      </c>
      <c r="BI7" s="138">
        <v>3.94</v>
      </c>
      <c r="BJ7" s="138">
        <v>0.215</v>
      </c>
      <c r="BK7" s="138">
        <v>0.25</v>
      </c>
      <c r="BM7" s="133" t="s">
        <v>85</v>
      </c>
      <c r="BO7" s="152" t="s">
        <v>279</v>
      </c>
      <c r="BP7" s="10">
        <v>42.7</v>
      </c>
      <c r="BQ7" s="11">
        <v>18</v>
      </c>
      <c r="BR7" s="11">
        <v>0.44999999999999996</v>
      </c>
      <c r="BS7" s="11">
        <v>3.95</v>
      </c>
      <c r="BT7" s="11">
        <v>0.625</v>
      </c>
      <c r="BU7" s="11">
        <v>0.63</v>
      </c>
      <c r="BV7" s="11">
        <v>0.39228593464893474</v>
      </c>
      <c r="BW7" s="10">
        <v>9.4629999999999992</v>
      </c>
      <c r="BX7" s="10">
        <v>9.9999999999975109E-4</v>
      </c>
      <c r="BY7" s="10">
        <v>15.099256781995562</v>
      </c>
      <c r="BZ7" s="10">
        <v>1.450371609002219</v>
      </c>
      <c r="CA7" s="12"/>
      <c r="CB7" s="12">
        <v>1.4375</v>
      </c>
      <c r="CC7" s="12">
        <v>15.125</v>
      </c>
      <c r="CD7" s="151" t="s">
        <v>85</v>
      </c>
      <c r="CF7" s="150" t="s">
        <v>279</v>
      </c>
      <c r="CG7">
        <v>1.4375</v>
      </c>
      <c r="CH7">
        <v>15.125</v>
      </c>
      <c r="CI7" s="151" t="s">
        <v>261</v>
      </c>
      <c r="CK7" s="293">
        <v>1.5</v>
      </c>
      <c r="CL7" s="90" t="s">
        <v>1264</v>
      </c>
      <c r="CM7" s="224" t="s">
        <v>261</v>
      </c>
      <c r="CP7" s="319">
        <v>1.2</v>
      </c>
      <c r="CQ7" s="320" t="s">
        <v>330</v>
      </c>
      <c r="CR7" s="229" t="s">
        <v>261</v>
      </c>
      <c r="CT7" s="318" t="s">
        <v>330</v>
      </c>
      <c r="CU7" s="159">
        <v>3.5</v>
      </c>
      <c r="CV7" s="159">
        <v>0.625</v>
      </c>
      <c r="CW7" s="159">
        <v>0.1875</v>
      </c>
      <c r="CX7" s="159">
        <v>4</v>
      </c>
      <c r="CY7" s="159">
        <v>0.5</v>
      </c>
      <c r="CZ7" s="159">
        <v>0.1875</v>
      </c>
      <c r="DA7" s="159">
        <v>4.0625</v>
      </c>
      <c r="DB7">
        <v>5</v>
      </c>
      <c r="DC7" s="3">
        <v>1.2</v>
      </c>
      <c r="DD7" s="151" t="s">
        <v>261</v>
      </c>
      <c r="DE7" s="159" t="s">
        <v>1258</v>
      </c>
      <c r="DG7" s="90" t="s">
        <v>1051</v>
      </c>
      <c r="DH7" s="90">
        <v>0.34375</v>
      </c>
      <c r="DI7" s="90" t="s">
        <v>261</v>
      </c>
      <c r="DK7" s="91" t="s">
        <v>127</v>
      </c>
      <c r="DL7" s="89">
        <v>0.25</v>
      </c>
      <c r="DM7" s="92" t="s">
        <v>261</v>
      </c>
      <c r="DO7" s="196">
        <v>0.25</v>
      </c>
      <c r="DQ7" s="293" t="s">
        <v>1170</v>
      </c>
      <c r="DR7" s="89">
        <v>3</v>
      </c>
      <c r="DS7" s="224" t="s">
        <v>261</v>
      </c>
      <c r="DU7" s="220">
        <f t="shared" si="11"/>
        <v>120</v>
      </c>
      <c r="DV7" s="221">
        <v>10</v>
      </c>
      <c r="DW7" s="221">
        <v>1</v>
      </c>
      <c r="DX7" s="222">
        <v>0</v>
      </c>
      <c r="DY7" s="223">
        <f>IF(DW7=1,   (DU7-DX7)/2,  (DU7-(DX7*(DW7-1)))/2  )</f>
        <v>60</v>
      </c>
      <c r="DZ7" s="221">
        <v>90</v>
      </c>
      <c r="EA7" s="224" t="s">
        <v>261</v>
      </c>
      <c r="ED7" s="324" t="s">
        <v>1103</v>
      </c>
      <c r="EE7" s="92">
        <v>0</v>
      </c>
      <c r="EH7" s="250">
        <v>7</v>
      </c>
      <c r="EI7" s="251">
        <v>84</v>
      </c>
      <c r="EJ7" s="252">
        <v>42</v>
      </c>
      <c r="EK7" s="252">
        <v>42</v>
      </c>
      <c r="EL7" s="252" t="s">
        <v>1137</v>
      </c>
      <c r="EM7" s="252" t="s">
        <v>1137</v>
      </c>
      <c r="EN7" s="252" t="s">
        <v>1137</v>
      </c>
      <c r="EO7" s="252" t="s">
        <v>1137</v>
      </c>
      <c r="EP7" s="252" t="s">
        <v>1137</v>
      </c>
      <c r="EQ7" s="252" t="s">
        <v>1137</v>
      </c>
      <c r="ER7" s="252" t="s">
        <v>1137</v>
      </c>
      <c r="ES7" s="252" t="s">
        <v>1137</v>
      </c>
      <c r="ET7" s="252" t="s">
        <v>1137</v>
      </c>
      <c r="EU7" s="252" t="s">
        <v>1137</v>
      </c>
      <c r="EV7" s="252" t="s">
        <v>1137</v>
      </c>
      <c r="EW7" s="252" t="s">
        <v>1137</v>
      </c>
      <c r="EX7" s="252" t="s">
        <v>1137</v>
      </c>
      <c r="EY7" s="252" t="s">
        <v>1137</v>
      </c>
      <c r="EZ7" s="252"/>
      <c r="FA7" s="253">
        <v>1</v>
      </c>
      <c r="FB7" s="254">
        <f t="shared" si="12"/>
        <v>84</v>
      </c>
      <c r="FD7" s="237">
        <f t="shared" si="13"/>
        <v>7</v>
      </c>
      <c r="FE7" s="246">
        <f t="shared" si="8"/>
        <v>84</v>
      </c>
      <c r="FF7" s="247">
        <f t="shared" si="8"/>
        <v>42</v>
      </c>
      <c r="FG7" s="247">
        <f t="shared" si="8"/>
        <v>42</v>
      </c>
      <c r="FH7" s="247" t="str">
        <f t="shared" si="8"/>
        <v xml:space="preserve"> </v>
      </c>
      <c r="FI7" s="247" t="str">
        <f t="shared" si="8"/>
        <v xml:space="preserve"> </v>
      </c>
      <c r="FJ7" s="247" t="str">
        <f t="shared" si="8"/>
        <v xml:space="preserve"> </v>
      </c>
      <c r="FK7" s="247" t="str">
        <f t="shared" si="8"/>
        <v xml:space="preserve"> </v>
      </c>
      <c r="FL7" s="247" t="str">
        <f t="shared" si="8"/>
        <v xml:space="preserve"> </v>
      </c>
      <c r="FM7" s="247" t="str">
        <f t="shared" si="8"/>
        <v xml:space="preserve"> </v>
      </c>
      <c r="FN7" s="247" t="str">
        <f t="shared" si="8"/>
        <v xml:space="preserve"> </v>
      </c>
      <c r="FO7" s="247" t="str">
        <f t="shared" si="8"/>
        <v xml:space="preserve"> </v>
      </c>
      <c r="FP7" s="247" t="str">
        <f t="shared" si="8"/>
        <v xml:space="preserve"> </v>
      </c>
      <c r="FQ7" s="247" t="str">
        <f t="shared" si="8"/>
        <v xml:space="preserve"> </v>
      </c>
      <c r="FR7" s="247" t="str">
        <f t="shared" si="8"/>
        <v xml:space="preserve"> </v>
      </c>
      <c r="FS7" s="247" t="str">
        <f t="shared" si="8"/>
        <v xml:space="preserve"> </v>
      </c>
      <c r="FT7" s="247" t="str">
        <f t="shared" si="8"/>
        <v xml:space="preserve"> </v>
      </c>
      <c r="FU7" s="247" t="str">
        <f t="shared" si="8"/>
        <v xml:space="preserve"> </v>
      </c>
      <c r="FV7" s="247">
        <f t="shared" si="8"/>
        <v>0</v>
      </c>
      <c r="FW7" s="248">
        <f t="shared" si="8"/>
        <v>1</v>
      </c>
      <c r="FX7" s="241">
        <f t="shared" si="8"/>
        <v>84</v>
      </c>
      <c r="FZ7" s="255">
        <v>7</v>
      </c>
      <c r="GA7" s="251">
        <v>84</v>
      </c>
      <c r="GB7" s="252">
        <v>42</v>
      </c>
      <c r="GC7" s="252">
        <v>42</v>
      </c>
      <c r="GD7" s="252" t="s">
        <v>1137</v>
      </c>
      <c r="GE7" s="252" t="s">
        <v>1137</v>
      </c>
      <c r="GF7" s="252" t="s">
        <v>1137</v>
      </c>
      <c r="GG7" s="252" t="s">
        <v>1137</v>
      </c>
      <c r="GH7" s="252" t="s">
        <v>1137</v>
      </c>
      <c r="GI7" s="252" t="s">
        <v>1137</v>
      </c>
      <c r="GJ7" s="252" t="s">
        <v>1137</v>
      </c>
      <c r="GK7" s="252" t="s">
        <v>1137</v>
      </c>
      <c r="GL7" s="252" t="s">
        <v>1137</v>
      </c>
      <c r="GM7" s="252" t="s">
        <v>1137</v>
      </c>
      <c r="GN7" s="252" t="s">
        <v>1137</v>
      </c>
      <c r="GO7" s="252" t="s">
        <v>1137</v>
      </c>
      <c r="GP7" s="252" t="s">
        <v>1137</v>
      </c>
      <c r="GQ7" s="252" t="s">
        <v>1137</v>
      </c>
      <c r="GR7" s="252"/>
      <c r="GS7" s="253">
        <v>1</v>
      </c>
      <c r="GT7" s="254">
        <f t="shared" si="14"/>
        <v>84</v>
      </c>
      <c r="GV7" s="237">
        <f t="shared" si="15"/>
        <v>7</v>
      </c>
      <c r="GW7" s="246">
        <f t="shared" si="9"/>
        <v>84</v>
      </c>
      <c r="GX7" s="247">
        <f t="shared" si="9"/>
        <v>42</v>
      </c>
      <c r="GY7" s="247">
        <f t="shared" si="9"/>
        <v>42</v>
      </c>
      <c r="GZ7" s="247" t="str">
        <f t="shared" si="9"/>
        <v xml:space="preserve"> </v>
      </c>
      <c r="HA7" s="247" t="str">
        <f t="shared" si="9"/>
        <v xml:space="preserve"> </v>
      </c>
      <c r="HB7" s="247" t="str">
        <f t="shared" si="9"/>
        <v xml:space="preserve"> </v>
      </c>
      <c r="HC7" s="247" t="str">
        <f t="shared" si="9"/>
        <v xml:space="preserve"> </v>
      </c>
      <c r="HD7" s="247" t="str">
        <f t="shared" si="9"/>
        <v xml:space="preserve"> </v>
      </c>
      <c r="HE7" s="247" t="str">
        <f t="shared" si="9"/>
        <v xml:space="preserve"> </v>
      </c>
      <c r="HF7" s="247" t="str">
        <f t="shared" si="9"/>
        <v xml:space="preserve"> </v>
      </c>
      <c r="HG7" s="247" t="str">
        <f t="shared" si="9"/>
        <v xml:space="preserve"> </v>
      </c>
      <c r="HH7" s="247" t="str">
        <f t="shared" si="9"/>
        <v xml:space="preserve"> </v>
      </c>
      <c r="HI7" s="247" t="str">
        <f t="shared" si="9"/>
        <v xml:space="preserve"> </v>
      </c>
      <c r="HJ7" s="247" t="str">
        <f t="shared" si="9"/>
        <v xml:space="preserve"> </v>
      </c>
      <c r="HK7" s="247" t="str">
        <f t="shared" si="9"/>
        <v xml:space="preserve"> </v>
      </c>
      <c r="HL7" s="247" t="str">
        <f t="shared" si="9"/>
        <v xml:space="preserve"> </v>
      </c>
      <c r="HM7" s="247" t="str">
        <f t="shared" si="10"/>
        <v xml:space="preserve"> </v>
      </c>
      <c r="HN7" s="247">
        <f t="shared" si="10"/>
        <v>0</v>
      </c>
      <c r="HO7" s="248">
        <f t="shared" si="10"/>
        <v>1</v>
      </c>
      <c r="HP7" s="241">
        <f t="shared" si="10"/>
        <v>84</v>
      </c>
      <c r="HR7" s="250">
        <v>7</v>
      </c>
      <c r="HS7" s="251">
        <v>84</v>
      </c>
      <c r="HT7" s="252">
        <v>42</v>
      </c>
      <c r="HU7" s="252">
        <v>42</v>
      </c>
      <c r="HV7" s="252"/>
      <c r="HW7" s="252"/>
      <c r="HX7" s="252"/>
      <c r="HY7" s="252"/>
      <c r="HZ7" s="252"/>
      <c r="IA7" s="252"/>
      <c r="IB7" s="252"/>
      <c r="IC7" s="252"/>
      <c r="ID7" s="252"/>
      <c r="IE7" s="252"/>
      <c r="IF7" s="252"/>
      <c r="IG7" s="252"/>
      <c r="IH7" s="252"/>
      <c r="II7" s="252"/>
      <c r="IJ7" s="252"/>
      <c r="IK7" s="253">
        <v>1</v>
      </c>
      <c r="IL7" s="254">
        <f t="shared" ref="IL7:IL62" si="16">SUM(HT7:II7)</f>
        <v>84</v>
      </c>
      <c r="IN7" s="250">
        <v>7</v>
      </c>
      <c r="IO7" s="251">
        <v>84</v>
      </c>
      <c r="IP7" s="252">
        <v>42</v>
      </c>
      <c r="IQ7" s="252">
        <v>42</v>
      </c>
      <c r="IR7" s="252"/>
      <c r="IS7" s="252"/>
      <c r="IT7" s="252"/>
      <c r="IU7" s="252"/>
      <c r="IV7" s="252"/>
      <c r="IW7" s="252"/>
      <c r="IX7" s="252"/>
      <c r="IY7" s="252"/>
      <c r="IZ7" s="252"/>
      <c r="JA7" s="252"/>
      <c r="JB7" s="252"/>
      <c r="JC7" s="252"/>
      <c r="JD7" s="252"/>
      <c r="JE7" s="252"/>
      <c r="JF7" s="252"/>
      <c r="JG7" s="253">
        <v>1</v>
      </c>
      <c r="JH7" s="254">
        <f t="shared" ref="JH7:JH62" si="17">SUM(IP7:JE7)</f>
        <v>84</v>
      </c>
      <c r="JJ7" s="255">
        <v>7</v>
      </c>
      <c r="JK7" s="251">
        <v>84</v>
      </c>
      <c r="JL7" s="252"/>
      <c r="JM7" s="252"/>
      <c r="JN7" s="252"/>
      <c r="JO7" s="252"/>
      <c r="JP7" s="252"/>
      <c r="JQ7" s="252"/>
      <c r="JR7" s="252"/>
      <c r="JS7" s="252"/>
      <c r="JT7" s="252"/>
      <c r="JU7" s="252"/>
      <c r="JV7" s="252"/>
      <c r="JW7" s="252"/>
      <c r="JX7" s="252"/>
      <c r="JY7" s="252"/>
      <c r="JZ7" s="252"/>
      <c r="KA7" s="252"/>
      <c r="KB7" s="252"/>
      <c r="KC7" s="253">
        <v>0</v>
      </c>
      <c r="KD7" s="254">
        <f t="shared" ref="KD7:KD62" si="18">SUM(JL7:KA7)</f>
        <v>0</v>
      </c>
      <c r="KF7" s="250">
        <v>7</v>
      </c>
      <c r="KG7" s="251">
        <v>84</v>
      </c>
      <c r="KH7" s="252">
        <v>42</v>
      </c>
      <c r="KI7" s="252">
        <v>42</v>
      </c>
      <c r="KJ7" s="252"/>
      <c r="KK7" s="252"/>
      <c r="KL7" s="252"/>
      <c r="KM7" s="252"/>
      <c r="KN7" s="252"/>
      <c r="KO7" s="252"/>
      <c r="KP7" s="252"/>
      <c r="KQ7" s="252"/>
      <c r="KR7" s="252"/>
      <c r="KS7" s="252"/>
      <c r="KT7" s="252"/>
      <c r="KU7" s="252"/>
      <c r="KV7" s="252"/>
      <c r="KW7" s="252"/>
      <c r="KX7" s="252"/>
      <c r="KY7" s="253">
        <v>1</v>
      </c>
      <c r="KZ7" s="254">
        <f t="shared" ref="KZ7:KZ65" si="19">SUM(KH7:KW7)</f>
        <v>84</v>
      </c>
      <c r="LB7" s="237">
        <f>$KF7</f>
        <v>7</v>
      </c>
      <c r="LC7" s="284">
        <f>$KG7</f>
        <v>84</v>
      </c>
      <c r="LD7" s="237">
        <f>$KH7</f>
        <v>42</v>
      </c>
      <c r="LE7" s="237">
        <f>$KI7</f>
        <v>42</v>
      </c>
      <c r="LF7" s="237">
        <f>$KJ7</f>
        <v>0</v>
      </c>
      <c r="LG7" s="237">
        <f>$KK7</f>
        <v>0</v>
      </c>
      <c r="LH7" s="237">
        <f>$KL7</f>
        <v>0</v>
      </c>
      <c r="LI7" s="237">
        <f>$KM7</f>
        <v>0</v>
      </c>
      <c r="LJ7" s="237">
        <f>$KN7</f>
        <v>0</v>
      </c>
      <c r="LK7" s="237">
        <f>$KO7</f>
        <v>0</v>
      </c>
      <c r="LL7" s="237">
        <f>$KP7</f>
        <v>0</v>
      </c>
      <c r="LM7" s="237">
        <f>$KQ7</f>
        <v>0</v>
      </c>
      <c r="LN7" s="237">
        <f>$KR7</f>
        <v>0</v>
      </c>
      <c r="LO7" s="237">
        <f>$KS7</f>
        <v>0</v>
      </c>
      <c r="LP7" s="237">
        <f>$KT7</f>
        <v>0</v>
      </c>
      <c r="LQ7" s="237">
        <f>$KU7</f>
        <v>0</v>
      </c>
      <c r="LR7" s="237">
        <f>$KV7</f>
        <v>0</v>
      </c>
      <c r="LS7" s="237">
        <f>$KW7</f>
        <v>0</v>
      </c>
      <c r="LT7" s="237">
        <f>$KX7</f>
        <v>0</v>
      </c>
      <c r="LU7" s="285">
        <f>$KY7</f>
        <v>1</v>
      </c>
      <c r="LV7" s="280">
        <f>$KZ7</f>
        <v>84</v>
      </c>
      <c r="LX7" s="237">
        <f>$KF7</f>
        <v>7</v>
      </c>
      <c r="LY7" s="284">
        <f>$KG7</f>
        <v>84</v>
      </c>
      <c r="LZ7" s="237">
        <f>$KH7</f>
        <v>42</v>
      </c>
      <c r="MA7" s="237">
        <f>$KI7</f>
        <v>42</v>
      </c>
      <c r="MB7" s="237">
        <f>$KJ7</f>
        <v>0</v>
      </c>
      <c r="MC7" s="237">
        <f>$KK7</f>
        <v>0</v>
      </c>
      <c r="MD7" s="237">
        <f>$KL7</f>
        <v>0</v>
      </c>
      <c r="ME7" s="237">
        <f>$KM7</f>
        <v>0</v>
      </c>
      <c r="MF7" s="237">
        <f>$KN7</f>
        <v>0</v>
      </c>
      <c r="MG7" s="237">
        <f>$KO7</f>
        <v>0</v>
      </c>
      <c r="MH7" s="237">
        <f>$KP7</f>
        <v>0</v>
      </c>
      <c r="MI7" s="237">
        <f>$KQ7</f>
        <v>0</v>
      </c>
      <c r="MJ7" s="237">
        <f>$KR7</f>
        <v>0</v>
      </c>
      <c r="MK7" s="237">
        <f>$KS7</f>
        <v>0</v>
      </c>
      <c r="ML7" s="237">
        <f>$KT7</f>
        <v>0</v>
      </c>
      <c r="MM7" s="237">
        <f>$KU7</f>
        <v>0</v>
      </c>
      <c r="MN7" s="237">
        <f>$KV7</f>
        <v>0</v>
      </c>
      <c r="MO7" s="237">
        <f>$KW7</f>
        <v>0</v>
      </c>
      <c r="MP7" s="237">
        <f>$KX7</f>
        <v>0</v>
      </c>
      <c r="MQ7" s="285">
        <f>$KY7</f>
        <v>1</v>
      </c>
      <c r="MR7" s="280">
        <f>$KZ7</f>
        <v>84</v>
      </c>
      <c r="MT7" s="237">
        <f>$KF7</f>
        <v>7</v>
      </c>
      <c r="MU7" s="284">
        <f>$KG7</f>
        <v>84</v>
      </c>
      <c r="MV7" s="237">
        <f>$KH7</f>
        <v>42</v>
      </c>
      <c r="MW7" s="237">
        <f>$KI7</f>
        <v>42</v>
      </c>
      <c r="MX7" s="237">
        <f>$KJ7</f>
        <v>0</v>
      </c>
      <c r="MY7" s="237">
        <f>$KK7</f>
        <v>0</v>
      </c>
      <c r="MZ7" s="237">
        <f>$KL7</f>
        <v>0</v>
      </c>
      <c r="NA7" s="237">
        <f>$KM7</f>
        <v>0</v>
      </c>
      <c r="NB7" s="237">
        <f>$KN7</f>
        <v>0</v>
      </c>
      <c r="NC7" s="237">
        <f>$KO7</f>
        <v>0</v>
      </c>
      <c r="ND7" s="237">
        <f>$KP7</f>
        <v>0</v>
      </c>
      <c r="NE7" s="237">
        <f>$KQ7</f>
        <v>0</v>
      </c>
      <c r="NF7" s="237">
        <f>$KR7</f>
        <v>0</v>
      </c>
      <c r="NG7" s="237">
        <f>$KS7</f>
        <v>0</v>
      </c>
      <c r="NH7" s="237">
        <f>$KT7</f>
        <v>0</v>
      </c>
      <c r="NI7" s="237">
        <f>$KU7</f>
        <v>0</v>
      </c>
      <c r="NJ7" s="237">
        <f>$KV7</f>
        <v>0</v>
      </c>
      <c r="NK7" s="237">
        <f>$KW7</f>
        <v>0</v>
      </c>
      <c r="NL7" s="237">
        <f>$KX7</f>
        <v>0</v>
      </c>
      <c r="NM7" s="285">
        <f>$KY7</f>
        <v>1</v>
      </c>
      <c r="NN7" s="280">
        <f>$KZ7</f>
        <v>84</v>
      </c>
      <c r="NP7" s="237">
        <f>$KF7</f>
        <v>7</v>
      </c>
      <c r="NQ7" s="284">
        <f>$KG7</f>
        <v>84</v>
      </c>
      <c r="NR7" s="237">
        <f>$KH7</f>
        <v>42</v>
      </c>
      <c r="NS7" s="237">
        <f>$KI7</f>
        <v>42</v>
      </c>
      <c r="NT7" s="237">
        <f>$KJ7</f>
        <v>0</v>
      </c>
      <c r="NU7" s="237">
        <f>$KK7</f>
        <v>0</v>
      </c>
      <c r="NV7" s="237">
        <f>$KL7</f>
        <v>0</v>
      </c>
      <c r="NW7" s="237">
        <f>$KM7</f>
        <v>0</v>
      </c>
      <c r="NX7" s="237">
        <f>$KN7</f>
        <v>0</v>
      </c>
      <c r="NY7" s="237">
        <f>$KO7</f>
        <v>0</v>
      </c>
      <c r="NZ7" s="237">
        <f>$KP7</f>
        <v>0</v>
      </c>
      <c r="OA7" s="237">
        <f>$KQ7</f>
        <v>0</v>
      </c>
      <c r="OB7" s="237">
        <f>$KR7</f>
        <v>0</v>
      </c>
      <c r="OC7" s="237">
        <f>$KS7</f>
        <v>0</v>
      </c>
      <c r="OD7" s="237">
        <f>$KT7</f>
        <v>0</v>
      </c>
      <c r="OE7" s="237">
        <f>$KU7</f>
        <v>0</v>
      </c>
      <c r="OF7" s="237">
        <f>$KV7</f>
        <v>0</v>
      </c>
      <c r="OG7" s="237">
        <f>$KW7</f>
        <v>0</v>
      </c>
      <c r="OH7" s="237">
        <f>$KX7</f>
        <v>0</v>
      </c>
      <c r="OI7" s="285">
        <f>$KY7</f>
        <v>1</v>
      </c>
      <c r="OJ7" s="280">
        <f>$KZ7</f>
        <v>84</v>
      </c>
    </row>
    <row r="8" spans="2:400" ht="15" thickBot="1" x14ac:dyDescent="0.35">
      <c r="B8" s="127" t="s">
        <v>247</v>
      </c>
      <c r="C8" s="3">
        <v>4</v>
      </c>
      <c r="D8" s="128" t="s">
        <v>261</v>
      </c>
      <c r="E8" s="3"/>
      <c r="F8" s="127" t="s">
        <v>200</v>
      </c>
      <c r="G8" t="s">
        <v>233</v>
      </c>
      <c r="H8" t="s">
        <v>193</v>
      </c>
      <c r="I8" s="3">
        <v>4</v>
      </c>
      <c r="J8" s="133" t="s">
        <v>85</v>
      </c>
      <c r="L8" s="127" t="str">
        <f t="shared" si="5"/>
        <v>C12x30</v>
      </c>
      <c r="M8" s="138">
        <v>30</v>
      </c>
      <c r="N8" s="138">
        <v>8.82</v>
      </c>
      <c r="O8" s="138">
        <v>12.000000000000002</v>
      </c>
      <c r="P8" s="138">
        <v>0.51</v>
      </c>
      <c r="Q8" s="138">
        <v>3.17</v>
      </c>
      <c r="R8" s="138">
        <v>0.501</v>
      </c>
      <c r="S8" s="138">
        <v>0.37999999999999995</v>
      </c>
      <c r="T8" s="138">
        <v>0.16999999999999998</v>
      </c>
      <c r="U8">
        <v>9.4629999999999992</v>
      </c>
      <c r="V8" s="138">
        <f t="shared" si="6"/>
        <v>0.13530728481002541</v>
      </c>
      <c r="W8" s="139">
        <f t="shared" si="7"/>
        <v>30</v>
      </c>
      <c r="X8" s="140"/>
      <c r="Y8" s="141">
        <v>1.125</v>
      </c>
      <c r="Z8" s="141">
        <v>9.75</v>
      </c>
      <c r="AA8" s="133" t="s">
        <v>85</v>
      </c>
      <c r="AE8" s="127" t="str">
        <f t="shared" si="0"/>
        <v>L1.5x1.5x0.1875</v>
      </c>
      <c r="AF8" s="138">
        <v>1.5000000000000002</v>
      </c>
      <c r="AG8" s="138">
        <v>1.5000000000000002</v>
      </c>
      <c r="AH8" s="138">
        <v>0.18750000000000003</v>
      </c>
      <c r="AI8" s="138">
        <v>0.18750000000000003</v>
      </c>
      <c r="AJ8" s="138">
        <v>0.18750000000000003</v>
      </c>
      <c r="AK8">
        <f t="shared" si="1"/>
        <v>2.0000000000000001E-4</v>
      </c>
      <c r="AL8" t="s">
        <v>123</v>
      </c>
      <c r="AM8" s="133" t="s">
        <v>85</v>
      </c>
      <c r="AP8" s="127" t="str">
        <f t="shared" si="2"/>
        <v>S24x80</v>
      </c>
      <c r="AQ8">
        <v>24</v>
      </c>
      <c r="AR8" s="138">
        <v>80</v>
      </c>
      <c r="AS8" s="138">
        <v>24.000000000000004</v>
      </c>
      <c r="AT8" s="138">
        <v>0.5</v>
      </c>
      <c r="AU8" s="138">
        <v>7</v>
      </c>
      <c r="AV8" s="138">
        <v>0.87</v>
      </c>
      <c r="AW8" s="138">
        <v>0.6</v>
      </c>
      <c r="AX8" s="138">
        <v>0.3</v>
      </c>
      <c r="AY8">
        <v>9.4630000000000312</v>
      </c>
      <c r="AZ8" s="138">
        <f t="shared" si="3"/>
        <v>20.701753503985309</v>
      </c>
      <c r="BA8" s="133" t="s">
        <v>85</v>
      </c>
      <c r="BD8" s="143" t="str">
        <f t="shared" si="4"/>
        <v>W6x12</v>
      </c>
      <c r="BE8">
        <v>6.0000000000000009</v>
      </c>
      <c r="BF8" s="138">
        <v>12.000000000000002</v>
      </c>
      <c r="BG8" s="138">
        <v>6.03</v>
      </c>
      <c r="BH8" s="138">
        <v>0.23</v>
      </c>
      <c r="BI8" s="138">
        <v>4</v>
      </c>
      <c r="BJ8" s="138">
        <v>0.28000000000000003</v>
      </c>
      <c r="BK8" s="138">
        <v>0.25</v>
      </c>
      <c r="BM8" s="133" t="s">
        <v>85</v>
      </c>
      <c r="BO8" s="150" t="s">
        <v>280</v>
      </c>
      <c r="BP8" s="138">
        <v>50</v>
      </c>
      <c r="BQ8" s="144">
        <v>13</v>
      </c>
      <c r="BR8" s="144">
        <v>0.78699999999999992</v>
      </c>
      <c r="BS8" s="144">
        <v>4.4119999999999999</v>
      </c>
      <c r="BT8" s="144">
        <v>0.61</v>
      </c>
      <c r="BU8" s="144">
        <v>0.48</v>
      </c>
      <c r="BV8" s="144">
        <v>0.23</v>
      </c>
      <c r="BW8" s="138">
        <v>9.4629999999999992</v>
      </c>
      <c r="BX8" s="138">
        <v>0.11305773600377955</v>
      </c>
      <c r="BY8" s="138">
        <v>10.36255700754559</v>
      </c>
      <c r="BZ8" s="138">
        <v>1.3187214962272051</v>
      </c>
      <c r="CB8">
        <v>1.4375</v>
      </c>
      <c r="CC8">
        <v>10.125</v>
      </c>
      <c r="CD8" s="151" t="s">
        <v>85</v>
      </c>
      <c r="CF8" s="150" t="s">
        <v>280</v>
      </c>
      <c r="CG8">
        <v>1.4375</v>
      </c>
      <c r="CH8">
        <v>10.125</v>
      </c>
      <c r="CI8" s="151" t="s">
        <v>261</v>
      </c>
      <c r="CK8" s="293">
        <v>2</v>
      </c>
      <c r="CL8" s="90" t="s">
        <v>1265</v>
      </c>
      <c r="CM8" s="224" t="s">
        <v>261</v>
      </c>
      <c r="CP8" s="244">
        <v>1.5</v>
      </c>
      <c r="CQ8" s="90" t="s">
        <v>328</v>
      </c>
      <c r="CR8" s="224" t="s">
        <v>261</v>
      </c>
      <c r="CT8" s="150" t="s">
        <v>328</v>
      </c>
      <c r="CU8">
        <v>4.5</v>
      </c>
      <c r="CV8">
        <v>0.625</v>
      </c>
      <c r="CW8">
        <v>0.1875</v>
      </c>
      <c r="CX8">
        <v>4.9375</v>
      </c>
      <c r="CY8">
        <v>0.5</v>
      </c>
      <c r="CZ8">
        <v>0.1875</v>
      </c>
      <c r="DA8">
        <v>5</v>
      </c>
      <c r="DB8">
        <v>6</v>
      </c>
      <c r="DC8" s="3">
        <v>1.5</v>
      </c>
      <c r="DD8" s="151" t="s">
        <v>261</v>
      </c>
      <c r="DG8" s="90" t="s">
        <v>728</v>
      </c>
      <c r="DH8" s="90">
        <v>0.34375</v>
      </c>
      <c r="DI8" s="90" t="s">
        <v>261</v>
      </c>
      <c r="DK8" s="93" t="s">
        <v>84</v>
      </c>
      <c r="DL8" s="94"/>
      <c r="DM8" s="95" t="s">
        <v>261</v>
      </c>
      <c r="DO8" s="196">
        <v>0.375</v>
      </c>
      <c r="DQ8" s="225" t="s">
        <v>84</v>
      </c>
      <c r="DR8" s="295"/>
      <c r="DS8" s="227"/>
      <c r="DU8" s="220">
        <f t="shared" si="11"/>
        <v>144</v>
      </c>
      <c r="DV8" s="221">
        <v>12</v>
      </c>
      <c r="DW8" s="221">
        <v>2</v>
      </c>
      <c r="DX8" s="221">
        <v>48</v>
      </c>
      <c r="DY8" s="223">
        <f>IF(DW8=1,   (DU8-DX8)/2,  (DU8-(DX8*(DW8-1)))/2  )</f>
        <v>48</v>
      </c>
      <c r="DZ8" s="221">
        <v>114</v>
      </c>
      <c r="EA8" s="224" t="s">
        <v>261</v>
      </c>
      <c r="ED8" s="325" t="s">
        <v>84</v>
      </c>
      <c r="EE8" s="95"/>
      <c r="EH8" s="243">
        <v>8</v>
      </c>
      <c r="EI8" s="244">
        <v>96</v>
      </c>
      <c r="EJ8" s="90">
        <v>48</v>
      </c>
      <c r="EK8" s="90">
        <v>48</v>
      </c>
      <c r="EL8" s="90" t="s">
        <v>1137</v>
      </c>
      <c r="EM8" s="90" t="s">
        <v>1137</v>
      </c>
      <c r="EN8" s="90" t="s">
        <v>1137</v>
      </c>
      <c r="EO8" s="90" t="s">
        <v>1137</v>
      </c>
      <c r="EP8" s="90" t="s">
        <v>1137</v>
      </c>
      <c r="EQ8" s="90" t="s">
        <v>1137</v>
      </c>
      <c r="ER8" s="90" t="s">
        <v>1137</v>
      </c>
      <c r="ES8" s="90" t="s">
        <v>1137</v>
      </c>
      <c r="ET8" s="90" t="s">
        <v>1137</v>
      </c>
      <c r="EU8" s="90" t="s">
        <v>1137</v>
      </c>
      <c r="EV8" s="90" t="s">
        <v>1137</v>
      </c>
      <c r="EW8" s="90" t="s">
        <v>1137</v>
      </c>
      <c r="EX8" s="90" t="s">
        <v>1137</v>
      </c>
      <c r="EY8" s="90" t="s">
        <v>1137</v>
      </c>
      <c r="EZ8" s="90"/>
      <c r="FA8" s="224">
        <v>1</v>
      </c>
      <c r="FB8" s="245">
        <f t="shared" si="12"/>
        <v>96</v>
      </c>
      <c r="FD8" s="237">
        <f t="shared" si="13"/>
        <v>8</v>
      </c>
      <c r="FE8" s="246">
        <f t="shared" si="8"/>
        <v>96</v>
      </c>
      <c r="FF8" s="247">
        <f t="shared" si="8"/>
        <v>48</v>
      </c>
      <c r="FG8" s="247">
        <f t="shared" si="8"/>
        <v>48</v>
      </c>
      <c r="FH8" s="247" t="str">
        <f t="shared" si="8"/>
        <v xml:space="preserve"> </v>
      </c>
      <c r="FI8" s="247" t="str">
        <f t="shared" si="8"/>
        <v xml:space="preserve"> </v>
      </c>
      <c r="FJ8" s="247" t="str">
        <f t="shared" si="8"/>
        <v xml:space="preserve"> </v>
      </c>
      <c r="FK8" s="247" t="str">
        <f t="shared" si="8"/>
        <v xml:space="preserve"> </v>
      </c>
      <c r="FL8" s="247" t="str">
        <f t="shared" si="8"/>
        <v xml:space="preserve"> </v>
      </c>
      <c r="FM8" s="247" t="str">
        <f t="shared" si="8"/>
        <v xml:space="preserve"> </v>
      </c>
      <c r="FN8" s="247" t="str">
        <f t="shared" si="8"/>
        <v xml:space="preserve"> </v>
      </c>
      <c r="FO8" s="247" t="str">
        <f t="shared" si="8"/>
        <v xml:space="preserve"> </v>
      </c>
      <c r="FP8" s="247" t="str">
        <f t="shared" si="8"/>
        <v xml:space="preserve"> </v>
      </c>
      <c r="FQ8" s="247" t="str">
        <f t="shared" si="8"/>
        <v xml:space="preserve"> </v>
      </c>
      <c r="FR8" s="247" t="str">
        <f t="shared" si="8"/>
        <v xml:space="preserve"> </v>
      </c>
      <c r="FS8" s="247" t="str">
        <f t="shared" si="8"/>
        <v xml:space="preserve"> </v>
      </c>
      <c r="FT8" s="247" t="str">
        <f t="shared" si="8"/>
        <v xml:space="preserve"> </v>
      </c>
      <c r="FU8" s="247" t="str">
        <f t="shared" si="8"/>
        <v xml:space="preserve"> </v>
      </c>
      <c r="FV8" s="247">
        <f t="shared" si="8"/>
        <v>0</v>
      </c>
      <c r="FW8" s="248">
        <f t="shared" si="8"/>
        <v>1</v>
      </c>
      <c r="FX8" s="241">
        <f t="shared" si="8"/>
        <v>96</v>
      </c>
      <c r="FZ8" s="249">
        <v>8</v>
      </c>
      <c r="GA8" s="244">
        <v>96</v>
      </c>
      <c r="GB8" s="90">
        <v>48</v>
      </c>
      <c r="GC8" s="90">
        <v>48</v>
      </c>
      <c r="GD8" s="90" t="s">
        <v>1137</v>
      </c>
      <c r="GE8" s="90" t="s">
        <v>1137</v>
      </c>
      <c r="GF8" s="90" t="s">
        <v>1137</v>
      </c>
      <c r="GG8" s="90" t="s">
        <v>1137</v>
      </c>
      <c r="GH8" s="90" t="s">
        <v>1137</v>
      </c>
      <c r="GI8" s="90" t="s">
        <v>1137</v>
      </c>
      <c r="GJ8" s="90" t="s">
        <v>1137</v>
      </c>
      <c r="GK8" s="90" t="s">
        <v>1137</v>
      </c>
      <c r="GL8" s="90" t="s">
        <v>1137</v>
      </c>
      <c r="GM8" s="90" t="s">
        <v>1137</v>
      </c>
      <c r="GN8" s="90" t="s">
        <v>1137</v>
      </c>
      <c r="GO8" s="90" t="s">
        <v>1137</v>
      </c>
      <c r="GP8" s="90" t="s">
        <v>1137</v>
      </c>
      <c r="GQ8" s="90" t="s">
        <v>1137</v>
      </c>
      <c r="GR8" s="90"/>
      <c r="GS8" s="224">
        <v>1</v>
      </c>
      <c r="GT8" s="245">
        <f t="shared" si="14"/>
        <v>96</v>
      </c>
      <c r="GV8" s="237">
        <f t="shared" si="15"/>
        <v>8</v>
      </c>
      <c r="GW8" s="246">
        <f t="shared" si="9"/>
        <v>96</v>
      </c>
      <c r="GX8" s="247">
        <f t="shared" si="9"/>
        <v>48</v>
      </c>
      <c r="GY8" s="247">
        <f t="shared" si="9"/>
        <v>48</v>
      </c>
      <c r="GZ8" s="247" t="str">
        <f t="shared" si="9"/>
        <v xml:space="preserve"> </v>
      </c>
      <c r="HA8" s="247" t="str">
        <f t="shared" si="9"/>
        <v xml:space="preserve"> </v>
      </c>
      <c r="HB8" s="247" t="str">
        <f t="shared" si="9"/>
        <v xml:space="preserve"> </v>
      </c>
      <c r="HC8" s="247" t="str">
        <f t="shared" si="9"/>
        <v xml:space="preserve"> </v>
      </c>
      <c r="HD8" s="247" t="str">
        <f t="shared" si="9"/>
        <v xml:space="preserve"> </v>
      </c>
      <c r="HE8" s="247" t="str">
        <f t="shared" si="9"/>
        <v xml:space="preserve"> </v>
      </c>
      <c r="HF8" s="247" t="str">
        <f t="shared" si="9"/>
        <v xml:space="preserve"> </v>
      </c>
      <c r="HG8" s="247" t="str">
        <f t="shared" si="9"/>
        <v xml:space="preserve"> </v>
      </c>
      <c r="HH8" s="247" t="str">
        <f t="shared" si="9"/>
        <v xml:space="preserve"> </v>
      </c>
      <c r="HI8" s="247" t="str">
        <f t="shared" si="9"/>
        <v xml:space="preserve"> </v>
      </c>
      <c r="HJ8" s="247" t="str">
        <f t="shared" si="9"/>
        <v xml:space="preserve"> </v>
      </c>
      <c r="HK8" s="247" t="str">
        <f t="shared" si="9"/>
        <v xml:space="preserve"> </v>
      </c>
      <c r="HL8" s="247" t="str">
        <f t="shared" si="9"/>
        <v xml:space="preserve"> </v>
      </c>
      <c r="HM8" s="247" t="str">
        <f t="shared" si="10"/>
        <v xml:space="preserve"> </v>
      </c>
      <c r="HN8" s="247">
        <f t="shared" si="10"/>
        <v>0</v>
      </c>
      <c r="HO8" s="248">
        <f t="shared" si="10"/>
        <v>1</v>
      </c>
      <c r="HP8" s="241">
        <f t="shared" si="10"/>
        <v>96</v>
      </c>
      <c r="HR8" s="243">
        <v>8</v>
      </c>
      <c r="HS8" s="244">
        <v>96</v>
      </c>
      <c r="HT8" s="90">
        <v>48</v>
      </c>
      <c r="HU8" s="90">
        <v>48</v>
      </c>
      <c r="HV8" s="90"/>
      <c r="HW8" s="90"/>
      <c r="HX8" s="90"/>
      <c r="HY8" s="90"/>
      <c r="HZ8" s="90"/>
      <c r="IA8" s="90"/>
      <c r="IB8" s="90"/>
      <c r="IC8" s="90"/>
      <c r="ID8" s="90"/>
      <c r="IE8" s="90"/>
      <c r="IF8" s="90"/>
      <c r="IG8" s="90"/>
      <c r="IH8" s="90"/>
      <c r="II8" s="90"/>
      <c r="IJ8" s="90"/>
      <c r="IK8" s="224">
        <v>1</v>
      </c>
      <c r="IL8" s="245">
        <f t="shared" si="16"/>
        <v>96</v>
      </c>
      <c r="IN8" s="243">
        <v>8</v>
      </c>
      <c r="IO8" s="244">
        <v>96</v>
      </c>
      <c r="IP8" s="90">
        <v>48</v>
      </c>
      <c r="IQ8" s="90">
        <v>48</v>
      </c>
      <c r="IR8" s="90"/>
      <c r="IS8" s="90"/>
      <c r="IT8" s="90"/>
      <c r="IU8" s="90"/>
      <c r="IV8" s="90"/>
      <c r="IW8" s="90"/>
      <c r="IX8" s="90"/>
      <c r="IY8" s="90"/>
      <c r="IZ8" s="90"/>
      <c r="JA8" s="90"/>
      <c r="JB8" s="90"/>
      <c r="JC8" s="90"/>
      <c r="JD8" s="90"/>
      <c r="JE8" s="90"/>
      <c r="JF8" s="90"/>
      <c r="JG8" s="224">
        <v>1</v>
      </c>
      <c r="JH8" s="245">
        <f t="shared" si="17"/>
        <v>96</v>
      </c>
      <c r="JJ8" s="249">
        <v>8</v>
      </c>
      <c r="JK8" s="244">
        <v>96</v>
      </c>
      <c r="JL8" s="90"/>
      <c r="JM8" s="90"/>
      <c r="JN8" s="90"/>
      <c r="JO8" s="90"/>
      <c r="JP8" s="90"/>
      <c r="JQ8" s="90"/>
      <c r="JR8" s="90"/>
      <c r="JS8" s="90"/>
      <c r="JT8" s="90"/>
      <c r="JU8" s="90"/>
      <c r="JV8" s="90"/>
      <c r="JW8" s="90"/>
      <c r="JX8" s="90"/>
      <c r="JY8" s="90"/>
      <c r="JZ8" s="90"/>
      <c r="KA8" s="90"/>
      <c r="KB8" s="90"/>
      <c r="KC8" s="224">
        <v>0</v>
      </c>
      <c r="KD8" s="245">
        <f t="shared" si="18"/>
        <v>0</v>
      </c>
      <c r="KF8" s="243">
        <v>8</v>
      </c>
      <c r="KG8" s="244">
        <v>96</v>
      </c>
      <c r="KH8" s="90">
        <v>48</v>
      </c>
      <c r="KI8" s="90">
        <v>48</v>
      </c>
      <c r="KJ8" s="90"/>
      <c r="KK8" s="90"/>
      <c r="KL8" s="90"/>
      <c r="KM8" s="90"/>
      <c r="KN8" s="90"/>
      <c r="KO8" s="90"/>
      <c r="KP8" s="90"/>
      <c r="KQ8" s="90"/>
      <c r="KR8" s="90"/>
      <c r="KS8" s="90"/>
      <c r="KT8" s="90"/>
      <c r="KU8" s="90"/>
      <c r="KV8" s="90"/>
      <c r="KW8" s="90"/>
      <c r="KX8" s="90"/>
      <c r="KY8" s="224">
        <v>1</v>
      </c>
      <c r="KZ8" s="245">
        <f t="shared" si="19"/>
        <v>96</v>
      </c>
      <c r="LB8" s="237">
        <f t="shared" ref="LB8:LB65" si="20">$KF8</f>
        <v>8</v>
      </c>
      <c r="LC8" s="284">
        <f t="shared" ref="LC8:LC65" si="21">$KG8</f>
        <v>96</v>
      </c>
      <c r="LD8" s="237">
        <f t="shared" ref="LD8:LD65" si="22">$KH8</f>
        <v>48</v>
      </c>
      <c r="LE8" s="237">
        <f t="shared" ref="LE8:LE65" si="23">$KI8</f>
        <v>48</v>
      </c>
      <c r="LF8" s="237">
        <f t="shared" ref="LF8:LF65" si="24">$KJ8</f>
        <v>0</v>
      </c>
      <c r="LG8" s="237">
        <f t="shared" ref="LG8:LG65" si="25">$KK8</f>
        <v>0</v>
      </c>
      <c r="LH8" s="237">
        <f t="shared" ref="LH8:LH65" si="26">$KL8</f>
        <v>0</v>
      </c>
      <c r="LI8" s="237">
        <f t="shared" ref="LI8:LI65" si="27">$KM8</f>
        <v>0</v>
      </c>
      <c r="LJ8" s="237">
        <f t="shared" ref="LJ8:LJ65" si="28">$KN8</f>
        <v>0</v>
      </c>
      <c r="LK8" s="237">
        <f t="shared" ref="LK8:LK65" si="29">$KO8</f>
        <v>0</v>
      </c>
      <c r="LL8" s="237">
        <f t="shared" ref="LL8:LL65" si="30">$KP8</f>
        <v>0</v>
      </c>
      <c r="LM8" s="237">
        <f t="shared" ref="LM8:LM65" si="31">$KQ8</f>
        <v>0</v>
      </c>
      <c r="LN8" s="237">
        <f t="shared" ref="LN8:LN65" si="32">$KR8</f>
        <v>0</v>
      </c>
      <c r="LO8" s="237">
        <f t="shared" ref="LO8:LO65" si="33">$KS8</f>
        <v>0</v>
      </c>
      <c r="LP8" s="237">
        <f t="shared" ref="LP8:LP65" si="34">$KT8</f>
        <v>0</v>
      </c>
      <c r="LQ8" s="237">
        <f t="shared" ref="LQ8:LQ65" si="35">$KU8</f>
        <v>0</v>
      </c>
      <c r="LR8" s="237">
        <f t="shared" ref="LR8:LR65" si="36">$KV8</f>
        <v>0</v>
      </c>
      <c r="LS8" s="237">
        <f t="shared" ref="LS8:LS65" si="37">$KW8</f>
        <v>0</v>
      </c>
      <c r="LT8" s="237">
        <f t="shared" ref="LT8:LT65" si="38">$KX8</f>
        <v>0</v>
      </c>
      <c r="LU8" s="285">
        <f t="shared" ref="LU8:LU65" si="39">$KY8</f>
        <v>1</v>
      </c>
      <c r="LV8" s="280">
        <f t="shared" ref="LV8:LV65" si="40">$KZ8</f>
        <v>96</v>
      </c>
      <c r="LX8" s="237">
        <f t="shared" ref="LX8:LX65" si="41">$KF8</f>
        <v>8</v>
      </c>
      <c r="LY8" s="284">
        <f t="shared" ref="LY8:LY65" si="42">$KG8</f>
        <v>96</v>
      </c>
      <c r="LZ8" s="237">
        <f t="shared" ref="LZ8:LZ65" si="43">$KH8</f>
        <v>48</v>
      </c>
      <c r="MA8" s="237">
        <f t="shared" ref="MA8:MA65" si="44">$KI8</f>
        <v>48</v>
      </c>
      <c r="MB8" s="237">
        <f t="shared" ref="MB8:MB65" si="45">$KJ8</f>
        <v>0</v>
      </c>
      <c r="MC8" s="237">
        <f t="shared" ref="MC8:MC65" si="46">$KK8</f>
        <v>0</v>
      </c>
      <c r="MD8" s="237">
        <f t="shared" ref="MD8:MD65" si="47">$KL8</f>
        <v>0</v>
      </c>
      <c r="ME8" s="237">
        <f t="shared" ref="ME8:ME65" si="48">$KM8</f>
        <v>0</v>
      </c>
      <c r="MF8" s="237">
        <f t="shared" ref="MF8:MF65" si="49">$KN8</f>
        <v>0</v>
      </c>
      <c r="MG8" s="237">
        <f t="shared" ref="MG8:MG65" si="50">$KO8</f>
        <v>0</v>
      </c>
      <c r="MH8" s="237">
        <f t="shared" ref="MH8:MH65" si="51">$KP8</f>
        <v>0</v>
      </c>
      <c r="MI8" s="237">
        <f t="shared" ref="MI8:MI65" si="52">$KQ8</f>
        <v>0</v>
      </c>
      <c r="MJ8" s="237">
        <f t="shared" ref="MJ8:MJ65" si="53">$KR8</f>
        <v>0</v>
      </c>
      <c r="MK8" s="237">
        <f t="shared" ref="MK8:MK65" si="54">$KS8</f>
        <v>0</v>
      </c>
      <c r="ML8" s="237">
        <f t="shared" ref="ML8:ML65" si="55">$KT8</f>
        <v>0</v>
      </c>
      <c r="MM8" s="237">
        <f t="shared" ref="MM8:MM65" si="56">$KU8</f>
        <v>0</v>
      </c>
      <c r="MN8" s="237">
        <f t="shared" ref="MN8:MN65" si="57">$KV8</f>
        <v>0</v>
      </c>
      <c r="MO8" s="237">
        <f t="shared" ref="MO8:MO65" si="58">$KW8</f>
        <v>0</v>
      </c>
      <c r="MP8" s="237">
        <f t="shared" ref="MP8:MP65" si="59">$KX8</f>
        <v>0</v>
      </c>
      <c r="MQ8" s="285">
        <f t="shared" ref="MQ8:MQ65" si="60">$KY8</f>
        <v>1</v>
      </c>
      <c r="MR8" s="280">
        <f t="shared" ref="MR8:MR65" si="61">$KZ8</f>
        <v>96</v>
      </c>
      <c r="MT8" s="237">
        <f t="shared" ref="MT8:MT65" si="62">$KF8</f>
        <v>8</v>
      </c>
      <c r="MU8" s="284">
        <f t="shared" ref="MU8:MU65" si="63">$KG8</f>
        <v>96</v>
      </c>
      <c r="MV8" s="237">
        <f t="shared" ref="MV8:MV65" si="64">$KH8</f>
        <v>48</v>
      </c>
      <c r="MW8" s="237">
        <f t="shared" ref="MW8:MW65" si="65">$KI8</f>
        <v>48</v>
      </c>
      <c r="MX8" s="237">
        <f t="shared" ref="MX8:MX65" si="66">$KJ8</f>
        <v>0</v>
      </c>
      <c r="MY8" s="237">
        <f t="shared" ref="MY8:MY65" si="67">$KK8</f>
        <v>0</v>
      </c>
      <c r="MZ8" s="237">
        <f t="shared" ref="MZ8:MZ65" si="68">$KL8</f>
        <v>0</v>
      </c>
      <c r="NA8" s="237">
        <f t="shared" ref="NA8:NA65" si="69">$KM8</f>
        <v>0</v>
      </c>
      <c r="NB8" s="237">
        <f t="shared" ref="NB8:NB65" si="70">$KN8</f>
        <v>0</v>
      </c>
      <c r="NC8" s="237">
        <f t="shared" ref="NC8:NC65" si="71">$KO8</f>
        <v>0</v>
      </c>
      <c r="ND8" s="237">
        <f t="shared" ref="ND8:ND65" si="72">$KP8</f>
        <v>0</v>
      </c>
      <c r="NE8" s="237">
        <f t="shared" ref="NE8:NE65" si="73">$KQ8</f>
        <v>0</v>
      </c>
      <c r="NF8" s="237">
        <f t="shared" ref="NF8:NF65" si="74">$KR8</f>
        <v>0</v>
      </c>
      <c r="NG8" s="237">
        <f t="shared" ref="NG8:NG65" si="75">$KS8</f>
        <v>0</v>
      </c>
      <c r="NH8" s="237">
        <f t="shared" ref="NH8:NH65" si="76">$KT8</f>
        <v>0</v>
      </c>
      <c r="NI8" s="237">
        <f t="shared" ref="NI8:NI65" si="77">$KU8</f>
        <v>0</v>
      </c>
      <c r="NJ8" s="237">
        <f t="shared" ref="NJ8:NJ65" si="78">$KV8</f>
        <v>0</v>
      </c>
      <c r="NK8" s="237">
        <f t="shared" ref="NK8:NK65" si="79">$KW8</f>
        <v>0</v>
      </c>
      <c r="NL8" s="237">
        <f t="shared" ref="NL8:NL65" si="80">$KX8</f>
        <v>0</v>
      </c>
      <c r="NM8" s="285">
        <f t="shared" ref="NM8:NM65" si="81">$KY8</f>
        <v>1</v>
      </c>
      <c r="NN8" s="280">
        <f t="shared" ref="NN8:NN65" si="82">$KZ8</f>
        <v>96</v>
      </c>
      <c r="NP8" s="237">
        <f t="shared" ref="NP8:NP65" si="83">$KF8</f>
        <v>8</v>
      </c>
      <c r="NQ8" s="284">
        <f t="shared" ref="NQ8:NQ65" si="84">$KG8</f>
        <v>96</v>
      </c>
      <c r="NR8" s="237">
        <f t="shared" ref="NR8:NR65" si="85">$KH8</f>
        <v>48</v>
      </c>
      <c r="NS8" s="237">
        <f t="shared" ref="NS8:NS65" si="86">$KI8</f>
        <v>48</v>
      </c>
      <c r="NT8" s="237">
        <f t="shared" ref="NT8:NT65" si="87">$KJ8</f>
        <v>0</v>
      </c>
      <c r="NU8" s="237">
        <f t="shared" ref="NU8:NU65" si="88">$KK8</f>
        <v>0</v>
      </c>
      <c r="NV8" s="237">
        <f t="shared" ref="NV8:NV65" si="89">$KL8</f>
        <v>0</v>
      </c>
      <c r="NW8" s="237">
        <f t="shared" ref="NW8:NW65" si="90">$KM8</f>
        <v>0</v>
      </c>
      <c r="NX8" s="237">
        <f t="shared" ref="NX8:NX65" si="91">$KN8</f>
        <v>0</v>
      </c>
      <c r="NY8" s="237">
        <f t="shared" ref="NY8:NY65" si="92">$KO8</f>
        <v>0</v>
      </c>
      <c r="NZ8" s="237">
        <f t="shared" ref="NZ8:NZ65" si="93">$KP8</f>
        <v>0</v>
      </c>
      <c r="OA8" s="237">
        <f t="shared" ref="OA8:OA65" si="94">$KQ8</f>
        <v>0</v>
      </c>
      <c r="OB8" s="237">
        <f t="shared" ref="OB8:OB65" si="95">$KR8</f>
        <v>0</v>
      </c>
      <c r="OC8" s="237">
        <f t="shared" ref="OC8:OC65" si="96">$KS8</f>
        <v>0</v>
      </c>
      <c r="OD8" s="237">
        <f t="shared" ref="OD8:OD65" si="97">$KT8</f>
        <v>0</v>
      </c>
      <c r="OE8" s="237">
        <f t="shared" ref="OE8:OE65" si="98">$KU8</f>
        <v>0</v>
      </c>
      <c r="OF8" s="237">
        <f t="shared" ref="OF8:OF65" si="99">$KV8</f>
        <v>0</v>
      </c>
      <c r="OG8" s="237">
        <f t="shared" ref="OG8:OG65" si="100">$KW8</f>
        <v>0</v>
      </c>
      <c r="OH8" s="237">
        <f t="shared" ref="OH8:OH65" si="101">$KX8</f>
        <v>0</v>
      </c>
      <c r="OI8" s="285">
        <f t="shared" ref="OI8:OI65" si="102">$KY8</f>
        <v>1</v>
      </c>
      <c r="OJ8" s="280">
        <f t="shared" ref="OJ8:OJ65" si="103">$KZ8</f>
        <v>96</v>
      </c>
    </row>
    <row r="9" spans="2:400" x14ac:dyDescent="0.3">
      <c r="B9" s="127" t="s">
        <v>248</v>
      </c>
      <c r="C9" s="3">
        <v>5</v>
      </c>
      <c r="D9" s="128" t="s">
        <v>261</v>
      </c>
      <c r="E9" s="3"/>
      <c r="F9" s="127" t="s">
        <v>633</v>
      </c>
      <c r="G9" t="s">
        <v>634</v>
      </c>
      <c r="H9" t="s">
        <v>338</v>
      </c>
      <c r="I9" s="3">
        <v>2</v>
      </c>
      <c r="J9" s="133" t="s">
        <v>261</v>
      </c>
      <c r="L9" s="127" t="str">
        <f t="shared" si="5"/>
        <v>C12x25</v>
      </c>
      <c r="M9" s="138">
        <v>25</v>
      </c>
      <c r="N9" s="138">
        <v>7.35</v>
      </c>
      <c r="O9" s="138">
        <v>12.000000000000002</v>
      </c>
      <c r="P9" s="138">
        <v>0.38700000000000001</v>
      </c>
      <c r="Q9" s="138">
        <v>3.0470000000000002</v>
      </c>
      <c r="R9" s="138">
        <v>0.501</v>
      </c>
      <c r="S9" s="138">
        <v>0.37999999999999995</v>
      </c>
      <c r="T9" s="138">
        <v>0.16999999999999998</v>
      </c>
      <c r="U9">
        <v>9.4629999999999992</v>
      </c>
      <c r="V9" s="138">
        <f t="shared" si="6"/>
        <v>0.13530728481002541</v>
      </c>
      <c r="W9" s="139">
        <f t="shared" si="7"/>
        <v>25</v>
      </c>
      <c r="X9" s="140"/>
      <c r="Y9" s="141">
        <v>1.125</v>
      </c>
      <c r="Z9" s="141">
        <v>9.75</v>
      </c>
      <c r="AA9" s="133" t="s">
        <v>85</v>
      </c>
      <c r="AE9" s="127" t="str">
        <f t="shared" si="0"/>
        <v>L1.5x1.5x0.25</v>
      </c>
      <c r="AF9" s="138">
        <v>1.5000000000000002</v>
      </c>
      <c r="AG9" s="138">
        <v>1.5000000000000002</v>
      </c>
      <c r="AH9" s="138">
        <v>0.25</v>
      </c>
      <c r="AI9" s="138">
        <v>0.18750000000000003</v>
      </c>
      <c r="AJ9" s="138">
        <v>0.18750000000000003</v>
      </c>
      <c r="AK9">
        <f t="shared" si="1"/>
        <v>6.2699999999999978E-2</v>
      </c>
      <c r="AM9" s="133" t="s">
        <v>85</v>
      </c>
      <c r="AP9" s="127" t="str">
        <f t="shared" si="2"/>
        <v>S20x96</v>
      </c>
      <c r="AQ9">
        <v>20</v>
      </c>
      <c r="AR9" s="138">
        <v>96.000000000000014</v>
      </c>
      <c r="AS9" s="138">
        <v>20.3</v>
      </c>
      <c r="AT9" s="138">
        <v>0.8</v>
      </c>
      <c r="AU9" s="138">
        <v>7.1999999999999993</v>
      </c>
      <c r="AV9" s="138">
        <v>0.92</v>
      </c>
      <c r="AW9" s="138">
        <v>0.6</v>
      </c>
      <c r="AX9" s="138">
        <v>0.3</v>
      </c>
      <c r="AY9">
        <v>9.4630000000000312</v>
      </c>
      <c r="AZ9" s="138">
        <f t="shared" si="3"/>
        <v>16.910087445236165</v>
      </c>
      <c r="BA9" s="133" t="s">
        <v>85</v>
      </c>
      <c r="BD9" s="143" t="str">
        <f t="shared" si="4"/>
        <v>W6x15</v>
      </c>
      <c r="BE9">
        <v>6.0000000000000009</v>
      </c>
      <c r="BF9" s="138">
        <v>15</v>
      </c>
      <c r="BG9" s="138">
        <v>5.99</v>
      </c>
      <c r="BH9" s="138">
        <v>0.23</v>
      </c>
      <c r="BI9" s="138">
        <v>5.99</v>
      </c>
      <c r="BJ9" s="138">
        <v>0.26</v>
      </c>
      <c r="BK9" s="138">
        <v>0.25</v>
      </c>
      <c r="BL9" t="s">
        <v>191</v>
      </c>
      <c r="BM9" s="133" t="s">
        <v>85</v>
      </c>
      <c r="BO9" s="150" t="s">
        <v>281</v>
      </c>
      <c r="BP9" s="138">
        <v>40</v>
      </c>
      <c r="BQ9" s="144">
        <v>13</v>
      </c>
      <c r="BR9" s="144">
        <v>0.56000000000000005</v>
      </c>
      <c r="BS9" s="144">
        <v>4.1849999999999996</v>
      </c>
      <c r="BT9" s="144">
        <v>0.61</v>
      </c>
      <c r="BU9" s="144">
        <v>0.48</v>
      </c>
      <c r="BV9" s="144">
        <v>0.23</v>
      </c>
      <c r="BW9" s="138">
        <v>9.4629999999999992</v>
      </c>
      <c r="BX9" s="138">
        <v>0.11305773600377961</v>
      </c>
      <c r="BY9" s="138">
        <v>10.36255700754559</v>
      </c>
      <c r="BZ9" s="138">
        <v>1.3187214962272051</v>
      </c>
      <c r="CB9">
        <v>1.4375</v>
      </c>
      <c r="CC9">
        <v>10.125</v>
      </c>
      <c r="CD9" s="151" t="s">
        <v>85</v>
      </c>
      <c r="CF9" s="150" t="s">
        <v>281</v>
      </c>
      <c r="CG9">
        <v>1.4375</v>
      </c>
      <c r="CH9">
        <v>10.125</v>
      </c>
      <c r="CI9" s="151" t="s">
        <v>261</v>
      </c>
      <c r="CK9" s="293">
        <v>2.5</v>
      </c>
      <c r="CL9" s="90" t="s">
        <v>1266</v>
      </c>
      <c r="CM9" s="224" t="s">
        <v>261</v>
      </c>
      <c r="CP9" s="244">
        <v>2</v>
      </c>
      <c r="CQ9" s="90" t="s">
        <v>325</v>
      </c>
      <c r="CR9" s="224" t="s">
        <v>261</v>
      </c>
      <c r="CT9" s="150" t="s">
        <v>325</v>
      </c>
      <c r="CU9" s="159">
        <v>5.25</v>
      </c>
      <c r="CV9" s="159">
        <v>0.875</v>
      </c>
      <c r="CW9">
        <v>0.1875</v>
      </c>
      <c r="CX9">
        <v>5.875</v>
      </c>
      <c r="CY9">
        <v>0.5</v>
      </c>
      <c r="CZ9">
        <v>0.1875</v>
      </c>
      <c r="DA9">
        <v>6</v>
      </c>
      <c r="DB9">
        <v>7</v>
      </c>
      <c r="DC9" s="3">
        <v>2</v>
      </c>
      <c r="DD9" s="151" t="s">
        <v>261</v>
      </c>
      <c r="DE9" t="s">
        <v>569</v>
      </c>
      <c r="DG9" s="90" t="s">
        <v>1052</v>
      </c>
      <c r="DH9" s="90">
        <v>0.13450000000000001</v>
      </c>
      <c r="DI9" s="90" t="s">
        <v>261</v>
      </c>
      <c r="DK9" s="89" t="s">
        <v>724</v>
      </c>
      <c r="DL9" s="89" t="s">
        <v>723</v>
      </c>
      <c r="DM9" s="90" t="s">
        <v>729</v>
      </c>
      <c r="DO9" s="196">
        <v>0.5</v>
      </c>
      <c r="DU9" s="220">
        <f t="shared" si="11"/>
        <v>168</v>
      </c>
      <c r="DV9" s="221">
        <v>14</v>
      </c>
      <c r="DW9" s="221">
        <v>2</v>
      </c>
      <c r="DX9" s="221">
        <v>56</v>
      </c>
      <c r="DY9" s="223">
        <f t="shared" ref="DY9:DY32" si="104">(DU9-(DX9*(DW9-1)))/2</f>
        <v>56</v>
      </c>
      <c r="DZ9" s="221">
        <v>138</v>
      </c>
      <c r="EA9" s="224" t="s">
        <v>261</v>
      </c>
      <c r="EH9" s="232">
        <v>9</v>
      </c>
      <c r="EI9" s="256">
        <v>108</v>
      </c>
      <c r="EJ9" s="257">
        <v>54</v>
      </c>
      <c r="EK9" s="257">
        <v>54</v>
      </c>
      <c r="EL9" s="257"/>
      <c r="EM9" s="257" t="s">
        <v>1137</v>
      </c>
      <c r="EN9" s="257" t="s">
        <v>1137</v>
      </c>
      <c r="EO9" s="257" t="s">
        <v>1137</v>
      </c>
      <c r="EP9" s="257" t="s">
        <v>1137</v>
      </c>
      <c r="EQ9" s="257" t="s">
        <v>1137</v>
      </c>
      <c r="ER9" s="257" t="s">
        <v>1137</v>
      </c>
      <c r="ES9" s="257" t="s">
        <v>1137</v>
      </c>
      <c r="ET9" s="257" t="s">
        <v>1137</v>
      </c>
      <c r="EU9" s="257" t="s">
        <v>1137</v>
      </c>
      <c r="EV9" s="257" t="s">
        <v>1137</v>
      </c>
      <c r="EW9" s="257" t="s">
        <v>1137</v>
      </c>
      <c r="EX9" s="257" t="s">
        <v>1137</v>
      </c>
      <c r="EY9" s="257" t="s">
        <v>1137</v>
      </c>
      <c r="EZ9" s="257"/>
      <c r="FA9" s="258">
        <v>1</v>
      </c>
      <c r="FB9" s="236">
        <f t="shared" si="12"/>
        <v>108</v>
      </c>
      <c r="FD9" s="237">
        <f t="shared" si="13"/>
        <v>9</v>
      </c>
      <c r="FE9" s="246">
        <f t="shared" si="8"/>
        <v>108</v>
      </c>
      <c r="FF9" s="247">
        <f t="shared" si="8"/>
        <v>54</v>
      </c>
      <c r="FG9" s="247">
        <f t="shared" si="8"/>
        <v>54</v>
      </c>
      <c r="FH9" s="247">
        <f t="shared" si="8"/>
        <v>0</v>
      </c>
      <c r="FI9" s="247" t="str">
        <f t="shared" si="8"/>
        <v xml:space="preserve"> </v>
      </c>
      <c r="FJ9" s="247" t="str">
        <f t="shared" si="8"/>
        <v xml:space="preserve"> </v>
      </c>
      <c r="FK9" s="247" t="str">
        <f t="shared" si="8"/>
        <v xml:space="preserve"> </v>
      </c>
      <c r="FL9" s="247" t="str">
        <f t="shared" si="8"/>
        <v xml:space="preserve"> </v>
      </c>
      <c r="FM9" s="247" t="str">
        <f t="shared" si="8"/>
        <v xml:space="preserve"> </v>
      </c>
      <c r="FN9" s="247" t="str">
        <f t="shared" si="8"/>
        <v xml:space="preserve"> </v>
      </c>
      <c r="FO9" s="247" t="str">
        <f t="shared" si="8"/>
        <v xml:space="preserve"> </v>
      </c>
      <c r="FP9" s="247" t="str">
        <f t="shared" si="8"/>
        <v xml:space="preserve"> </v>
      </c>
      <c r="FQ9" s="247" t="str">
        <f t="shared" si="8"/>
        <v xml:space="preserve"> </v>
      </c>
      <c r="FR9" s="247" t="str">
        <f t="shared" si="8"/>
        <v xml:space="preserve"> </v>
      </c>
      <c r="FS9" s="247" t="str">
        <f t="shared" si="8"/>
        <v xml:space="preserve"> </v>
      </c>
      <c r="FT9" s="247" t="str">
        <f t="shared" si="8"/>
        <v xml:space="preserve"> </v>
      </c>
      <c r="FU9" s="247" t="str">
        <f t="shared" si="8"/>
        <v xml:space="preserve"> </v>
      </c>
      <c r="FV9" s="247">
        <f t="shared" si="8"/>
        <v>0</v>
      </c>
      <c r="FW9" s="248">
        <f t="shared" si="8"/>
        <v>1</v>
      </c>
      <c r="FX9" s="241">
        <f t="shared" si="8"/>
        <v>108</v>
      </c>
      <c r="FZ9" s="242">
        <v>9</v>
      </c>
      <c r="GA9" s="256">
        <v>108</v>
      </c>
      <c r="GB9" s="257">
        <v>54</v>
      </c>
      <c r="GC9" s="257">
        <v>54</v>
      </c>
      <c r="GD9" s="257"/>
      <c r="GE9" s="257" t="s">
        <v>1137</v>
      </c>
      <c r="GF9" s="257" t="s">
        <v>1137</v>
      </c>
      <c r="GG9" s="257" t="s">
        <v>1137</v>
      </c>
      <c r="GH9" s="257" t="s">
        <v>1137</v>
      </c>
      <c r="GI9" s="257" t="s">
        <v>1137</v>
      </c>
      <c r="GJ9" s="257" t="s">
        <v>1137</v>
      </c>
      <c r="GK9" s="257" t="s">
        <v>1137</v>
      </c>
      <c r="GL9" s="257" t="s">
        <v>1137</v>
      </c>
      <c r="GM9" s="257" t="s">
        <v>1137</v>
      </c>
      <c r="GN9" s="257" t="s">
        <v>1137</v>
      </c>
      <c r="GO9" s="257" t="s">
        <v>1137</v>
      </c>
      <c r="GP9" s="257" t="s">
        <v>1137</v>
      </c>
      <c r="GQ9" s="257" t="s">
        <v>1137</v>
      </c>
      <c r="GR9" s="257"/>
      <c r="GS9" s="258">
        <v>1</v>
      </c>
      <c r="GT9" s="236">
        <f t="shared" si="14"/>
        <v>108</v>
      </c>
      <c r="GV9" s="237">
        <f t="shared" si="15"/>
        <v>9</v>
      </c>
      <c r="GW9" s="246">
        <f t="shared" si="9"/>
        <v>108</v>
      </c>
      <c r="GX9" s="247">
        <f t="shared" si="9"/>
        <v>54</v>
      </c>
      <c r="GY9" s="247">
        <f t="shared" si="9"/>
        <v>54</v>
      </c>
      <c r="GZ9" s="247">
        <f t="shared" si="9"/>
        <v>0</v>
      </c>
      <c r="HA9" s="247" t="str">
        <f t="shared" si="9"/>
        <v xml:space="preserve"> </v>
      </c>
      <c r="HB9" s="247" t="str">
        <f t="shared" si="9"/>
        <v xml:space="preserve"> </v>
      </c>
      <c r="HC9" s="247" t="str">
        <f t="shared" si="9"/>
        <v xml:space="preserve"> </v>
      </c>
      <c r="HD9" s="247" t="str">
        <f t="shared" si="9"/>
        <v xml:space="preserve"> </v>
      </c>
      <c r="HE9" s="247" t="str">
        <f t="shared" si="9"/>
        <v xml:space="preserve"> </v>
      </c>
      <c r="HF9" s="247" t="str">
        <f t="shared" si="9"/>
        <v xml:space="preserve"> </v>
      </c>
      <c r="HG9" s="247" t="str">
        <f t="shared" si="9"/>
        <v xml:space="preserve"> </v>
      </c>
      <c r="HH9" s="247" t="str">
        <f t="shared" si="9"/>
        <v xml:space="preserve"> </v>
      </c>
      <c r="HI9" s="247" t="str">
        <f t="shared" si="9"/>
        <v xml:space="preserve"> </v>
      </c>
      <c r="HJ9" s="247" t="str">
        <f t="shared" si="9"/>
        <v xml:space="preserve"> </v>
      </c>
      <c r="HK9" s="247" t="str">
        <f t="shared" si="9"/>
        <v xml:space="preserve"> </v>
      </c>
      <c r="HL9" s="247" t="str">
        <f t="shared" si="9"/>
        <v xml:space="preserve"> </v>
      </c>
      <c r="HM9" s="247" t="str">
        <f t="shared" si="10"/>
        <v xml:space="preserve"> </v>
      </c>
      <c r="HN9" s="247">
        <f t="shared" si="10"/>
        <v>0</v>
      </c>
      <c r="HO9" s="248">
        <f t="shared" si="10"/>
        <v>1</v>
      </c>
      <c r="HP9" s="241">
        <f t="shared" si="10"/>
        <v>108</v>
      </c>
      <c r="HR9" s="232">
        <v>9</v>
      </c>
      <c r="HS9" s="256">
        <v>108</v>
      </c>
      <c r="HT9" s="257">
        <v>54</v>
      </c>
      <c r="HU9" s="257">
        <v>54</v>
      </c>
      <c r="HV9" s="257"/>
      <c r="HW9" s="257"/>
      <c r="HX9" s="257"/>
      <c r="HY9" s="257"/>
      <c r="HZ9" s="257"/>
      <c r="IA9" s="257"/>
      <c r="IB9" s="257"/>
      <c r="IC9" s="257"/>
      <c r="ID9" s="257"/>
      <c r="IE9" s="257"/>
      <c r="IF9" s="257"/>
      <c r="IG9" s="257"/>
      <c r="IH9" s="257"/>
      <c r="II9" s="257"/>
      <c r="IJ9" s="257"/>
      <c r="IK9" s="258">
        <v>1</v>
      </c>
      <c r="IL9" s="236">
        <f t="shared" si="16"/>
        <v>108</v>
      </c>
      <c r="IN9" s="232">
        <v>9</v>
      </c>
      <c r="IO9" s="256">
        <v>108</v>
      </c>
      <c r="IP9" s="257">
        <v>54</v>
      </c>
      <c r="IQ9" s="257">
        <v>54</v>
      </c>
      <c r="IR9" s="257"/>
      <c r="IS9" s="257"/>
      <c r="IT9" s="257"/>
      <c r="IU9" s="257"/>
      <c r="IV9" s="257"/>
      <c r="IW9" s="257"/>
      <c r="IX9" s="257"/>
      <c r="IY9" s="257"/>
      <c r="IZ9" s="257"/>
      <c r="JA9" s="257"/>
      <c r="JB9" s="257"/>
      <c r="JC9" s="257"/>
      <c r="JD9" s="257"/>
      <c r="JE9" s="257"/>
      <c r="JF9" s="257"/>
      <c r="JG9" s="258">
        <v>1</v>
      </c>
      <c r="JH9" s="236">
        <f t="shared" si="17"/>
        <v>108</v>
      </c>
      <c r="JJ9" s="242">
        <v>9</v>
      </c>
      <c r="JK9" s="256">
        <v>108</v>
      </c>
      <c r="JL9" s="257">
        <v>54</v>
      </c>
      <c r="JM9" s="257">
        <v>54</v>
      </c>
      <c r="JN9" s="257"/>
      <c r="JO9" s="257"/>
      <c r="JP9" s="257"/>
      <c r="JQ9" s="257"/>
      <c r="JR9" s="257"/>
      <c r="JS9" s="257"/>
      <c r="JT9" s="257"/>
      <c r="JU9" s="257"/>
      <c r="JV9" s="257"/>
      <c r="JW9" s="257"/>
      <c r="JX9" s="257"/>
      <c r="JY9" s="257"/>
      <c r="JZ9" s="257"/>
      <c r="KA9" s="257"/>
      <c r="KB9" s="257"/>
      <c r="KC9" s="258">
        <v>1</v>
      </c>
      <c r="KD9" s="236">
        <f t="shared" si="18"/>
        <v>108</v>
      </c>
      <c r="KF9" s="232">
        <v>9</v>
      </c>
      <c r="KG9" s="256">
        <v>108</v>
      </c>
      <c r="KH9" s="257">
        <v>54</v>
      </c>
      <c r="KI9" s="257">
        <v>54</v>
      </c>
      <c r="KJ9" s="257"/>
      <c r="KK9" s="257"/>
      <c r="KL9" s="257"/>
      <c r="KM9" s="257"/>
      <c r="KN9" s="257"/>
      <c r="KO9" s="257"/>
      <c r="KP9" s="257"/>
      <c r="KQ9" s="257"/>
      <c r="KR9" s="257"/>
      <c r="KS9" s="257"/>
      <c r="KT9" s="257"/>
      <c r="KU9" s="257"/>
      <c r="KV9" s="257"/>
      <c r="KW9" s="257"/>
      <c r="KX9" s="257"/>
      <c r="KY9" s="258">
        <v>1</v>
      </c>
      <c r="KZ9" s="236">
        <f t="shared" si="19"/>
        <v>108</v>
      </c>
      <c r="LB9" s="237">
        <f t="shared" si="20"/>
        <v>9</v>
      </c>
      <c r="LC9" s="284">
        <f t="shared" si="21"/>
        <v>108</v>
      </c>
      <c r="LD9" s="237">
        <f t="shared" si="22"/>
        <v>54</v>
      </c>
      <c r="LE9" s="237">
        <f t="shared" si="23"/>
        <v>54</v>
      </c>
      <c r="LF9" s="237">
        <f t="shared" si="24"/>
        <v>0</v>
      </c>
      <c r="LG9" s="237">
        <f t="shared" si="25"/>
        <v>0</v>
      </c>
      <c r="LH9" s="237">
        <f t="shared" si="26"/>
        <v>0</v>
      </c>
      <c r="LI9" s="237">
        <f t="shared" si="27"/>
        <v>0</v>
      </c>
      <c r="LJ9" s="237">
        <f t="shared" si="28"/>
        <v>0</v>
      </c>
      <c r="LK9" s="237">
        <f t="shared" si="29"/>
        <v>0</v>
      </c>
      <c r="LL9" s="237">
        <f t="shared" si="30"/>
        <v>0</v>
      </c>
      <c r="LM9" s="237">
        <f t="shared" si="31"/>
        <v>0</v>
      </c>
      <c r="LN9" s="237">
        <f t="shared" si="32"/>
        <v>0</v>
      </c>
      <c r="LO9" s="237">
        <f t="shared" si="33"/>
        <v>0</v>
      </c>
      <c r="LP9" s="237">
        <f t="shared" si="34"/>
        <v>0</v>
      </c>
      <c r="LQ9" s="237">
        <f t="shared" si="35"/>
        <v>0</v>
      </c>
      <c r="LR9" s="237">
        <f t="shared" si="36"/>
        <v>0</v>
      </c>
      <c r="LS9" s="237">
        <f t="shared" si="37"/>
        <v>0</v>
      </c>
      <c r="LT9" s="237">
        <f t="shared" si="38"/>
        <v>0</v>
      </c>
      <c r="LU9" s="285">
        <f t="shared" si="39"/>
        <v>1</v>
      </c>
      <c r="LV9" s="280">
        <f t="shared" si="40"/>
        <v>108</v>
      </c>
      <c r="LX9" s="237">
        <f t="shared" si="41"/>
        <v>9</v>
      </c>
      <c r="LY9" s="284">
        <f t="shared" si="42"/>
        <v>108</v>
      </c>
      <c r="LZ9" s="237">
        <f t="shared" si="43"/>
        <v>54</v>
      </c>
      <c r="MA9" s="237">
        <f t="shared" si="44"/>
        <v>54</v>
      </c>
      <c r="MB9" s="237">
        <f t="shared" si="45"/>
        <v>0</v>
      </c>
      <c r="MC9" s="237">
        <f t="shared" si="46"/>
        <v>0</v>
      </c>
      <c r="MD9" s="237">
        <f t="shared" si="47"/>
        <v>0</v>
      </c>
      <c r="ME9" s="237">
        <f t="shared" si="48"/>
        <v>0</v>
      </c>
      <c r="MF9" s="237">
        <f t="shared" si="49"/>
        <v>0</v>
      </c>
      <c r="MG9" s="237">
        <f t="shared" si="50"/>
        <v>0</v>
      </c>
      <c r="MH9" s="237">
        <f t="shared" si="51"/>
        <v>0</v>
      </c>
      <c r="MI9" s="237">
        <f t="shared" si="52"/>
        <v>0</v>
      </c>
      <c r="MJ9" s="237">
        <f t="shared" si="53"/>
        <v>0</v>
      </c>
      <c r="MK9" s="237">
        <f t="shared" si="54"/>
        <v>0</v>
      </c>
      <c r="ML9" s="237">
        <f t="shared" si="55"/>
        <v>0</v>
      </c>
      <c r="MM9" s="237">
        <f t="shared" si="56"/>
        <v>0</v>
      </c>
      <c r="MN9" s="237">
        <f t="shared" si="57"/>
        <v>0</v>
      </c>
      <c r="MO9" s="237">
        <f t="shared" si="58"/>
        <v>0</v>
      </c>
      <c r="MP9" s="237">
        <f t="shared" si="59"/>
        <v>0</v>
      </c>
      <c r="MQ9" s="285">
        <f t="shared" si="60"/>
        <v>1</v>
      </c>
      <c r="MR9" s="280">
        <f t="shared" si="61"/>
        <v>108</v>
      </c>
      <c r="MT9" s="237">
        <f t="shared" si="62"/>
        <v>9</v>
      </c>
      <c r="MU9" s="284">
        <f t="shared" si="63"/>
        <v>108</v>
      </c>
      <c r="MV9" s="237">
        <f t="shared" si="64"/>
        <v>54</v>
      </c>
      <c r="MW9" s="237">
        <f t="shared" si="65"/>
        <v>54</v>
      </c>
      <c r="MX9" s="237">
        <f t="shared" si="66"/>
        <v>0</v>
      </c>
      <c r="MY9" s="237">
        <f t="shared" si="67"/>
        <v>0</v>
      </c>
      <c r="MZ9" s="237">
        <f t="shared" si="68"/>
        <v>0</v>
      </c>
      <c r="NA9" s="237">
        <f t="shared" si="69"/>
        <v>0</v>
      </c>
      <c r="NB9" s="237">
        <f t="shared" si="70"/>
        <v>0</v>
      </c>
      <c r="NC9" s="237">
        <f t="shared" si="71"/>
        <v>0</v>
      </c>
      <c r="ND9" s="237">
        <f t="shared" si="72"/>
        <v>0</v>
      </c>
      <c r="NE9" s="237">
        <f t="shared" si="73"/>
        <v>0</v>
      </c>
      <c r="NF9" s="237">
        <f t="shared" si="74"/>
        <v>0</v>
      </c>
      <c r="NG9" s="237">
        <f t="shared" si="75"/>
        <v>0</v>
      </c>
      <c r="NH9" s="237">
        <f t="shared" si="76"/>
        <v>0</v>
      </c>
      <c r="NI9" s="237">
        <f t="shared" si="77"/>
        <v>0</v>
      </c>
      <c r="NJ9" s="237">
        <f t="shared" si="78"/>
        <v>0</v>
      </c>
      <c r="NK9" s="237">
        <f t="shared" si="79"/>
        <v>0</v>
      </c>
      <c r="NL9" s="237">
        <f t="shared" si="80"/>
        <v>0</v>
      </c>
      <c r="NM9" s="285">
        <f t="shared" si="81"/>
        <v>1</v>
      </c>
      <c r="NN9" s="280">
        <f t="shared" si="82"/>
        <v>108</v>
      </c>
      <c r="NP9" s="237">
        <f t="shared" si="83"/>
        <v>9</v>
      </c>
      <c r="NQ9" s="284">
        <f t="shared" si="84"/>
        <v>108</v>
      </c>
      <c r="NR9" s="237">
        <f t="shared" si="85"/>
        <v>54</v>
      </c>
      <c r="NS9" s="237">
        <f t="shared" si="86"/>
        <v>54</v>
      </c>
      <c r="NT9" s="237">
        <f t="shared" si="87"/>
        <v>0</v>
      </c>
      <c r="NU9" s="237">
        <f t="shared" si="88"/>
        <v>0</v>
      </c>
      <c r="NV9" s="237">
        <f t="shared" si="89"/>
        <v>0</v>
      </c>
      <c r="NW9" s="237">
        <f t="shared" si="90"/>
        <v>0</v>
      </c>
      <c r="NX9" s="237">
        <f t="shared" si="91"/>
        <v>0</v>
      </c>
      <c r="NY9" s="237">
        <f t="shared" si="92"/>
        <v>0</v>
      </c>
      <c r="NZ9" s="237">
        <f t="shared" si="93"/>
        <v>0</v>
      </c>
      <c r="OA9" s="237">
        <f t="shared" si="94"/>
        <v>0</v>
      </c>
      <c r="OB9" s="237">
        <f t="shared" si="95"/>
        <v>0</v>
      </c>
      <c r="OC9" s="237">
        <f t="shared" si="96"/>
        <v>0</v>
      </c>
      <c r="OD9" s="237">
        <f t="shared" si="97"/>
        <v>0</v>
      </c>
      <c r="OE9" s="237">
        <f t="shared" si="98"/>
        <v>0</v>
      </c>
      <c r="OF9" s="237">
        <f t="shared" si="99"/>
        <v>0</v>
      </c>
      <c r="OG9" s="237">
        <f t="shared" si="100"/>
        <v>0</v>
      </c>
      <c r="OH9" s="237">
        <f t="shared" si="101"/>
        <v>0</v>
      </c>
      <c r="OI9" s="285">
        <f t="shared" si="102"/>
        <v>1</v>
      </c>
      <c r="OJ9" s="280">
        <f t="shared" si="103"/>
        <v>108</v>
      </c>
    </row>
    <row r="10" spans="2:400" ht="15" thickBot="1" x14ac:dyDescent="0.35">
      <c r="B10" s="127" t="s">
        <v>587</v>
      </c>
      <c r="C10" s="3">
        <v>6</v>
      </c>
      <c r="D10" s="128" t="s">
        <v>261</v>
      </c>
      <c r="E10" s="3"/>
      <c r="F10" s="129" t="s">
        <v>84</v>
      </c>
      <c r="G10" s="96" t="s">
        <v>84</v>
      </c>
      <c r="H10" s="96" t="s">
        <v>84</v>
      </c>
      <c r="I10" s="96" t="s">
        <v>84</v>
      </c>
      <c r="J10" s="130" t="s">
        <v>84</v>
      </c>
      <c r="L10" s="127" t="str">
        <f t="shared" si="5"/>
        <v>C12x20.7</v>
      </c>
      <c r="M10" s="138">
        <v>20.7</v>
      </c>
      <c r="N10" s="138">
        <v>6.09</v>
      </c>
      <c r="O10" s="138">
        <v>12.000000000000002</v>
      </c>
      <c r="P10" s="138">
        <v>0.28199999999999997</v>
      </c>
      <c r="Q10" s="138">
        <v>2.9419999999999997</v>
      </c>
      <c r="R10" s="138">
        <v>0.501</v>
      </c>
      <c r="S10" s="138">
        <v>0.37999999999999995</v>
      </c>
      <c r="T10" s="138">
        <v>0.16999999999999998</v>
      </c>
      <c r="U10">
        <v>9.4629999999999992</v>
      </c>
      <c r="V10" s="138">
        <f t="shared" si="6"/>
        <v>0.13530728481002544</v>
      </c>
      <c r="W10" s="139">
        <f t="shared" si="7"/>
        <v>20.7</v>
      </c>
      <c r="X10" s="140" t="s">
        <v>70</v>
      </c>
      <c r="Y10" s="141">
        <v>1.125</v>
      </c>
      <c r="Z10" s="141">
        <v>9.75</v>
      </c>
      <c r="AA10" s="133" t="s">
        <v>85</v>
      </c>
      <c r="AE10" s="127" t="str">
        <f t="shared" si="0"/>
        <v>L1.75x1.75x0.1875</v>
      </c>
      <c r="AF10" s="138">
        <v>1.75</v>
      </c>
      <c r="AG10" s="138">
        <v>1.75</v>
      </c>
      <c r="AH10" s="138">
        <v>0.18750000000000003</v>
      </c>
      <c r="AI10" s="138">
        <v>0.18750000000000003</v>
      </c>
      <c r="AJ10" s="138">
        <v>0.18750000000000003</v>
      </c>
      <c r="AK10">
        <f t="shared" si="1"/>
        <v>2.0000000000000001E-4</v>
      </c>
      <c r="AM10" s="133" t="s">
        <v>85</v>
      </c>
      <c r="AP10" s="127" t="str">
        <f t="shared" si="2"/>
        <v>S20x86</v>
      </c>
      <c r="AQ10">
        <v>20</v>
      </c>
      <c r="AR10" s="138">
        <v>86.000000000000014</v>
      </c>
      <c r="AS10" s="138">
        <v>20.3</v>
      </c>
      <c r="AT10" s="138">
        <v>0.66</v>
      </c>
      <c r="AU10" s="138">
        <v>7.06</v>
      </c>
      <c r="AV10" s="138">
        <v>0.92</v>
      </c>
      <c r="AW10" s="138">
        <v>0.6</v>
      </c>
      <c r="AX10" s="138">
        <v>0.3</v>
      </c>
      <c r="AY10">
        <v>9.4630000000000312</v>
      </c>
      <c r="AZ10" s="138">
        <f t="shared" si="3"/>
        <v>16.910087445236165</v>
      </c>
      <c r="BA10" s="133" t="s">
        <v>85</v>
      </c>
      <c r="BD10" s="143" t="str">
        <f t="shared" si="4"/>
        <v>W6x16</v>
      </c>
      <c r="BE10">
        <v>6.0000000000000009</v>
      </c>
      <c r="BF10" s="138">
        <v>16</v>
      </c>
      <c r="BG10" s="138">
        <v>6.2800000000000011</v>
      </c>
      <c r="BH10" s="138">
        <v>0.26</v>
      </c>
      <c r="BI10" s="138">
        <v>4.03</v>
      </c>
      <c r="BJ10" s="138">
        <v>0.40500000000000003</v>
      </c>
      <c r="BK10" s="138">
        <v>0.25</v>
      </c>
      <c r="BM10" s="133" t="s">
        <v>85</v>
      </c>
      <c r="BO10" s="150" t="s">
        <v>282</v>
      </c>
      <c r="BP10" s="138">
        <v>35</v>
      </c>
      <c r="BQ10" s="144">
        <v>13</v>
      </c>
      <c r="BR10" s="144">
        <v>0.44700000000000006</v>
      </c>
      <c r="BS10" s="144">
        <v>4.0720000000000001</v>
      </c>
      <c r="BT10" s="144">
        <v>0.61</v>
      </c>
      <c r="BU10" s="144">
        <v>0.48</v>
      </c>
      <c r="BV10" s="144">
        <v>0.23</v>
      </c>
      <c r="BW10" s="138">
        <v>9.4629999999999992</v>
      </c>
      <c r="BX10" s="138">
        <v>0.11305773600377955</v>
      </c>
      <c r="BY10" s="138">
        <v>10.36255700754559</v>
      </c>
      <c r="BZ10" s="138">
        <v>1.3187214962272051</v>
      </c>
      <c r="CB10">
        <v>1.4375</v>
      </c>
      <c r="CC10">
        <v>10.125</v>
      </c>
      <c r="CD10" s="151" t="s">
        <v>85</v>
      </c>
      <c r="CF10" s="150" t="s">
        <v>282</v>
      </c>
      <c r="CG10">
        <v>1.4375</v>
      </c>
      <c r="CH10">
        <v>10.125</v>
      </c>
      <c r="CI10" s="151" t="s">
        <v>261</v>
      </c>
      <c r="CK10" s="225" t="s">
        <v>83</v>
      </c>
      <c r="CL10" s="226"/>
      <c r="CM10" s="227"/>
      <c r="CP10" s="244">
        <v>2.5</v>
      </c>
      <c r="CQ10" s="90" t="s">
        <v>262</v>
      </c>
      <c r="CR10" s="224" t="s">
        <v>261</v>
      </c>
      <c r="CT10" s="150" t="s">
        <v>262</v>
      </c>
      <c r="CU10">
        <v>6.125</v>
      </c>
      <c r="CV10">
        <v>0.875</v>
      </c>
      <c r="CW10">
        <v>0.25</v>
      </c>
      <c r="CX10">
        <v>6.3125</v>
      </c>
      <c r="CY10">
        <v>1</v>
      </c>
      <c r="CZ10">
        <v>0.25</v>
      </c>
      <c r="DA10">
        <v>6.5</v>
      </c>
      <c r="DB10">
        <v>8</v>
      </c>
      <c r="DC10" s="3">
        <v>2.5</v>
      </c>
      <c r="DD10" s="151" t="s">
        <v>261</v>
      </c>
      <c r="DG10" s="90" t="s">
        <v>1053</v>
      </c>
      <c r="DH10" s="90">
        <v>0.25</v>
      </c>
      <c r="DI10" s="90" t="s">
        <v>261</v>
      </c>
      <c r="DO10" s="196">
        <v>0.625</v>
      </c>
      <c r="DU10" s="220">
        <f t="shared" si="11"/>
        <v>192</v>
      </c>
      <c r="DV10" s="221">
        <v>16</v>
      </c>
      <c r="DW10" s="221">
        <v>2</v>
      </c>
      <c r="DX10" s="221">
        <v>64</v>
      </c>
      <c r="DY10" s="223">
        <f t="shared" si="104"/>
        <v>64</v>
      </c>
      <c r="DZ10" s="221">
        <v>162</v>
      </c>
      <c r="EA10" s="224" t="s">
        <v>261</v>
      </c>
      <c r="EH10" s="243">
        <v>10</v>
      </c>
      <c r="EI10" s="244">
        <v>120</v>
      </c>
      <c r="EJ10" s="90">
        <v>36</v>
      </c>
      <c r="EK10" s="90">
        <v>48</v>
      </c>
      <c r="EL10" s="90">
        <v>36</v>
      </c>
      <c r="EM10" s="90" t="s">
        <v>1137</v>
      </c>
      <c r="EN10" s="90" t="s">
        <v>1137</v>
      </c>
      <c r="EO10" s="90" t="s">
        <v>1137</v>
      </c>
      <c r="EP10" s="90" t="s">
        <v>1137</v>
      </c>
      <c r="EQ10" s="90" t="s">
        <v>1137</v>
      </c>
      <c r="ER10" s="90" t="s">
        <v>1137</v>
      </c>
      <c r="ES10" s="90" t="s">
        <v>1137</v>
      </c>
      <c r="ET10" s="90" t="s">
        <v>1137</v>
      </c>
      <c r="EU10" s="90" t="s">
        <v>1137</v>
      </c>
      <c r="EV10" s="90" t="s">
        <v>1137</v>
      </c>
      <c r="EW10" s="90" t="s">
        <v>1137</v>
      </c>
      <c r="EX10" s="90" t="s">
        <v>1137</v>
      </c>
      <c r="EY10" s="90" t="s">
        <v>1137</v>
      </c>
      <c r="EZ10" s="90"/>
      <c r="FA10" s="224">
        <v>2</v>
      </c>
      <c r="FB10" s="245">
        <f t="shared" si="12"/>
        <v>120</v>
      </c>
      <c r="FD10" s="237">
        <f t="shared" si="13"/>
        <v>10</v>
      </c>
      <c r="FE10" s="246">
        <f t="shared" si="8"/>
        <v>120</v>
      </c>
      <c r="FF10" s="247">
        <f t="shared" si="8"/>
        <v>36</v>
      </c>
      <c r="FG10" s="247">
        <f t="shared" si="8"/>
        <v>48</v>
      </c>
      <c r="FH10" s="247">
        <f t="shared" si="8"/>
        <v>36</v>
      </c>
      <c r="FI10" s="247" t="str">
        <f t="shared" si="8"/>
        <v xml:space="preserve"> </v>
      </c>
      <c r="FJ10" s="247" t="str">
        <f t="shared" si="8"/>
        <v xml:space="preserve"> </v>
      </c>
      <c r="FK10" s="247" t="str">
        <f t="shared" si="8"/>
        <v xml:space="preserve"> </v>
      </c>
      <c r="FL10" s="247" t="str">
        <f t="shared" si="8"/>
        <v xml:space="preserve"> </v>
      </c>
      <c r="FM10" s="247" t="str">
        <f t="shared" si="8"/>
        <v xml:space="preserve"> </v>
      </c>
      <c r="FN10" s="247" t="str">
        <f t="shared" si="8"/>
        <v xml:space="preserve"> </v>
      </c>
      <c r="FO10" s="247" t="str">
        <f t="shared" si="8"/>
        <v xml:space="preserve"> </v>
      </c>
      <c r="FP10" s="247" t="str">
        <f t="shared" si="8"/>
        <v xml:space="preserve"> </v>
      </c>
      <c r="FQ10" s="247" t="str">
        <f t="shared" si="8"/>
        <v xml:space="preserve"> </v>
      </c>
      <c r="FR10" s="247" t="str">
        <f t="shared" si="8"/>
        <v xml:space="preserve"> </v>
      </c>
      <c r="FS10" s="247" t="str">
        <f t="shared" si="8"/>
        <v xml:space="preserve"> </v>
      </c>
      <c r="FT10" s="247" t="str">
        <f t="shared" si="8"/>
        <v xml:space="preserve"> </v>
      </c>
      <c r="FU10" s="247" t="str">
        <f t="shared" si="8"/>
        <v xml:space="preserve"> </v>
      </c>
      <c r="FV10" s="247">
        <f t="shared" si="8"/>
        <v>0</v>
      </c>
      <c r="FW10" s="248">
        <f t="shared" si="8"/>
        <v>2</v>
      </c>
      <c r="FX10" s="241">
        <f t="shared" si="8"/>
        <v>120</v>
      </c>
      <c r="FZ10" s="249">
        <v>10</v>
      </c>
      <c r="GA10" s="244">
        <v>120</v>
      </c>
      <c r="GB10" s="90">
        <v>60</v>
      </c>
      <c r="GC10" s="90">
        <v>60</v>
      </c>
      <c r="GD10" s="90"/>
      <c r="GE10" s="90" t="s">
        <v>1137</v>
      </c>
      <c r="GF10" s="90" t="s">
        <v>1137</v>
      </c>
      <c r="GG10" s="90" t="s">
        <v>1137</v>
      </c>
      <c r="GH10" s="90" t="s">
        <v>1137</v>
      </c>
      <c r="GI10" s="90" t="s">
        <v>1137</v>
      </c>
      <c r="GJ10" s="90" t="s">
        <v>1137</v>
      </c>
      <c r="GK10" s="90" t="s">
        <v>1137</v>
      </c>
      <c r="GL10" s="90" t="s">
        <v>1137</v>
      </c>
      <c r="GM10" s="90" t="s">
        <v>1137</v>
      </c>
      <c r="GN10" s="90" t="s">
        <v>1137</v>
      </c>
      <c r="GO10" s="90" t="s">
        <v>1137</v>
      </c>
      <c r="GP10" s="90" t="s">
        <v>1137</v>
      </c>
      <c r="GQ10" s="90" t="s">
        <v>1137</v>
      </c>
      <c r="GR10" s="90"/>
      <c r="GS10" s="224">
        <v>1</v>
      </c>
      <c r="GT10" s="245">
        <f t="shared" si="14"/>
        <v>120</v>
      </c>
      <c r="GV10" s="237">
        <f t="shared" si="15"/>
        <v>10</v>
      </c>
      <c r="GW10" s="246">
        <f t="shared" si="9"/>
        <v>120</v>
      </c>
      <c r="GX10" s="247">
        <f t="shared" si="9"/>
        <v>60</v>
      </c>
      <c r="GY10" s="247">
        <f t="shared" si="9"/>
        <v>60</v>
      </c>
      <c r="GZ10" s="247">
        <f t="shared" si="9"/>
        <v>0</v>
      </c>
      <c r="HA10" s="247" t="str">
        <f t="shared" si="9"/>
        <v xml:space="preserve"> </v>
      </c>
      <c r="HB10" s="247" t="str">
        <f t="shared" si="9"/>
        <v xml:space="preserve"> </v>
      </c>
      <c r="HC10" s="247" t="str">
        <f t="shared" si="9"/>
        <v xml:space="preserve"> </v>
      </c>
      <c r="HD10" s="247" t="str">
        <f t="shared" si="9"/>
        <v xml:space="preserve"> </v>
      </c>
      <c r="HE10" s="247" t="str">
        <f t="shared" si="9"/>
        <v xml:space="preserve"> </v>
      </c>
      <c r="HF10" s="247" t="str">
        <f t="shared" si="9"/>
        <v xml:space="preserve"> </v>
      </c>
      <c r="HG10" s="247" t="str">
        <f t="shared" si="9"/>
        <v xml:space="preserve"> </v>
      </c>
      <c r="HH10" s="247" t="str">
        <f t="shared" si="9"/>
        <v xml:space="preserve"> </v>
      </c>
      <c r="HI10" s="247" t="str">
        <f t="shared" si="9"/>
        <v xml:space="preserve"> </v>
      </c>
      <c r="HJ10" s="247" t="str">
        <f t="shared" si="9"/>
        <v xml:space="preserve"> </v>
      </c>
      <c r="HK10" s="247" t="str">
        <f t="shared" si="9"/>
        <v xml:space="preserve"> </v>
      </c>
      <c r="HL10" s="247" t="str">
        <f t="shared" si="9"/>
        <v xml:space="preserve"> </v>
      </c>
      <c r="HM10" s="247" t="str">
        <f t="shared" si="10"/>
        <v xml:space="preserve"> </v>
      </c>
      <c r="HN10" s="247">
        <f t="shared" si="10"/>
        <v>0</v>
      </c>
      <c r="HO10" s="248">
        <f t="shared" si="10"/>
        <v>1</v>
      </c>
      <c r="HP10" s="241">
        <f t="shared" si="10"/>
        <v>120</v>
      </c>
      <c r="HR10" s="243">
        <v>10</v>
      </c>
      <c r="HS10" s="244">
        <v>120</v>
      </c>
      <c r="HT10" s="90">
        <v>60</v>
      </c>
      <c r="HU10" s="90">
        <v>60</v>
      </c>
      <c r="HV10" s="90"/>
      <c r="HW10" s="90"/>
      <c r="HX10" s="90"/>
      <c r="HY10" s="90"/>
      <c r="HZ10" s="90"/>
      <c r="IA10" s="90"/>
      <c r="IB10" s="90"/>
      <c r="IC10" s="90"/>
      <c r="ID10" s="90"/>
      <c r="IE10" s="90"/>
      <c r="IF10" s="90"/>
      <c r="IG10" s="90"/>
      <c r="IH10" s="90"/>
      <c r="II10" s="90"/>
      <c r="IJ10" s="90"/>
      <c r="IK10" s="224">
        <v>1</v>
      </c>
      <c r="IL10" s="245">
        <f t="shared" si="16"/>
        <v>120</v>
      </c>
      <c r="IN10" s="243">
        <v>10</v>
      </c>
      <c r="IO10" s="244">
        <v>120</v>
      </c>
      <c r="IP10" s="90">
        <v>60</v>
      </c>
      <c r="IQ10" s="90">
        <v>60</v>
      </c>
      <c r="IR10" s="90"/>
      <c r="IS10" s="90"/>
      <c r="IT10" s="90"/>
      <c r="IU10" s="90"/>
      <c r="IV10" s="90"/>
      <c r="IW10" s="90"/>
      <c r="IX10" s="90"/>
      <c r="IY10" s="90"/>
      <c r="IZ10" s="90"/>
      <c r="JA10" s="90"/>
      <c r="JB10" s="90"/>
      <c r="JC10" s="90"/>
      <c r="JD10" s="90"/>
      <c r="JE10" s="90"/>
      <c r="JF10" s="90"/>
      <c r="JG10" s="224">
        <v>1</v>
      </c>
      <c r="JH10" s="245">
        <f t="shared" si="17"/>
        <v>120</v>
      </c>
      <c r="JJ10" s="249">
        <v>10</v>
      </c>
      <c r="JK10" s="244">
        <v>120</v>
      </c>
      <c r="JL10" s="90">
        <v>60</v>
      </c>
      <c r="JM10" s="90">
        <v>60</v>
      </c>
      <c r="JN10" s="90"/>
      <c r="JO10" s="90"/>
      <c r="JP10" s="90"/>
      <c r="JQ10" s="90"/>
      <c r="JR10" s="90"/>
      <c r="JS10" s="90"/>
      <c r="JT10" s="90"/>
      <c r="JU10" s="90"/>
      <c r="JV10" s="90"/>
      <c r="JW10" s="90"/>
      <c r="JX10" s="90"/>
      <c r="JY10" s="90"/>
      <c r="JZ10" s="90"/>
      <c r="KA10" s="90"/>
      <c r="KB10" s="90"/>
      <c r="KC10" s="224">
        <v>1</v>
      </c>
      <c r="KD10" s="245">
        <f t="shared" si="18"/>
        <v>120</v>
      </c>
      <c r="KF10" s="243">
        <v>10</v>
      </c>
      <c r="KG10" s="244">
        <v>120</v>
      </c>
      <c r="KH10" s="90">
        <v>33</v>
      </c>
      <c r="KI10" s="90">
        <v>54</v>
      </c>
      <c r="KJ10" s="90">
        <v>33</v>
      </c>
      <c r="KK10" s="90"/>
      <c r="KL10" s="90"/>
      <c r="KM10" s="90"/>
      <c r="KN10" s="90"/>
      <c r="KO10" s="90"/>
      <c r="KP10" s="90"/>
      <c r="KQ10" s="90"/>
      <c r="KR10" s="90"/>
      <c r="KS10" s="90"/>
      <c r="KT10" s="90"/>
      <c r="KU10" s="90"/>
      <c r="KV10" s="90"/>
      <c r="KW10" s="90"/>
      <c r="KX10" s="90"/>
      <c r="KY10" s="224">
        <v>2</v>
      </c>
      <c r="KZ10" s="245">
        <f t="shared" si="19"/>
        <v>120</v>
      </c>
      <c r="LB10" s="237">
        <f t="shared" si="20"/>
        <v>10</v>
      </c>
      <c r="LC10" s="284">
        <f t="shared" si="21"/>
        <v>120</v>
      </c>
      <c r="LD10" s="237">
        <f t="shared" si="22"/>
        <v>33</v>
      </c>
      <c r="LE10" s="237">
        <f t="shared" si="23"/>
        <v>54</v>
      </c>
      <c r="LF10" s="237">
        <f t="shared" si="24"/>
        <v>33</v>
      </c>
      <c r="LG10" s="237">
        <f t="shared" si="25"/>
        <v>0</v>
      </c>
      <c r="LH10" s="237">
        <f t="shared" si="26"/>
        <v>0</v>
      </c>
      <c r="LI10" s="237">
        <f t="shared" si="27"/>
        <v>0</v>
      </c>
      <c r="LJ10" s="237">
        <f t="shared" si="28"/>
        <v>0</v>
      </c>
      <c r="LK10" s="237">
        <f t="shared" si="29"/>
        <v>0</v>
      </c>
      <c r="LL10" s="237">
        <f t="shared" si="30"/>
        <v>0</v>
      </c>
      <c r="LM10" s="237">
        <f t="shared" si="31"/>
        <v>0</v>
      </c>
      <c r="LN10" s="237">
        <f t="shared" si="32"/>
        <v>0</v>
      </c>
      <c r="LO10" s="237">
        <f t="shared" si="33"/>
        <v>0</v>
      </c>
      <c r="LP10" s="237">
        <f t="shared" si="34"/>
        <v>0</v>
      </c>
      <c r="LQ10" s="237">
        <f t="shared" si="35"/>
        <v>0</v>
      </c>
      <c r="LR10" s="237">
        <f t="shared" si="36"/>
        <v>0</v>
      </c>
      <c r="LS10" s="237">
        <f t="shared" si="37"/>
        <v>0</v>
      </c>
      <c r="LT10" s="237">
        <f t="shared" si="38"/>
        <v>0</v>
      </c>
      <c r="LU10" s="285">
        <f t="shared" si="39"/>
        <v>2</v>
      </c>
      <c r="LV10" s="280">
        <f t="shared" si="40"/>
        <v>120</v>
      </c>
      <c r="LX10" s="237">
        <f t="shared" si="41"/>
        <v>10</v>
      </c>
      <c r="LY10" s="284">
        <f t="shared" si="42"/>
        <v>120</v>
      </c>
      <c r="LZ10" s="237">
        <f t="shared" si="43"/>
        <v>33</v>
      </c>
      <c r="MA10" s="237">
        <f t="shared" si="44"/>
        <v>54</v>
      </c>
      <c r="MB10" s="237">
        <f t="shared" si="45"/>
        <v>33</v>
      </c>
      <c r="MC10" s="237">
        <f t="shared" si="46"/>
        <v>0</v>
      </c>
      <c r="MD10" s="237">
        <f t="shared" si="47"/>
        <v>0</v>
      </c>
      <c r="ME10" s="237">
        <f t="shared" si="48"/>
        <v>0</v>
      </c>
      <c r="MF10" s="237">
        <f t="shared" si="49"/>
        <v>0</v>
      </c>
      <c r="MG10" s="237">
        <f t="shared" si="50"/>
        <v>0</v>
      </c>
      <c r="MH10" s="237">
        <f t="shared" si="51"/>
        <v>0</v>
      </c>
      <c r="MI10" s="237">
        <f t="shared" si="52"/>
        <v>0</v>
      </c>
      <c r="MJ10" s="237">
        <f t="shared" si="53"/>
        <v>0</v>
      </c>
      <c r="MK10" s="237">
        <f t="shared" si="54"/>
        <v>0</v>
      </c>
      <c r="ML10" s="237">
        <f t="shared" si="55"/>
        <v>0</v>
      </c>
      <c r="MM10" s="237">
        <f t="shared" si="56"/>
        <v>0</v>
      </c>
      <c r="MN10" s="237">
        <f t="shared" si="57"/>
        <v>0</v>
      </c>
      <c r="MO10" s="237">
        <f t="shared" si="58"/>
        <v>0</v>
      </c>
      <c r="MP10" s="237">
        <f t="shared" si="59"/>
        <v>0</v>
      </c>
      <c r="MQ10" s="285">
        <f t="shared" si="60"/>
        <v>2</v>
      </c>
      <c r="MR10" s="280">
        <f t="shared" si="61"/>
        <v>120</v>
      </c>
      <c r="MT10" s="237">
        <f t="shared" si="62"/>
        <v>10</v>
      </c>
      <c r="MU10" s="284">
        <f t="shared" si="63"/>
        <v>120</v>
      </c>
      <c r="MV10" s="237">
        <f t="shared" si="64"/>
        <v>33</v>
      </c>
      <c r="MW10" s="237">
        <f t="shared" si="65"/>
        <v>54</v>
      </c>
      <c r="MX10" s="237">
        <f t="shared" si="66"/>
        <v>33</v>
      </c>
      <c r="MY10" s="237">
        <f t="shared" si="67"/>
        <v>0</v>
      </c>
      <c r="MZ10" s="237">
        <f t="shared" si="68"/>
        <v>0</v>
      </c>
      <c r="NA10" s="237">
        <f t="shared" si="69"/>
        <v>0</v>
      </c>
      <c r="NB10" s="237">
        <f t="shared" si="70"/>
        <v>0</v>
      </c>
      <c r="NC10" s="237">
        <f t="shared" si="71"/>
        <v>0</v>
      </c>
      <c r="ND10" s="237">
        <f t="shared" si="72"/>
        <v>0</v>
      </c>
      <c r="NE10" s="237">
        <f t="shared" si="73"/>
        <v>0</v>
      </c>
      <c r="NF10" s="237">
        <f t="shared" si="74"/>
        <v>0</v>
      </c>
      <c r="NG10" s="237">
        <f t="shared" si="75"/>
        <v>0</v>
      </c>
      <c r="NH10" s="237">
        <f t="shared" si="76"/>
        <v>0</v>
      </c>
      <c r="NI10" s="237">
        <f t="shared" si="77"/>
        <v>0</v>
      </c>
      <c r="NJ10" s="237">
        <f t="shared" si="78"/>
        <v>0</v>
      </c>
      <c r="NK10" s="237">
        <f t="shared" si="79"/>
        <v>0</v>
      </c>
      <c r="NL10" s="237">
        <f t="shared" si="80"/>
        <v>0</v>
      </c>
      <c r="NM10" s="285">
        <f t="shared" si="81"/>
        <v>2</v>
      </c>
      <c r="NN10" s="280">
        <f t="shared" si="82"/>
        <v>120</v>
      </c>
      <c r="NP10" s="237">
        <f t="shared" si="83"/>
        <v>10</v>
      </c>
      <c r="NQ10" s="284">
        <f t="shared" si="84"/>
        <v>120</v>
      </c>
      <c r="NR10" s="237">
        <f t="shared" si="85"/>
        <v>33</v>
      </c>
      <c r="NS10" s="237">
        <f t="shared" si="86"/>
        <v>54</v>
      </c>
      <c r="NT10" s="237">
        <f t="shared" si="87"/>
        <v>33</v>
      </c>
      <c r="NU10" s="237">
        <f t="shared" si="88"/>
        <v>0</v>
      </c>
      <c r="NV10" s="237">
        <f t="shared" si="89"/>
        <v>0</v>
      </c>
      <c r="NW10" s="237">
        <f t="shared" si="90"/>
        <v>0</v>
      </c>
      <c r="NX10" s="237">
        <f t="shared" si="91"/>
        <v>0</v>
      </c>
      <c r="NY10" s="237">
        <f t="shared" si="92"/>
        <v>0</v>
      </c>
      <c r="NZ10" s="237">
        <f t="shared" si="93"/>
        <v>0</v>
      </c>
      <c r="OA10" s="237">
        <f t="shared" si="94"/>
        <v>0</v>
      </c>
      <c r="OB10" s="237">
        <f t="shared" si="95"/>
        <v>0</v>
      </c>
      <c r="OC10" s="237">
        <f t="shared" si="96"/>
        <v>0</v>
      </c>
      <c r="OD10" s="237">
        <f t="shared" si="97"/>
        <v>0</v>
      </c>
      <c r="OE10" s="237">
        <f t="shared" si="98"/>
        <v>0</v>
      </c>
      <c r="OF10" s="237">
        <f t="shared" si="99"/>
        <v>0</v>
      </c>
      <c r="OG10" s="237">
        <f t="shared" si="100"/>
        <v>0</v>
      </c>
      <c r="OH10" s="237">
        <f t="shared" si="101"/>
        <v>0</v>
      </c>
      <c r="OI10" s="285">
        <f t="shared" si="102"/>
        <v>2</v>
      </c>
      <c r="OJ10" s="280">
        <f t="shared" si="103"/>
        <v>120</v>
      </c>
    </row>
    <row r="11" spans="2:400" ht="15" thickBot="1" x14ac:dyDescent="0.35">
      <c r="B11" s="129" t="s">
        <v>84</v>
      </c>
      <c r="C11" s="96" t="s">
        <v>84</v>
      </c>
      <c r="D11" s="130" t="s">
        <v>84</v>
      </c>
      <c r="L11" s="127" t="str">
        <f t="shared" si="5"/>
        <v>C10x30</v>
      </c>
      <c r="M11" s="138">
        <v>30</v>
      </c>
      <c r="N11" s="138">
        <v>8.82</v>
      </c>
      <c r="O11" s="138">
        <v>10</v>
      </c>
      <c r="P11" s="138">
        <v>0.67300000000000004</v>
      </c>
      <c r="Q11" s="138">
        <v>3.0329999999999999</v>
      </c>
      <c r="R11" s="138">
        <v>0.436</v>
      </c>
      <c r="S11" s="138">
        <v>0.33999999999999997</v>
      </c>
      <c r="T11" s="138">
        <v>0.14000000000000001</v>
      </c>
      <c r="U11">
        <v>9.4629999999999992</v>
      </c>
      <c r="V11" s="138">
        <f t="shared" si="6"/>
        <v>0.12072261643032681</v>
      </c>
      <c r="W11" s="139">
        <f t="shared" si="7"/>
        <v>30</v>
      </c>
      <c r="X11" s="140"/>
      <c r="Y11" s="141">
        <v>1</v>
      </c>
      <c r="Z11" s="141">
        <v>8</v>
      </c>
      <c r="AA11" s="133" t="s">
        <v>85</v>
      </c>
      <c r="AE11" s="127" t="str">
        <f t="shared" si="0"/>
        <v>L1.75x1.75x0.25</v>
      </c>
      <c r="AF11" s="138">
        <v>1.75</v>
      </c>
      <c r="AG11" s="138">
        <v>1.75</v>
      </c>
      <c r="AH11" s="138">
        <v>0.25</v>
      </c>
      <c r="AI11" s="138">
        <v>0.18750000000000003</v>
      </c>
      <c r="AJ11" s="138">
        <v>0.18750000000000003</v>
      </c>
      <c r="AK11">
        <f t="shared" si="1"/>
        <v>6.2699999999999978E-2</v>
      </c>
      <c r="AM11" s="133" t="s">
        <v>85</v>
      </c>
      <c r="AP11" s="127" t="str">
        <f t="shared" si="2"/>
        <v>S20x75</v>
      </c>
      <c r="AQ11">
        <v>20</v>
      </c>
      <c r="AR11" s="138">
        <v>75</v>
      </c>
      <c r="AS11" s="138">
        <v>20</v>
      </c>
      <c r="AT11" s="138">
        <v>0.63500000000000001</v>
      </c>
      <c r="AU11" s="138">
        <v>6.3849999999999998</v>
      </c>
      <c r="AV11" s="138">
        <v>0.79500000000000004</v>
      </c>
      <c r="AW11" s="138">
        <v>0.6</v>
      </c>
      <c r="AX11" s="138">
        <v>0.3</v>
      </c>
      <c r="AY11">
        <v>9.4630000000000312</v>
      </c>
      <c r="AZ11" s="138">
        <f t="shared" si="3"/>
        <v>16.914258063366763</v>
      </c>
      <c r="BA11" s="133" t="s">
        <v>85</v>
      </c>
      <c r="BD11" s="143" t="str">
        <f t="shared" si="4"/>
        <v>W6x20</v>
      </c>
      <c r="BE11">
        <v>6.0000000000000009</v>
      </c>
      <c r="BF11" s="138">
        <v>20</v>
      </c>
      <c r="BG11" s="138">
        <v>6.2</v>
      </c>
      <c r="BH11" s="138">
        <v>0.26</v>
      </c>
      <c r="BI11" s="138">
        <v>6.02</v>
      </c>
      <c r="BJ11" s="138">
        <v>0.36499999999999999</v>
      </c>
      <c r="BK11" s="138">
        <v>0.25</v>
      </c>
      <c r="BM11" s="133" t="s">
        <v>85</v>
      </c>
      <c r="BO11" s="152" t="s">
        <v>283</v>
      </c>
      <c r="BP11" s="10">
        <v>31.8</v>
      </c>
      <c r="BQ11" s="11">
        <v>13</v>
      </c>
      <c r="BR11" s="11">
        <v>0.37500000000000006</v>
      </c>
      <c r="BS11" s="11">
        <v>4</v>
      </c>
      <c r="BT11" s="11">
        <v>0.61</v>
      </c>
      <c r="BU11" s="11">
        <v>0.48</v>
      </c>
      <c r="BV11" s="11">
        <v>0.23</v>
      </c>
      <c r="BW11" s="10">
        <v>9.4629999999999992</v>
      </c>
      <c r="BX11" s="10">
        <v>0.11305773600377955</v>
      </c>
      <c r="BY11" s="10">
        <v>10.36255700754559</v>
      </c>
      <c r="BZ11" s="10">
        <v>1.3187214962272051</v>
      </c>
      <c r="CA11" s="12" t="s">
        <v>344</v>
      </c>
      <c r="CB11" s="12">
        <v>1.4375</v>
      </c>
      <c r="CC11" s="12">
        <v>10.125</v>
      </c>
      <c r="CD11" s="151" t="s">
        <v>85</v>
      </c>
      <c r="CF11" s="150" t="s">
        <v>283</v>
      </c>
      <c r="CG11">
        <v>1.4375</v>
      </c>
      <c r="CH11">
        <v>10.125</v>
      </c>
      <c r="CI11" s="151" t="s">
        <v>261</v>
      </c>
      <c r="CP11" s="244">
        <v>3</v>
      </c>
      <c r="CQ11" s="90" t="s">
        <v>263</v>
      </c>
      <c r="CR11" s="224" t="s">
        <v>261</v>
      </c>
      <c r="CT11" s="150" t="s">
        <v>263</v>
      </c>
      <c r="CU11">
        <v>7</v>
      </c>
      <c r="CV11">
        <v>1.125</v>
      </c>
      <c r="CW11">
        <v>0.25</v>
      </c>
      <c r="CX11">
        <v>8.375</v>
      </c>
      <c r="CY11">
        <v>0.875</v>
      </c>
      <c r="CZ11">
        <v>0.25</v>
      </c>
      <c r="DA11">
        <v>8.5625</v>
      </c>
      <c r="DB11">
        <v>10</v>
      </c>
      <c r="DC11" s="3">
        <v>3</v>
      </c>
      <c r="DD11" s="151" t="s">
        <v>261</v>
      </c>
      <c r="DG11" s="90" t="s">
        <v>1054</v>
      </c>
      <c r="DH11" s="90">
        <v>0.25</v>
      </c>
      <c r="DI11" s="90" t="s">
        <v>261</v>
      </c>
      <c r="DO11" s="196">
        <v>0.75</v>
      </c>
      <c r="DU11" s="220">
        <f t="shared" si="11"/>
        <v>216</v>
      </c>
      <c r="DV11" s="221">
        <v>18</v>
      </c>
      <c r="DW11" s="221">
        <v>3</v>
      </c>
      <c r="DX11" s="221">
        <v>54</v>
      </c>
      <c r="DY11" s="223">
        <f t="shared" si="104"/>
        <v>54</v>
      </c>
      <c r="DZ11" s="221">
        <v>108</v>
      </c>
      <c r="EA11" s="224" t="s">
        <v>261</v>
      </c>
      <c r="EH11" s="250">
        <v>11</v>
      </c>
      <c r="EI11" s="251">
        <v>132</v>
      </c>
      <c r="EJ11" s="252">
        <v>42</v>
      </c>
      <c r="EK11" s="252">
        <v>48</v>
      </c>
      <c r="EL11" s="252">
        <v>42</v>
      </c>
      <c r="EM11" s="252" t="s">
        <v>1137</v>
      </c>
      <c r="EN11" s="252" t="s">
        <v>1137</v>
      </c>
      <c r="EO11" s="252" t="s">
        <v>1137</v>
      </c>
      <c r="EP11" s="252" t="s">
        <v>1137</v>
      </c>
      <c r="EQ11" s="252" t="s">
        <v>1137</v>
      </c>
      <c r="ER11" s="252" t="s">
        <v>1137</v>
      </c>
      <c r="ES11" s="252" t="s">
        <v>1137</v>
      </c>
      <c r="ET11" s="252" t="s">
        <v>1137</v>
      </c>
      <c r="EU11" s="252" t="s">
        <v>1137</v>
      </c>
      <c r="EV11" s="252" t="s">
        <v>1137</v>
      </c>
      <c r="EW11" s="252" t="s">
        <v>1137</v>
      </c>
      <c r="EX11" s="252" t="s">
        <v>1137</v>
      </c>
      <c r="EY11" s="252" t="s">
        <v>1137</v>
      </c>
      <c r="EZ11" s="252"/>
      <c r="FA11" s="253">
        <v>2</v>
      </c>
      <c r="FB11" s="254">
        <f t="shared" si="12"/>
        <v>132</v>
      </c>
      <c r="FD11" s="237">
        <f t="shared" si="13"/>
        <v>11</v>
      </c>
      <c r="FE11" s="246">
        <f t="shared" si="8"/>
        <v>132</v>
      </c>
      <c r="FF11" s="247">
        <f t="shared" si="8"/>
        <v>42</v>
      </c>
      <c r="FG11" s="247">
        <f t="shared" si="8"/>
        <v>48</v>
      </c>
      <c r="FH11" s="247">
        <f t="shared" si="8"/>
        <v>42</v>
      </c>
      <c r="FI11" s="247" t="str">
        <f t="shared" si="8"/>
        <v xml:space="preserve"> </v>
      </c>
      <c r="FJ11" s="247" t="str">
        <f t="shared" si="8"/>
        <v xml:space="preserve"> </v>
      </c>
      <c r="FK11" s="247" t="str">
        <f t="shared" si="8"/>
        <v xml:space="preserve"> </v>
      </c>
      <c r="FL11" s="247" t="str">
        <f t="shared" si="8"/>
        <v xml:space="preserve"> </v>
      </c>
      <c r="FM11" s="247" t="str">
        <f t="shared" si="8"/>
        <v xml:space="preserve"> </v>
      </c>
      <c r="FN11" s="247" t="str">
        <f t="shared" si="8"/>
        <v xml:space="preserve"> </v>
      </c>
      <c r="FO11" s="247" t="str">
        <f t="shared" si="8"/>
        <v xml:space="preserve"> </v>
      </c>
      <c r="FP11" s="247" t="str">
        <f t="shared" si="8"/>
        <v xml:space="preserve"> </v>
      </c>
      <c r="FQ11" s="247" t="str">
        <f t="shared" si="8"/>
        <v xml:space="preserve"> </v>
      </c>
      <c r="FR11" s="247" t="str">
        <f t="shared" si="8"/>
        <v xml:space="preserve"> </v>
      </c>
      <c r="FS11" s="247" t="str">
        <f t="shared" si="8"/>
        <v xml:space="preserve"> </v>
      </c>
      <c r="FT11" s="247" t="str">
        <f t="shared" si="8"/>
        <v xml:space="preserve"> </v>
      </c>
      <c r="FU11" s="247" t="str">
        <f t="shared" si="8"/>
        <v xml:space="preserve"> </v>
      </c>
      <c r="FV11" s="247">
        <f t="shared" si="8"/>
        <v>0</v>
      </c>
      <c r="FW11" s="248">
        <f t="shared" si="8"/>
        <v>2</v>
      </c>
      <c r="FX11" s="241">
        <f t="shared" si="8"/>
        <v>132</v>
      </c>
      <c r="FZ11" s="255">
        <v>11</v>
      </c>
      <c r="GA11" s="251">
        <v>132</v>
      </c>
      <c r="GB11" s="252">
        <v>36</v>
      </c>
      <c r="GC11" s="252">
        <v>60</v>
      </c>
      <c r="GD11" s="252">
        <v>36</v>
      </c>
      <c r="GE11" s="252" t="s">
        <v>1137</v>
      </c>
      <c r="GF11" s="252" t="s">
        <v>1137</v>
      </c>
      <c r="GG11" s="252" t="s">
        <v>1137</v>
      </c>
      <c r="GH11" s="252" t="s">
        <v>1137</v>
      </c>
      <c r="GI11" s="252" t="s">
        <v>1137</v>
      </c>
      <c r="GJ11" s="252" t="s">
        <v>1137</v>
      </c>
      <c r="GK11" s="252" t="s">
        <v>1137</v>
      </c>
      <c r="GL11" s="252" t="s">
        <v>1137</v>
      </c>
      <c r="GM11" s="252" t="s">
        <v>1137</v>
      </c>
      <c r="GN11" s="252" t="s">
        <v>1137</v>
      </c>
      <c r="GO11" s="252" t="s">
        <v>1137</v>
      </c>
      <c r="GP11" s="252" t="s">
        <v>1137</v>
      </c>
      <c r="GQ11" s="252" t="s">
        <v>1137</v>
      </c>
      <c r="GR11" s="252"/>
      <c r="GS11" s="253">
        <v>2</v>
      </c>
      <c r="GT11" s="254">
        <f t="shared" si="14"/>
        <v>132</v>
      </c>
      <c r="GV11" s="237">
        <f t="shared" si="15"/>
        <v>11</v>
      </c>
      <c r="GW11" s="246">
        <f t="shared" si="9"/>
        <v>132</v>
      </c>
      <c r="GX11" s="247">
        <f t="shared" si="9"/>
        <v>36</v>
      </c>
      <c r="GY11" s="247">
        <f t="shared" si="9"/>
        <v>60</v>
      </c>
      <c r="GZ11" s="247">
        <f t="shared" si="9"/>
        <v>36</v>
      </c>
      <c r="HA11" s="247" t="str">
        <f t="shared" si="9"/>
        <v xml:space="preserve"> </v>
      </c>
      <c r="HB11" s="247" t="str">
        <f t="shared" si="9"/>
        <v xml:space="preserve"> </v>
      </c>
      <c r="HC11" s="247" t="str">
        <f t="shared" si="9"/>
        <v xml:space="preserve"> </v>
      </c>
      <c r="HD11" s="247" t="str">
        <f t="shared" si="9"/>
        <v xml:space="preserve"> </v>
      </c>
      <c r="HE11" s="247" t="str">
        <f t="shared" si="9"/>
        <v xml:space="preserve"> </v>
      </c>
      <c r="HF11" s="247" t="str">
        <f t="shared" si="9"/>
        <v xml:space="preserve"> </v>
      </c>
      <c r="HG11" s="247" t="str">
        <f t="shared" si="9"/>
        <v xml:space="preserve"> </v>
      </c>
      <c r="HH11" s="247" t="str">
        <f t="shared" si="9"/>
        <v xml:space="preserve"> </v>
      </c>
      <c r="HI11" s="247" t="str">
        <f t="shared" si="9"/>
        <v xml:space="preserve"> </v>
      </c>
      <c r="HJ11" s="247" t="str">
        <f t="shared" si="9"/>
        <v xml:space="preserve"> </v>
      </c>
      <c r="HK11" s="247" t="str">
        <f t="shared" si="9"/>
        <v xml:space="preserve"> </v>
      </c>
      <c r="HL11" s="247" t="str">
        <f t="shared" si="9"/>
        <v xml:space="preserve"> </v>
      </c>
      <c r="HM11" s="247" t="str">
        <f t="shared" si="10"/>
        <v xml:space="preserve"> </v>
      </c>
      <c r="HN11" s="247">
        <f t="shared" si="10"/>
        <v>0</v>
      </c>
      <c r="HO11" s="248">
        <f t="shared" si="10"/>
        <v>2</v>
      </c>
      <c r="HP11" s="241">
        <f t="shared" si="10"/>
        <v>132</v>
      </c>
      <c r="HR11" s="250">
        <v>11</v>
      </c>
      <c r="HS11" s="251">
        <v>132</v>
      </c>
      <c r="HT11" s="252">
        <v>66</v>
      </c>
      <c r="HU11" s="252">
        <v>66</v>
      </c>
      <c r="HV11" s="252"/>
      <c r="HW11" s="252"/>
      <c r="HX11" s="252"/>
      <c r="HY11" s="252"/>
      <c r="HZ11" s="252"/>
      <c r="IA11" s="252"/>
      <c r="IB11" s="252"/>
      <c r="IC11" s="252"/>
      <c r="ID11" s="252"/>
      <c r="IE11" s="252"/>
      <c r="IF11" s="252"/>
      <c r="IG11" s="252"/>
      <c r="IH11" s="252"/>
      <c r="II11" s="252"/>
      <c r="IJ11" s="252"/>
      <c r="IK11" s="253">
        <v>1</v>
      </c>
      <c r="IL11" s="254">
        <f t="shared" si="16"/>
        <v>132</v>
      </c>
      <c r="IN11" s="250">
        <v>11</v>
      </c>
      <c r="IO11" s="251">
        <v>132</v>
      </c>
      <c r="IP11" s="252">
        <v>66</v>
      </c>
      <c r="IQ11" s="252">
        <v>66</v>
      </c>
      <c r="IR11" s="252"/>
      <c r="IS11" s="252"/>
      <c r="IT11" s="252"/>
      <c r="IU11" s="252"/>
      <c r="IV11" s="252"/>
      <c r="IW11" s="252"/>
      <c r="IX11" s="252"/>
      <c r="IY11" s="252"/>
      <c r="IZ11" s="252"/>
      <c r="JA11" s="252"/>
      <c r="JB11" s="252"/>
      <c r="JC11" s="252"/>
      <c r="JD11" s="252"/>
      <c r="JE11" s="252"/>
      <c r="JF11" s="252"/>
      <c r="JG11" s="253">
        <v>1</v>
      </c>
      <c r="JH11" s="254">
        <f t="shared" si="17"/>
        <v>132</v>
      </c>
      <c r="JJ11" s="255">
        <v>11</v>
      </c>
      <c r="JK11" s="251">
        <v>132</v>
      </c>
      <c r="JL11" s="252">
        <v>66</v>
      </c>
      <c r="JM11" s="252">
        <v>66</v>
      </c>
      <c r="JN11" s="252"/>
      <c r="JO11" s="252"/>
      <c r="JP11" s="252"/>
      <c r="JQ11" s="252"/>
      <c r="JR11" s="252"/>
      <c r="JS11" s="252"/>
      <c r="JT11" s="252"/>
      <c r="JU11" s="252"/>
      <c r="JV11" s="252"/>
      <c r="JW11" s="252"/>
      <c r="JX11" s="252"/>
      <c r="JY11" s="252"/>
      <c r="JZ11" s="252"/>
      <c r="KA11" s="252"/>
      <c r="KB11" s="252"/>
      <c r="KC11" s="253">
        <v>1</v>
      </c>
      <c r="KD11" s="254">
        <f t="shared" si="18"/>
        <v>132</v>
      </c>
      <c r="KF11" s="250">
        <v>11</v>
      </c>
      <c r="KG11" s="251">
        <v>132</v>
      </c>
      <c r="KH11" s="252">
        <v>39</v>
      </c>
      <c r="KI11" s="252">
        <v>54</v>
      </c>
      <c r="KJ11" s="252">
        <v>39</v>
      </c>
      <c r="KK11" s="252"/>
      <c r="KL11" s="252"/>
      <c r="KM11" s="252"/>
      <c r="KN11" s="252"/>
      <c r="KO11" s="252"/>
      <c r="KP11" s="252"/>
      <c r="KQ11" s="252"/>
      <c r="KR11" s="252"/>
      <c r="KS11" s="252"/>
      <c r="KT11" s="252"/>
      <c r="KU11" s="252"/>
      <c r="KV11" s="252"/>
      <c r="KW11" s="252"/>
      <c r="KX11" s="252"/>
      <c r="KY11" s="253">
        <v>2</v>
      </c>
      <c r="KZ11" s="254">
        <f t="shared" si="19"/>
        <v>132</v>
      </c>
      <c r="LB11" s="237">
        <f t="shared" si="20"/>
        <v>11</v>
      </c>
      <c r="LC11" s="284">
        <f t="shared" si="21"/>
        <v>132</v>
      </c>
      <c r="LD11" s="237">
        <f t="shared" si="22"/>
        <v>39</v>
      </c>
      <c r="LE11" s="237">
        <f t="shared" si="23"/>
        <v>54</v>
      </c>
      <c r="LF11" s="237">
        <f t="shared" si="24"/>
        <v>39</v>
      </c>
      <c r="LG11" s="237">
        <f t="shared" si="25"/>
        <v>0</v>
      </c>
      <c r="LH11" s="237">
        <f t="shared" si="26"/>
        <v>0</v>
      </c>
      <c r="LI11" s="237">
        <f t="shared" si="27"/>
        <v>0</v>
      </c>
      <c r="LJ11" s="237">
        <f t="shared" si="28"/>
        <v>0</v>
      </c>
      <c r="LK11" s="237">
        <f t="shared" si="29"/>
        <v>0</v>
      </c>
      <c r="LL11" s="237">
        <f t="shared" si="30"/>
        <v>0</v>
      </c>
      <c r="LM11" s="237">
        <f t="shared" si="31"/>
        <v>0</v>
      </c>
      <c r="LN11" s="237">
        <f t="shared" si="32"/>
        <v>0</v>
      </c>
      <c r="LO11" s="237">
        <f t="shared" si="33"/>
        <v>0</v>
      </c>
      <c r="LP11" s="237">
        <f t="shared" si="34"/>
        <v>0</v>
      </c>
      <c r="LQ11" s="237">
        <f t="shared" si="35"/>
        <v>0</v>
      </c>
      <c r="LR11" s="237">
        <f t="shared" si="36"/>
        <v>0</v>
      </c>
      <c r="LS11" s="237">
        <f t="shared" si="37"/>
        <v>0</v>
      </c>
      <c r="LT11" s="237">
        <f t="shared" si="38"/>
        <v>0</v>
      </c>
      <c r="LU11" s="285">
        <f t="shared" si="39"/>
        <v>2</v>
      </c>
      <c r="LV11" s="280">
        <f t="shared" si="40"/>
        <v>132</v>
      </c>
      <c r="LX11" s="237">
        <f t="shared" si="41"/>
        <v>11</v>
      </c>
      <c r="LY11" s="284">
        <f t="shared" si="42"/>
        <v>132</v>
      </c>
      <c r="LZ11" s="237">
        <f t="shared" si="43"/>
        <v>39</v>
      </c>
      <c r="MA11" s="237">
        <f t="shared" si="44"/>
        <v>54</v>
      </c>
      <c r="MB11" s="237">
        <f t="shared" si="45"/>
        <v>39</v>
      </c>
      <c r="MC11" s="237">
        <f t="shared" si="46"/>
        <v>0</v>
      </c>
      <c r="MD11" s="237">
        <f t="shared" si="47"/>
        <v>0</v>
      </c>
      <c r="ME11" s="237">
        <f t="shared" si="48"/>
        <v>0</v>
      </c>
      <c r="MF11" s="237">
        <f t="shared" si="49"/>
        <v>0</v>
      </c>
      <c r="MG11" s="237">
        <f t="shared" si="50"/>
        <v>0</v>
      </c>
      <c r="MH11" s="237">
        <f t="shared" si="51"/>
        <v>0</v>
      </c>
      <c r="MI11" s="237">
        <f t="shared" si="52"/>
        <v>0</v>
      </c>
      <c r="MJ11" s="237">
        <f t="shared" si="53"/>
        <v>0</v>
      </c>
      <c r="MK11" s="237">
        <f t="shared" si="54"/>
        <v>0</v>
      </c>
      <c r="ML11" s="237">
        <f t="shared" si="55"/>
        <v>0</v>
      </c>
      <c r="MM11" s="237">
        <f t="shared" si="56"/>
        <v>0</v>
      </c>
      <c r="MN11" s="237">
        <f t="shared" si="57"/>
        <v>0</v>
      </c>
      <c r="MO11" s="237">
        <f t="shared" si="58"/>
        <v>0</v>
      </c>
      <c r="MP11" s="237">
        <f t="shared" si="59"/>
        <v>0</v>
      </c>
      <c r="MQ11" s="285">
        <f t="shared" si="60"/>
        <v>2</v>
      </c>
      <c r="MR11" s="280">
        <f t="shared" si="61"/>
        <v>132</v>
      </c>
      <c r="MT11" s="237">
        <f t="shared" si="62"/>
        <v>11</v>
      </c>
      <c r="MU11" s="284">
        <f t="shared" si="63"/>
        <v>132</v>
      </c>
      <c r="MV11" s="237">
        <f t="shared" si="64"/>
        <v>39</v>
      </c>
      <c r="MW11" s="237">
        <f t="shared" si="65"/>
        <v>54</v>
      </c>
      <c r="MX11" s="237">
        <f t="shared" si="66"/>
        <v>39</v>
      </c>
      <c r="MY11" s="237">
        <f t="shared" si="67"/>
        <v>0</v>
      </c>
      <c r="MZ11" s="237">
        <f t="shared" si="68"/>
        <v>0</v>
      </c>
      <c r="NA11" s="237">
        <f t="shared" si="69"/>
        <v>0</v>
      </c>
      <c r="NB11" s="237">
        <f t="shared" si="70"/>
        <v>0</v>
      </c>
      <c r="NC11" s="237">
        <f t="shared" si="71"/>
        <v>0</v>
      </c>
      <c r="ND11" s="237">
        <f t="shared" si="72"/>
        <v>0</v>
      </c>
      <c r="NE11" s="237">
        <f t="shared" si="73"/>
        <v>0</v>
      </c>
      <c r="NF11" s="237">
        <f t="shared" si="74"/>
        <v>0</v>
      </c>
      <c r="NG11" s="237">
        <f t="shared" si="75"/>
        <v>0</v>
      </c>
      <c r="NH11" s="237">
        <f t="shared" si="76"/>
        <v>0</v>
      </c>
      <c r="NI11" s="237">
        <f t="shared" si="77"/>
        <v>0</v>
      </c>
      <c r="NJ11" s="237">
        <f t="shared" si="78"/>
        <v>0</v>
      </c>
      <c r="NK11" s="237">
        <f t="shared" si="79"/>
        <v>0</v>
      </c>
      <c r="NL11" s="237">
        <f t="shared" si="80"/>
        <v>0</v>
      </c>
      <c r="NM11" s="285">
        <f t="shared" si="81"/>
        <v>2</v>
      </c>
      <c r="NN11" s="280">
        <f t="shared" si="82"/>
        <v>132</v>
      </c>
      <c r="NP11" s="237">
        <f t="shared" si="83"/>
        <v>11</v>
      </c>
      <c r="NQ11" s="284">
        <f t="shared" si="84"/>
        <v>132</v>
      </c>
      <c r="NR11" s="237">
        <f t="shared" si="85"/>
        <v>39</v>
      </c>
      <c r="NS11" s="237">
        <f t="shared" si="86"/>
        <v>54</v>
      </c>
      <c r="NT11" s="237">
        <f t="shared" si="87"/>
        <v>39</v>
      </c>
      <c r="NU11" s="237">
        <f t="shared" si="88"/>
        <v>0</v>
      </c>
      <c r="NV11" s="237">
        <f t="shared" si="89"/>
        <v>0</v>
      </c>
      <c r="NW11" s="237">
        <f t="shared" si="90"/>
        <v>0</v>
      </c>
      <c r="NX11" s="237">
        <f t="shared" si="91"/>
        <v>0</v>
      </c>
      <c r="NY11" s="237">
        <f t="shared" si="92"/>
        <v>0</v>
      </c>
      <c r="NZ11" s="237">
        <f t="shared" si="93"/>
        <v>0</v>
      </c>
      <c r="OA11" s="237">
        <f t="shared" si="94"/>
        <v>0</v>
      </c>
      <c r="OB11" s="237">
        <f t="shared" si="95"/>
        <v>0</v>
      </c>
      <c r="OC11" s="237">
        <f t="shared" si="96"/>
        <v>0</v>
      </c>
      <c r="OD11" s="237">
        <f t="shared" si="97"/>
        <v>0</v>
      </c>
      <c r="OE11" s="237">
        <f t="shared" si="98"/>
        <v>0</v>
      </c>
      <c r="OF11" s="237">
        <f t="shared" si="99"/>
        <v>0</v>
      </c>
      <c r="OG11" s="237">
        <f t="shared" si="100"/>
        <v>0</v>
      </c>
      <c r="OH11" s="237">
        <f t="shared" si="101"/>
        <v>0</v>
      </c>
      <c r="OI11" s="285">
        <f t="shared" si="102"/>
        <v>2</v>
      </c>
      <c r="OJ11" s="280">
        <f t="shared" si="103"/>
        <v>132</v>
      </c>
    </row>
    <row r="12" spans="2:400" x14ac:dyDescent="0.3">
      <c r="L12" s="127" t="str">
        <f t="shared" si="5"/>
        <v>C10x25</v>
      </c>
      <c r="M12" s="138">
        <v>25</v>
      </c>
      <c r="N12" s="138">
        <v>7.35</v>
      </c>
      <c r="O12" s="138">
        <v>10</v>
      </c>
      <c r="P12" s="138">
        <v>0.52600000000000002</v>
      </c>
      <c r="Q12" s="138">
        <v>2.8860000000000001</v>
      </c>
      <c r="R12" s="138">
        <v>0.436</v>
      </c>
      <c r="S12" s="138">
        <v>0.33999999999999997</v>
      </c>
      <c r="T12" s="138">
        <v>0.14000000000000001</v>
      </c>
      <c r="U12">
        <v>9.4629999999999992</v>
      </c>
      <c r="V12" s="138">
        <f t="shared" si="6"/>
        <v>0.12072261643032675</v>
      </c>
      <c r="W12" s="139">
        <f t="shared" si="7"/>
        <v>25</v>
      </c>
      <c r="X12" s="140"/>
      <c r="Y12" s="141">
        <v>1</v>
      </c>
      <c r="Z12" s="141">
        <v>8</v>
      </c>
      <c r="AA12" s="133" t="s">
        <v>85</v>
      </c>
      <c r="AE12" s="127" t="str">
        <f t="shared" si="0"/>
        <v>L2x2x0.125</v>
      </c>
      <c r="AF12" s="138">
        <v>2</v>
      </c>
      <c r="AG12" s="138">
        <v>2</v>
      </c>
      <c r="AH12" s="138">
        <v>0.125</v>
      </c>
      <c r="AI12" s="138">
        <v>0.18750000000000003</v>
      </c>
      <c r="AJ12" s="138">
        <v>0.125</v>
      </c>
      <c r="AK12">
        <f t="shared" si="1"/>
        <v>2.0000000000000001E-4</v>
      </c>
      <c r="AM12" s="133" t="s">
        <v>85</v>
      </c>
      <c r="AP12" s="127" t="str">
        <f t="shared" si="2"/>
        <v>S20x66</v>
      </c>
      <c r="AQ12">
        <v>20</v>
      </c>
      <c r="AR12" s="138">
        <v>66</v>
      </c>
      <c r="AS12" s="138">
        <v>20</v>
      </c>
      <c r="AT12" s="138">
        <v>0.505</v>
      </c>
      <c r="AU12" s="138">
        <v>6.2549999999999999</v>
      </c>
      <c r="AV12" s="138">
        <v>0.79500000000000004</v>
      </c>
      <c r="AW12" s="138">
        <v>0.6</v>
      </c>
      <c r="AX12" s="138">
        <v>0.3</v>
      </c>
      <c r="AY12">
        <v>9.4630000000000312</v>
      </c>
      <c r="AZ12" s="138">
        <f t="shared" si="3"/>
        <v>16.914258063366763</v>
      </c>
      <c r="BA12" s="133" t="s">
        <v>85</v>
      </c>
      <c r="BD12" s="143" t="str">
        <f t="shared" si="4"/>
        <v>W6x25</v>
      </c>
      <c r="BE12">
        <v>6.0000000000000009</v>
      </c>
      <c r="BF12" s="138">
        <v>25</v>
      </c>
      <c r="BG12" s="138">
        <v>6.38</v>
      </c>
      <c r="BH12" s="138">
        <v>0.32</v>
      </c>
      <c r="BI12" s="138">
        <v>6.0799999999999992</v>
      </c>
      <c r="BJ12" s="138">
        <v>0.45500000000000002</v>
      </c>
      <c r="BK12" s="138">
        <v>0.25</v>
      </c>
      <c r="BL12" t="s">
        <v>190</v>
      </c>
      <c r="BM12" s="133" t="s">
        <v>85</v>
      </c>
      <c r="BO12" s="150" t="s">
        <v>284</v>
      </c>
      <c r="BP12" s="138">
        <v>50</v>
      </c>
      <c r="BQ12" s="144">
        <v>12.000000000000002</v>
      </c>
      <c r="BR12" s="144">
        <v>0.83499999999999996</v>
      </c>
      <c r="BS12" s="144">
        <v>4.1349999999999998</v>
      </c>
      <c r="BT12" s="144">
        <v>0.7</v>
      </c>
      <c r="BU12" s="144">
        <v>0.5</v>
      </c>
      <c r="BV12" s="144">
        <v>0.3</v>
      </c>
      <c r="BW12" s="138">
        <v>9.4629999999999992</v>
      </c>
      <c r="BX12" s="138">
        <v>0.17084486004440258</v>
      </c>
      <c r="BY12" s="138">
        <v>9.2028429485192316</v>
      </c>
      <c r="BZ12" s="138">
        <v>1.3985785257403851</v>
      </c>
      <c r="CB12">
        <v>1.3125</v>
      </c>
      <c r="CC12">
        <v>9.3750000000000018</v>
      </c>
      <c r="CD12" s="151" t="s">
        <v>85</v>
      </c>
      <c r="CF12" s="150" t="s">
        <v>284</v>
      </c>
      <c r="CG12">
        <v>1.3125</v>
      </c>
      <c r="CH12">
        <v>9.3750000000000018</v>
      </c>
      <c r="CI12" s="151" t="s">
        <v>261</v>
      </c>
      <c r="CP12" s="244">
        <v>3.5</v>
      </c>
      <c r="CQ12" s="90" t="s">
        <v>314</v>
      </c>
      <c r="CR12" s="224" t="s">
        <v>261</v>
      </c>
      <c r="CT12" s="150" t="s">
        <v>314</v>
      </c>
      <c r="CU12">
        <v>9.5</v>
      </c>
      <c r="CV12">
        <v>1.125</v>
      </c>
      <c r="CW12">
        <v>0.3125</v>
      </c>
      <c r="CX12">
        <v>10.375</v>
      </c>
      <c r="CY12">
        <v>0.875</v>
      </c>
      <c r="CZ12">
        <v>0.3125</v>
      </c>
      <c r="DA12">
        <v>10.5625</v>
      </c>
      <c r="DB12">
        <v>12</v>
      </c>
      <c r="DC12" s="3">
        <v>3.5</v>
      </c>
      <c r="DD12" s="151" t="s">
        <v>261</v>
      </c>
      <c r="DG12" s="90" t="s">
        <v>1055</v>
      </c>
      <c r="DH12" s="90">
        <v>0.5</v>
      </c>
      <c r="DI12" s="90" t="s">
        <v>261</v>
      </c>
      <c r="DO12" s="196">
        <v>0.875</v>
      </c>
      <c r="DU12" s="220">
        <f t="shared" si="11"/>
        <v>240</v>
      </c>
      <c r="DV12" s="221">
        <v>20</v>
      </c>
      <c r="DW12" s="221">
        <v>3</v>
      </c>
      <c r="DX12" s="221">
        <v>60</v>
      </c>
      <c r="DY12" s="223">
        <f t="shared" si="104"/>
        <v>60</v>
      </c>
      <c r="DZ12" s="221">
        <v>120</v>
      </c>
      <c r="EA12" s="224" t="s">
        <v>261</v>
      </c>
      <c r="EH12" s="243">
        <v>12</v>
      </c>
      <c r="EI12" s="244">
        <v>144</v>
      </c>
      <c r="EJ12" s="90">
        <v>48</v>
      </c>
      <c r="EK12" s="90">
        <v>48</v>
      </c>
      <c r="EL12" s="90">
        <v>48</v>
      </c>
      <c r="EM12" s="90" t="s">
        <v>1137</v>
      </c>
      <c r="EN12" s="90" t="s">
        <v>1137</v>
      </c>
      <c r="EO12" s="90" t="s">
        <v>1137</v>
      </c>
      <c r="EP12" s="90" t="s">
        <v>1137</v>
      </c>
      <c r="EQ12" s="90" t="s">
        <v>1137</v>
      </c>
      <c r="ER12" s="90" t="s">
        <v>1137</v>
      </c>
      <c r="ES12" s="90" t="s">
        <v>1137</v>
      </c>
      <c r="ET12" s="90" t="s">
        <v>1137</v>
      </c>
      <c r="EU12" s="90" t="s">
        <v>1137</v>
      </c>
      <c r="EV12" s="90" t="s">
        <v>1137</v>
      </c>
      <c r="EW12" s="90" t="s">
        <v>1137</v>
      </c>
      <c r="EX12" s="90" t="s">
        <v>1137</v>
      </c>
      <c r="EY12" s="90" t="s">
        <v>1137</v>
      </c>
      <c r="EZ12" s="90"/>
      <c r="FA12" s="224">
        <v>2</v>
      </c>
      <c r="FB12" s="245">
        <f t="shared" si="12"/>
        <v>144</v>
      </c>
      <c r="FD12" s="237">
        <f t="shared" si="13"/>
        <v>12</v>
      </c>
      <c r="FE12" s="246">
        <f t="shared" si="8"/>
        <v>144</v>
      </c>
      <c r="FF12" s="247">
        <f t="shared" si="8"/>
        <v>48</v>
      </c>
      <c r="FG12" s="247">
        <f t="shared" si="8"/>
        <v>48</v>
      </c>
      <c r="FH12" s="247">
        <f t="shared" si="8"/>
        <v>48</v>
      </c>
      <c r="FI12" s="247" t="str">
        <f t="shared" si="8"/>
        <v xml:space="preserve"> </v>
      </c>
      <c r="FJ12" s="247" t="str">
        <f t="shared" si="8"/>
        <v xml:space="preserve"> </v>
      </c>
      <c r="FK12" s="247" t="str">
        <f t="shared" si="8"/>
        <v xml:space="preserve"> </v>
      </c>
      <c r="FL12" s="247" t="str">
        <f t="shared" si="8"/>
        <v xml:space="preserve"> </v>
      </c>
      <c r="FM12" s="247" t="str">
        <f t="shared" si="8"/>
        <v xml:space="preserve"> </v>
      </c>
      <c r="FN12" s="247" t="str">
        <f t="shared" si="8"/>
        <v xml:space="preserve"> </v>
      </c>
      <c r="FO12" s="247" t="str">
        <f t="shared" si="8"/>
        <v xml:space="preserve"> </v>
      </c>
      <c r="FP12" s="247" t="str">
        <f t="shared" si="8"/>
        <v xml:space="preserve"> </v>
      </c>
      <c r="FQ12" s="247" t="str">
        <f t="shared" si="8"/>
        <v xml:space="preserve"> </v>
      </c>
      <c r="FR12" s="247" t="str">
        <f t="shared" si="8"/>
        <v xml:space="preserve"> </v>
      </c>
      <c r="FS12" s="247" t="str">
        <f t="shared" si="8"/>
        <v xml:space="preserve"> </v>
      </c>
      <c r="FT12" s="247" t="str">
        <f t="shared" si="8"/>
        <v xml:space="preserve"> </v>
      </c>
      <c r="FU12" s="247" t="str">
        <f t="shared" si="8"/>
        <v xml:space="preserve"> </v>
      </c>
      <c r="FV12" s="247">
        <f t="shared" si="8"/>
        <v>0</v>
      </c>
      <c r="FW12" s="248">
        <f t="shared" si="8"/>
        <v>2</v>
      </c>
      <c r="FX12" s="241">
        <f t="shared" si="8"/>
        <v>144</v>
      </c>
      <c r="FZ12" s="249">
        <v>12</v>
      </c>
      <c r="GA12" s="244">
        <v>144</v>
      </c>
      <c r="GB12" s="90">
        <v>42</v>
      </c>
      <c r="GC12" s="90">
        <v>60</v>
      </c>
      <c r="GD12" s="90">
        <v>42</v>
      </c>
      <c r="GE12" s="90" t="s">
        <v>1137</v>
      </c>
      <c r="GF12" s="90" t="s">
        <v>1137</v>
      </c>
      <c r="GG12" s="90" t="s">
        <v>1137</v>
      </c>
      <c r="GH12" s="90" t="s">
        <v>1137</v>
      </c>
      <c r="GI12" s="90" t="s">
        <v>1137</v>
      </c>
      <c r="GJ12" s="90" t="s">
        <v>1137</v>
      </c>
      <c r="GK12" s="90" t="s">
        <v>1137</v>
      </c>
      <c r="GL12" s="90" t="s">
        <v>1137</v>
      </c>
      <c r="GM12" s="90" t="s">
        <v>1137</v>
      </c>
      <c r="GN12" s="90" t="s">
        <v>1137</v>
      </c>
      <c r="GO12" s="90" t="s">
        <v>1137</v>
      </c>
      <c r="GP12" s="90" t="s">
        <v>1137</v>
      </c>
      <c r="GQ12" s="90" t="s">
        <v>1137</v>
      </c>
      <c r="GR12" s="90"/>
      <c r="GS12" s="224">
        <v>2</v>
      </c>
      <c r="GT12" s="245">
        <f t="shared" si="14"/>
        <v>144</v>
      </c>
      <c r="GV12" s="237">
        <f t="shared" si="15"/>
        <v>12</v>
      </c>
      <c r="GW12" s="246">
        <f t="shared" si="9"/>
        <v>144</v>
      </c>
      <c r="GX12" s="247">
        <f t="shared" si="9"/>
        <v>42</v>
      </c>
      <c r="GY12" s="247">
        <f t="shared" si="9"/>
        <v>60</v>
      </c>
      <c r="GZ12" s="247">
        <f t="shared" si="9"/>
        <v>42</v>
      </c>
      <c r="HA12" s="247" t="str">
        <f t="shared" si="9"/>
        <v xml:space="preserve"> </v>
      </c>
      <c r="HB12" s="247" t="str">
        <f t="shared" si="9"/>
        <v xml:space="preserve"> </v>
      </c>
      <c r="HC12" s="247" t="str">
        <f t="shared" si="9"/>
        <v xml:space="preserve"> </v>
      </c>
      <c r="HD12" s="247" t="str">
        <f t="shared" si="9"/>
        <v xml:space="preserve"> </v>
      </c>
      <c r="HE12" s="247" t="str">
        <f t="shared" si="9"/>
        <v xml:space="preserve"> </v>
      </c>
      <c r="HF12" s="247" t="str">
        <f t="shared" si="9"/>
        <v xml:space="preserve"> </v>
      </c>
      <c r="HG12" s="247" t="str">
        <f t="shared" si="9"/>
        <v xml:space="preserve"> </v>
      </c>
      <c r="HH12" s="247" t="str">
        <f t="shared" si="9"/>
        <v xml:space="preserve"> </v>
      </c>
      <c r="HI12" s="247" t="str">
        <f t="shared" si="9"/>
        <v xml:space="preserve"> </v>
      </c>
      <c r="HJ12" s="247" t="str">
        <f t="shared" si="9"/>
        <v xml:space="preserve"> </v>
      </c>
      <c r="HK12" s="247" t="str">
        <f t="shared" si="9"/>
        <v xml:space="preserve"> </v>
      </c>
      <c r="HL12" s="247" t="str">
        <f t="shared" si="9"/>
        <v xml:space="preserve"> </v>
      </c>
      <c r="HM12" s="247" t="str">
        <f t="shared" si="10"/>
        <v xml:space="preserve"> </v>
      </c>
      <c r="HN12" s="247">
        <f t="shared" si="10"/>
        <v>0</v>
      </c>
      <c r="HO12" s="248">
        <f t="shared" si="10"/>
        <v>2</v>
      </c>
      <c r="HP12" s="241">
        <f t="shared" si="10"/>
        <v>144</v>
      </c>
      <c r="HR12" s="243">
        <v>12</v>
      </c>
      <c r="HS12" s="244">
        <v>144</v>
      </c>
      <c r="HT12" s="90">
        <v>72</v>
      </c>
      <c r="HU12" s="90">
        <v>72</v>
      </c>
      <c r="HV12" s="90"/>
      <c r="HW12" s="90"/>
      <c r="HX12" s="90"/>
      <c r="HY12" s="90"/>
      <c r="HZ12" s="90"/>
      <c r="IA12" s="90"/>
      <c r="IB12" s="90"/>
      <c r="IC12" s="90"/>
      <c r="ID12" s="90"/>
      <c r="IE12" s="90"/>
      <c r="IF12" s="90"/>
      <c r="IG12" s="90"/>
      <c r="IH12" s="90"/>
      <c r="II12" s="90"/>
      <c r="IJ12" s="90"/>
      <c r="IK12" s="224">
        <v>1</v>
      </c>
      <c r="IL12" s="245">
        <f t="shared" si="16"/>
        <v>144</v>
      </c>
      <c r="IN12" s="243">
        <v>12</v>
      </c>
      <c r="IO12" s="244">
        <v>144</v>
      </c>
      <c r="IP12" s="90">
        <v>72</v>
      </c>
      <c r="IQ12" s="90">
        <v>72</v>
      </c>
      <c r="IR12" s="90"/>
      <c r="IS12" s="90"/>
      <c r="IT12" s="90"/>
      <c r="IU12" s="90"/>
      <c r="IV12" s="90"/>
      <c r="IW12" s="90"/>
      <c r="IX12" s="90"/>
      <c r="IY12" s="90"/>
      <c r="IZ12" s="90"/>
      <c r="JA12" s="90"/>
      <c r="JB12" s="90"/>
      <c r="JC12" s="90"/>
      <c r="JD12" s="90"/>
      <c r="JE12" s="90"/>
      <c r="JF12" s="90"/>
      <c r="JG12" s="224">
        <v>1</v>
      </c>
      <c r="JH12" s="245">
        <f t="shared" si="17"/>
        <v>144</v>
      </c>
      <c r="JJ12" s="249">
        <v>12</v>
      </c>
      <c r="JK12" s="244">
        <v>144</v>
      </c>
      <c r="JL12" s="90">
        <v>72</v>
      </c>
      <c r="JM12" s="90">
        <v>72</v>
      </c>
      <c r="JN12" s="90"/>
      <c r="JO12" s="90"/>
      <c r="JP12" s="90"/>
      <c r="JQ12" s="90"/>
      <c r="JR12" s="90"/>
      <c r="JS12" s="90"/>
      <c r="JT12" s="90"/>
      <c r="JU12" s="90"/>
      <c r="JV12" s="90"/>
      <c r="JW12" s="90"/>
      <c r="JX12" s="90"/>
      <c r="JY12" s="90"/>
      <c r="JZ12" s="90"/>
      <c r="KA12" s="90"/>
      <c r="KB12" s="90"/>
      <c r="KC12" s="224">
        <v>1</v>
      </c>
      <c r="KD12" s="245">
        <f t="shared" si="18"/>
        <v>144</v>
      </c>
      <c r="KF12" s="243">
        <v>12</v>
      </c>
      <c r="KG12" s="244">
        <v>144</v>
      </c>
      <c r="KH12" s="90">
        <v>45</v>
      </c>
      <c r="KI12" s="90">
        <v>54</v>
      </c>
      <c r="KJ12" s="90">
        <v>45</v>
      </c>
      <c r="KK12" s="90"/>
      <c r="KL12" s="90"/>
      <c r="KM12" s="90"/>
      <c r="KN12" s="90"/>
      <c r="KO12" s="90"/>
      <c r="KP12" s="90"/>
      <c r="KQ12" s="90"/>
      <c r="KR12" s="90"/>
      <c r="KS12" s="90"/>
      <c r="KT12" s="90"/>
      <c r="KU12" s="90"/>
      <c r="KV12" s="90"/>
      <c r="KW12" s="90"/>
      <c r="KX12" s="90"/>
      <c r="KY12" s="224">
        <v>2</v>
      </c>
      <c r="KZ12" s="245">
        <f t="shared" si="19"/>
        <v>144</v>
      </c>
      <c r="LB12" s="237">
        <f t="shared" si="20"/>
        <v>12</v>
      </c>
      <c r="LC12" s="284">
        <f t="shared" si="21"/>
        <v>144</v>
      </c>
      <c r="LD12" s="237">
        <f t="shared" si="22"/>
        <v>45</v>
      </c>
      <c r="LE12" s="237">
        <f t="shared" si="23"/>
        <v>54</v>
      </c>
      <c r="LF12" s="237">
        <f t="shared" si="24"/>
        <v>45</v>
      </c>
      <c r="LG12" s="237">
        <f t="shared" si="25"/>
        <v>0</v>
      </c>
      <c r="LH12" s="237">
        <f t="shared" si="26"/>
        <v>0</v>
      </c>
      <c r="LI12" s="237">
        <f t="shared" si="27"/>
        <v>0</v>
      </c>
      <c r="LJ12" s="237">
        <f t="shared" si="28"/>
        <v>0</v>
      </c>
      <c r="LK12" s="237">
        <f t="shared" si="29"/>
        <v>0</v>
      </c>
      <c r="LL12" s="237">
        <f t="shared" si="30"/>
        <v>0</v>
      </c>
      <c r="LM12" s="237">
        <f t="shared" si="31"/>
        <v>0</v>
      </c>
      <c r="LN12" s="237">
        <f t="shared" si="32"/>
        <v>0</v>
      </c>
      <c r="LO12" s="237">
        <f t="shared" si="33"/>
        <v>0</v>
      </c>
      <c r="LP12" s="237">
        <f t="shared" si="34"/>
        <v>0</v>
      </c>
      <c r="LQ12" s="237">
        <f t="shared" si="35"/>
        <v>0</v>
      </c>
      <c r="LR12" s="237">
        <f t="shared" si="36"/>
        <v>0</v>
      </c>
      <c r="LS12" s="237">
        <f t="shared" si="37"/>
        <v>0</v>
      </c>
      <c r="LT12" s="237">
        <f t="shared" si="38"/>
        <v>0</v>
      </c>
      <c r="LU12" s="285">
        <f t="shared" si="39"/>
        <v>2</v>
      </c>
      <c r="LV12" s="280">
        <f t="shared" si="40"/>
        <v>144</v>
      </c>
      <c r="LX12" s="237">
        <f t="shared" si="41"/>
        <v>12</v>
      </c>
      <c r="LY12" s="284">
        <f t="shared" si="42"/>
        <v>144</v>
      </c>
      <c r="LZ12" s="237">
        <f t="shared" si="43"/>
        <v>45</v>
      </c>
      <c r="MA12" s="237">
        <f t="shared" si="44"/>
        <v>54</v>
      </c>
      <c r="MB12" s="237">
        <f t="shared" si="45"/>
        <v>45</v>
      </c>
      <c r="MC12" s="237">
        <f t="shared" si="46"/>
        <v>0</v>
      </c>
      <c r="MD12" s="237">
        <f t="shared" si="47"/>
        <v>0</v>
      </c>
      <c r="ME12" s="237">
        <f t="shared" si="48"/>
        <v>0</v>
      </c>
      <c r="MF12" s="237">
        <f t="shared" si="49"/>
        <v>0</v>
      </c>
      <c r="MG12" s="237">
        <f t="shared" si="50"/>
        <v>0</v>
      </c>
      <c r="MH12" s="237">
        <f t="shared" si="51"/>
        <v>0</v>
      </c>
      <c r="MI12" s="237">
        <f t="shared" si="52"/>
        <v>0</v>
      </c>
      <c r="MJ12" s="237">
        <f t="shared" si="53"/>
        <v>0</v>
      </c>
      <c r="MK12" s="237">
        <f t="shared" si="54"/>
        <v>0</v>
      </c>
      <c r="ML12" s="237">
        <f t="shared" si="55"/>
        <v>0</v>
      </c>
      <c r="MM12" s="237">
        <f t="shared" si="56"/>
        <v>0</v>
      </c>
      <c r="MN12" s="237">
        <f t="shared" si="57"/>
        <v>0</v>
      </c>
      <c r="MO12" s="237">
        <f t="shared" si="58"/>
        <v>0</v>
      </c>
      <c r="MP12" s="237">
        <f t="shared" si="59"/>
        <v>0</v>
      </c>
      <c r="MQ12" s="285">
        <f t="shared" si="60"/>
        <v>2</v>
      </c>
      <c r="MR12" s="280">
        <f t="shared" si="61"/>
        <v>144</v>
      </c>
      <c r="MT12" s="237">
        <f t="shared" si="62"/>
        <v>12</v>
      </c>
      <c r="MU12" s="284">
        <f t="shared" si="63"/>
        <v>144</v>
      </c>
      <c r="MV12" s="237">
        <f t="shared" si="64"/>
        <v>45</v>
      </c>
      <c r="MW12" s="237">
        <f t="shared" si="65"/>
        <v>54</v>
      </c>
      <c r="MX12" s="237">
        <f t="shared" si="66"/>
        <v>45</v>
      </c>
      <c r="MY12" s="237">
        <f t="shared" si="67"/>
        <v>0</v>
      </c>
      <c r="MZ12" s="237">
        <f t="shared" si="68"/>
        <v>0</v>
      </c>
      <c r="NA12" s="237">
        <f t="shared" si="69"/>
        <v>0</v>
      </c>
      <c r="NB12" s="237">
        <f t="shared" si="70"/>
        <v>0</v>
      </c>
      <c r="NC12" s="237">
        <f t="shared" si="71"/>
        <v>0</v>
      </c>
      <c r="ND12" s="237">
        <f t="shared" si="72"/>
        <v>0</v>
      </c>
      <c r="NE12" s="237">
        <f t="shared" si="73"/>
        <v>0</v>
      </c>
      <c r="NF12" s="237">
        <f t="shared" si="74"/>
        <v>0</v>
      </c>
      <c r="NG12" s="237">
        <f t="shared" si="75"/>
        <v>0</v>
      </c>
      <c r="NH12" s="237">
        <f t="shared" si="76"/>
        <v>0</v>
      </c>
      <c r="NI12" s="237">
        <f t="shared" si="77"/>
        <v>0</v>
      </c>
      <c r="NJ12" s="237">
        <f t="shared" si="78"/>
        <v>0</v>
      </c>
      <c r="NK12" s="237">
        <f t="shared" si="79"/>
        <v>0</v>
      </c>
      <c r="NL12" s="237">
        <f t="shared" si="80"/>
        <v>0</v>
      </c>
      <c r="NM12" s="285">
        <f t="shared" si="81"/>
        <v>2</v>
      </c>
      <c r="NN12" s="280">
        <f t="shared" si="82"/>
        <v>144</v>
      </c>
      <c r="NP12" s="237">
        <f t="shared" si="83"/>
        <v>12</v>
      </c>
      <c r="NQ12" s="284">
        <f t="shared" si="84"/>
        <v>144</v>
      </c>
      <c r="NR12" s="237">
        <f t="shared" si="85"/>
        <v>45</v>
      </c>
      <c r="NS12" s="237">
        <f t="shared" si="86"/>
        <v>54</v>
      </c>
      <c r="NT12" s="237">
        <f t="shared" si="87"/>
        <v>45</v>
      </c>
      <c r="NU12" s="237">
        <f t="shared" si="88"/>
        <v>0</v>
      </c>
      <c r="NV12" s="237">
        <f t="shared" si="89"/>
        <v>0</v>
      </c>
      <c r="NW12" s="237">
        <f t="shared" si="90"/>
        <v>0</v>
      </c>
      <c r="NX12" s="237">
        <f t="shared" si="91"/>
        <v>0</v>
      </c>
      <c r="NY12" s="237">
        <f t="shared" si="92"/>
        <v>0</v>
      </c>
      <c r="NZ12" s="237">
        <f t="shared" si="93"/>
        <v>0</v>
      </c>
      <c r="OA12" s="237">
        <f t="shared" si="94"/>
        <v>0</v>
      </c>
      <c r="OB12" s="237">
        <f t="shared" si="95"/>
        <v>0</v>
      </c>
      <c r="OC12" s="237">
        <f t="shared" si="96"/>
        <v>0</v>
      </c>
      <c r="OD12" s="237">
        <f t="shared" si="97"/>
        <v>0</v>
      </c>
      <c r="OE12" s="237">
        <f t="shared" si="98"/>
        <v>0</v>
      </c>
      <c r="OF12" s="237">
        <f t="shared" si="99"/>
        <v>0</v>
      </c>
      <c r="OG12" s="237">
        <f t="shared" si="100"/>
        <v>0</v>
      </c>
      <c r="OH12" s="237">
        <f t="shared" si="101"/>
        <v>0</v>
      </c>
      <c r="OI12" s="285">
        <f t="shared" si="102"/>
        <v>2</v>
      </c>
      <c r="OJ12" s="280">
        <f t="shared" si="103"/>
        <v>144</v>
      </c>
    </row>
    <row r="13" spans="2:400" x14ac:dyDescent="0.3">
      <c r="L13" s="127" t="str">
        <f t="shared" si="5"/>
        <v>C10x20</v>
      </c>
      <c r="M13" s="138">
        <v>20</v>
      </c>
      <c r="N13" s="138">
        <v>5.88</v>
      </c>
      <c r="O13" s="138">
        <v>10</v>
      </c>
      <c r="P13" s="138">
        <v>0.37899999999999995</v>
      </c>
      <c r="Q13" s="138">
        <v>2.7389999999999999</v>
      </c>
      <c r="R13" s="138">
        <v>0.436</v>
      </c>
      <c r="S13" s="138">
        <v>0.33999999999999997</v>
      </c>
      <c r="T13" s="138">
        <v>0.14000000000000001</v>
      </c>
      <c r="U13">
        <v>9.4629999999999992</v>
      </c>
      <c r="V13" s="138">
        <f t="shared" si="6"/>
        <v>0.12072261643032681</v>
      </c>
      <c r="W13" s="139">
        <f t="shared" si="7"/>
        <v>20</v>
      </c>
      <c r="X13" s="140"/>
      <c r="Y13" s="141">
        <v>1</v>
      </c>
      <c r="Z13" s="141">
        <v>8</v>
      </c>
      <c r="AA13" s="133" t="s">
        <v>85</v>
      </c>
      <c r="AE13" s="127" t="str">
        <f t="shared" si="0"/>
        <v>L2x2x0.1875</v>
      </c>
      <c r="AF13" s="138">
        <v>2</v>
      </c>
      <c r="AG13" s="138">
        <v>2</v>
      </c>
      <c r="AH13" s="138">
        <v>0.18750000000000003</v>
      </c>
      <c r="AI13" s="138">
        <v>0.18750000000000003</v>
      </c>
      <c r="AJ13" s="138">
        <v>0.18750000000000003</v>
      </c>
      <c r="AK13">
        <f t="shared" si="1"/>
        <v>2.0000000000000001E-4</v>
      </c>
      <c r="AL13" t="s">
        <v>122</v>
      </c>
      <c r="AM13" s="133" t="s">
        <v>85</v>
      </c>
      <c r="AP13" s="127" t="str">
        <f t="shared" si="2"/>
        <v>S18x70</v>
      </c>
      <c r="AQ13">
        <v>18</v>
      </c>
      <c r="AR13" s="138">
        <v>70</v>
      </c>
      <c r="AS13" s="138">
        <v>18</v>
      </c>
      <c r="AT13" s="138">
        <v>0.71099999999999997</v>
      </c>
      <c r="AU13" s="138">
        <v>6.2510000000000003</v>
      </c>
      <c r="AV13" s="138">
        <v>0.69099999999999995</v>
      </c>
      <c r="AW13" s="138">
        <v>0.56000000000000005</v>
      </c>
      <c r="AX13" s="138">
        <v>0.28000000000000003</v>
      </c>
      <c r="AY13">
        <v>9.4630000000000312</v>
      </c>
      <c r="AZ13" s="138">
        <f t="shared" si="3"/>
        <v>15.207528694307484</v>
      </c>
      <c r="BA13" s="133" t="s">
        <v>85</v>
      </c>
      <c r="BD13" s="143" t="str">
        <f t="shared" si="4"/>
        <v>W8x10</v>
      </c>
      <c r="BE13">
        <v>8</v>
      </c>
      <c r="BF13" s="138">
        <v>10</v>
      </c>
      <c r="BG13" s="138">
        <v>7.8899999999999988</v>
      </c>
      <c r="BH13" s="138">
        <v>0.16999999999999998</v>
      </c>
      <c r="BI13" s="138">
        <v>3.94</v>
      </c>
      <c r="BJ13" s="138">
        <v>0.20499999999999999</v>
      </c>
      <c r="BK13" s="138">
        <v>0.3</v>
      </c>
      <c r="BM13" s="133" t="s">
        <v>85</v>
      </c>
      <c r="BO13" s="150" t="s">
        <v>285</v>
      </c>
      <c r="BP13" s="138">
        <v>45</v>
      </c>
      <c r="BQ13" s="144">
        <v>12.000000000000002</v>
      </c>
      <c r="BR13" s="144">
        <v>0.71199999999999997</v>
      </c>
      <c r="BS13" s="144">
        <v>4.0119999999999996</v>
      </c>
      <c r="BT13" s="144">
        <v>0.7</v>
      </c>
      <c r="BU13" s="144">
        <v>0.5</v>
      </c>
      <c r="BV13" s="144">
        <v>0.3</v>
      </c>
      <c r="BW13" s="138">
        <v>9.4629999999999992</v>
      </c>
      <c r="BX13" s="138">
        <v>0.17084486004440258</v>
      </c>
      <c r="BY13" s="138">
        <v>9.2028429485192316</v>
      </c>
      <c r="BZ13" s="138">
        <v>1.3985785257403851</v>
      </c>
      <c r="CB13">
        <v>1.3125</v>
      </c>
      <c r="CC13">
        <v>9.3750000000000018</v>
      </c>
      <c r="CD13" s="151" t="s">
        <v>85</v>
      </c>
      <c r="CF13" s="150" t="s">
        <v>285</v>
      </c>
      <c r="CG13">
        <v>1.3125</v>
      </c>
      <c r="CH13">
        <v>9.3750000000000018</v>
      </c>
      <c r="CI13" s="151" t="s">
        <v>261</v>
      </c>
      <c r="CP13" s="244">
        <v>4</v>
      </c>
      <c r="CQ13" s="90" t="s">
        <v>264</v>
      </c>
      <c r="CR13" s="224" t="s">
        <v>261</v>
      </c>
      <c r="CT13" s="150" t="s">
        <v>264</v>
      </c>
      <c r="CU13">
        <v>11</v>
      </c>
      <c r="CV13">
        <v>1.375</v>
      </c>
      <c r="CW13">
        <v>0.375</v>
      </c>
      <c r="CX13">
        <v>13.0625</v>
      </c>
      <c r="CY13">
        <v>0.9375</v>
      </c>
      <c r="CZ13">
        <v>0.375</v>
      </c>
      <c r="DA13">
        <v>13.125</v>
      </c>
      <c r="DB13">
        <v>15</v>
      </c>
      <c r="DC13" s="3">
        <v>4</v>
      </c>
      <c r="DD13" s="151" t="s">
        <v>261</v>
      </c>
      <c r="DG13" s="90" t="s">
        <v>1056</v>
      </c>
      <c r="DH13" s="90">
        <v>0.25</v>
      </c>
      <c r="DI13" s="90" t="s">
        <v>261</v>
      </c>
      <c r="DO13" s="196">
        <v>1</v>
      </c>
      <c r="DU13" s="220">
        <f t="shared" si="11"/>
        <v>264</v>
      </c>
      <c r="DV13" s="221">
        <v>22</v>
      </c>
      <c r="DW13" s="221">
        <v>3</v>
      </c>
      <c r="DX13" s="221">
        <v>66</v>
      </c>
      <c r="DY13" s="223">
        <f t="shared" si="104"/>
        <v>66</v>
      </c>
      <c r="DZ13" s="221">
        <v>132</v>
      </c>
      <c r="EA13" s="224" t="s">
        <v>261</v>
      </c>
      <c r="EH13" s="232">
        <v>13</v>
      </c>
      <c r="EI13" s="256">
        <v>156</v>
      </c>
      <c r="EJ13" s="257">
        <v>30</v>
      </c>
      <c r="EK13" s="257">
        <v>48</v>
      </c>
      <c r="EL13" s="257">
        <v>48</v>
      </c>
      <c r="EM13" s="257">
        <v>30</v>
      </c>
      <c r="EN13" s="257" t="s">
        <v>1137</v>
      </c>
      <c r="EO13" s="257" t="s">
        <v>1137</v>
      </c>
      <c r="EP13" s="257" t="s">
        <v>1137</v>
      </c>
      <c r="EQ13" s="257" t="s">
        <v>1137</v>
      </c>
      <c r="ER13" s="257" t="s">
        <v>1137</v>
      </c>
      <c r="ES13" s="257" t="s">
        <v>1137</v>
      </c>
      <c r="ET13" s="257" t="s">
        <v>1137</v>
      </c>
      <c r="EU13" s="257" t="s">
        <v>1137</v>
      </c>
      <c r="EV13" s="257" t="s">
        <v>1137</v>
      </c>
      <c r="EW13" s="257" t="s">
        <v>1137</v>
      </c>
      <c r="EX13" s="257" t="s">
        <v>1137</v>
      </c>
      <c r="EY13" s="257" t="s">
        <v>1137</v>
      </c>
      <c r="EZ13" s="257"/>
      <c r="FA13" s="258">
        <v>3</v>
      </c>
      <c r="FB13" s="236">
        <f t="shared" si="12"/>
        <v>156</v>
      </c>
      <c r="FD13" s="237">
        <f t="shared" si="13"/>
        <v>13</v>
      </c>
      <c r="FE13" s="246">
        <f t="shared" si="8"/>
        <v>156</v>
      </c>
      <c r="FF13" s="247">
        <f t="shared" si="8"/>
        <v>30</v>
      </c>
      <c r="FG13" s="247">
        <f t="shared" si="8"/>
        <v>48</v>
      </c>
      <c r="FH13" s="247">
        <f t="shared" si="8"/>
        <v>48</v>
      </c>
      <c r="FI13" s="247">
        <f t="shared" si="8"/>
        <v>30</v>
      </c>
      <c r="FJ13" s="247" t="str">
        <f t="shared" si="8"/>
        <v xml:space="preserve"> </v>
      </c>
      <c r="FK13" s="247" t="str">
        <f t="shared" si="8"/>
        <v xml:space="preserve"> </v>
      </c>
      <c r="FL13" s="247" t="str">
        <f t="shared" si="8"/>
        <v xml:space="preserve"> </v>
      </c>
      <c r="FM13" s="247" t="str">
        <f t="shared" si="8"/>
        <v xml:space="preserve"> </v>
      </c>
      <c r="FN13" s="247" t="str">
        <f t="shared" si="8"/>
        <v xml:space="preserve"> </v>
      </c>
      <c r="FO13" s="247" t="str">
        <f t="shared" si="8"/>
        <v xml:space="preserve"> </v>
      </c>
      <c r="FP13" s="247" t="str">
        <f t="shared" si="8"/>
        <v xml:space="preserve"> </v>
      </c>
      <c r="FQ13" s="247" t="str">
        <f t="shared" si="8"/>
        <v xml:space="preserve"> </v>
      </c>
      <c r="FR13" s="247" t="str">
        <f t="shared" si="8"/>
        <v xml:space="preserve"> </v>
      </c>
      <c r="FS13" s="247" t="str">
        <f t="shared" si="8"/>
        <v xml:space="preserve"> </v>
      </c>
      <c r="FT13" s="247" t="str">
        <f t="shared" si="8"/>
        <v xml:space="preserve"> </v>
      </c>
      <c r="FU13" s="247" t="str">
        <f t="shared" si="8"/>
        <v xml:space="preserve"> </v>
      </c>
      <c r="FV13" s="247">
        <f t="shared" si="8"/>
        <v>0</v>
      </c>
      <c r="FW13" s="248">
        <f t="shared" si="8"/>
        <v>3</v>
      </c>
      <c r="FX13" s="241">
        <f t="shared" si="8"/>
        <v>156</v>
      </c>
      <c r="FZ13" s="242">
        <v>13</v>
      </c>
      <c r="GA13" s="256">
        <v>156</v>
      </c>
      <c r="GB13" s="257">
        <v>48</v>
      </c>
      <c r="GC13" s="257">
        <v>60</v>
      </c>
      <c r="GD13" s="257">
        <v>48</v>
      </c>
      <c r="GE13" s="257"/>
      <c r="GF13" s="257" t="s">
        <v>1137</v>
      </c>
      <c r="GG13" s="257" t="s">
        <v>1137</v>
      </c>
      <c r="GH13" s="257" t="s">
        <v>1137</v>
      </c>
      <c r="GI13" s="257" t="s">
        <v>1137</v>
      </c>
      <c r="GJ13" s="257" t="s">
        <v>1137</v>
      </c>
      <c r="GK13" s="257" t="s">
        <v>1137</v>
      </c>
      <c r="GL13" s="257" t="s">
        <v>1137</v>
      </c>
      <c r="GM13" s="257" t="s">
        <v>1137</v>
      </c>
      <c r="GN13" s="257" t="s">
        <v>1137</v>
      </c>
      <c r="GO13" s="257" t="s">
        <v>1137</v>
      </c>
      <c r="GP13" s="257" t="s">
        <v>1137</v>
      </c>
      <c r="GQ13" s="257" t="s">
        <v>1137</v>
      </c>
      <c r="GR13" s="257"/>
      <c r="GS13" s="258">
        <v>2</v>
      </c>
      <c r="GT13" s="236">
        <f t="shared" si="14"/>
        <v>156</v>
      </c>
      <c r="GV13" s="237">
        <f t="shared" si="15"/>
        <v>13</v>
      </c>
      <c r="GW13" s="246">
        <f t="shared" si="9"/>
        <v>156</v>
      </c>
      <c r="GX13" s="247">
        <f t="shared" si="9"/>
        <v>48</v>
      </c>
      <c r="GY13" s="247">
        <f t="shared" si="9"/>
        <v>60</v>
      </c>
      <c r="GZ13" s="247">
        <f t="shared" si="9"/>
        <v>48</v>
      </c>
      <c r="HA13" s="247">
        <f t="shared" si="9"/>
        <v>0</v>
      </c>
      <c r="HB13" s="247" t="str">
        <f t="shared" si="9"/>
        <v xml:space="preserve"> </v>
      </c>
      <c r="HC13" s="247" t="str">
        <f t="shared" si="9"/>
        <v xml:space="preserve"> </v>
      </c>
      <c r="HD13" s="247" t="str">
        <f t="shared" si="9"/>
        <v xml:space="preserve"> </v>
      </c>
      <c r="HE13" s="247" t="str">
        <f t="shared" si="9"/>
        <v xml:space="preserve"> </v>
      </c>
      <c r="HF13" s="247" t="str">
        <f t="shared" si="9"/>
        <v xml:space="preserve"> </v>
      </c>
      <c r="HG13" s="247" t="str">
        <f t="shared" si="9"/>
        <v xml:space="preserve"> </v>
      </c>
      <c r="HH13" s="247" t="str">
        <f t="shared" si="9"/>
        <v xml:space="preserve"> </v>
      </c>
      <c r="HI13" s="247" t="str">
        <f t="shared" si="9"/>
        <v xml:space="preserve"> </v>
      </c>
      <c r="HJ13" s="247" t="str">
        <f t="shared" si="9"/>
        <v xml:space="preserve"> </v>
      </c>
      <c r="HK13" s="247" t="str">
        <f t="shared" si="9"/>
        <v xml:space="preserve"> </v>
      </c>
      <c r="HL13" s="247" t="str">
        <f t="shared" si="9"/>
        <v xml:space="preserve"> </v>
      </c>
      <c r="HM13" s="247" t="str">
        <f t="shared" si="10"/>
        <v xml:space="preserve"> </v>
      </c>
      <c r="HN13" s="247">
        <f t="shared" si="10"/>
        <v>0</v>
      </c>
      <c r="HO13" s="248">
        <f t="shared" si="10"/>
        <v>2</v>
      </c>
      <c r="HP13" s="241">
        <f t="shared" si="10"/>
        <v>156</v>
      </c>
      <c r="HR13" s="232">
        <v>13</v>
      </c>
      <c r="HS13" s="256">
        <v>156</v>
      </c>
      <c r="HT13" s="257">
        <v>42</v>
      </c>
      <c r="HU13" s="257">
        <v>72</v>
      </c>
      <c r="HV13" s="257">
        <v>42</v>
      </c>
      <c r="HW13" s="257"/>
      <c r="HX13" s="257"/>
      <c r="HY13" s="257"/>
      <c r="HZ13" s="257"/>
      <c r="IA13" s="257"/>
      <c r="IB13" s="257"/>
      <c r="IC13" s="257"/>
      <c r="ID13" s="257"/>
      <c r="IE13" s="257"/>
      <c r="IF13" s="257"/>
      <c r="IG13" s="257"/>
      <c r="IH13" s="257"/>
      <c r="II13" s="257"/>
      <c r="IJ13" s="257"/>
      <c r="IK13" s="258">
        <v>2</v>
      </c>
      <c r="IL13" s="236">
        <f t="shared" si="16"/>
        <v>156</v>
      </c>
      <c r="IN13" s="232">
        <v>13</v>
      </c>
      <c r="IO13" s="256">
        <v>156</v>
      </c>
      <c r="IP13" s="257">
        <v>78</v>
      </c>
      <c r="IQ13" s="257">
        <v>78</v>
      </c>
      <c r="IR13" s="257"/>
      <c r="IS13" s="257"/>
      <c r="IT13" s="257"/>
      <c r="IU13" s="257"/>
      <c r="IV13" s="257"/>
      <c r="IW13" s="257"/>
      <c r="IX13" s="257"/>
      <c r="IY13" s="257"/>
      <c r="IZ13" s="257"/>
      <c r="JA13" s="257"/>
      <c r="JB13" s="257"/>
      <c r="JC13" s="257"/>
      <c r="JD13" s="257"/>
      <c r="JE13" s="257"/>
      <c r="JF13" s="257"/>
      <c r="JG13" s="258">
        <v>1</v>
      </c>
      <c r="JH13" s="236">
        <f t="shared" si="17"/>
        <v>156</v>
      </c>
      <c r="JJ13" s="242">
        <v>13</v>
      </c>
      <c r="JK13" s="256">
        <v>156</v>
      </c>
      <c r="JL13" s="257">
        <v>78</v>
      </c>
      <c r="JM13" s="257">
        <v>78</v>
      </c>
      <c r="JN13" s="257"/>
      <c r="JO13" s="257"/>
      <c r="JP13" s="257"/>
      <c r="JQ13" s="257"/>
      <c r="JR13" s="257"/>
      <c r="JS13" s="257"/>
      <c r="JT13" s="257"/>
      <c r="JU13" s="257"/>
      <c r="JV13" s="257"/>
      <c r="JW13" s="257"/>
      <c r="JX13" s="257"/>
      <c r="JY13" s="257"/>
      <c r="JZ13" s="257"/>
      <c r="KA13" s="257"/>
      <c r="KB13" s="257"/>
      <c r="KC13" s="258">
        <v>1</v>
      </c>
      <c r="KD13" s="236">
        <f t="shared" si="18"/>
        <v>156</v>
      </c>
      <c r="KF13" s="232">
        <v>13</v>
      </c>
      <c r="KG13" s="256">
        <v>156</v>
      </c>
      <c r="KH13" s="257">
        <v>51</v>
      </c>
      <c r="KI13" s="257">
        <v>54</v>
      </c>
      <c r="KJ13" s="257">
        <v>51</v>
      </c>
      <c r="KK13" s="257"/>
      <c r="KL13" s="257"/>
      <c r="KM13" s="257"/>
      <c r="KN13" s="257"/>
      <c r="KO13" s="257"/>
      <c r="KP13" s="257"/>
      <c r="KQ13" s="257"/>
      <c r="KR13" s="257"/>
      <c r="KS13" s="257"/>
      <c r="KT13" s="257"/>
      <c r="KU13" s="257"/>
      <c r="KV13" s="257"/>
      <c r="KW13" s="257"/>
      <c r="KX13" s="257"/>
      <c r="KY13" s="258">
        <v>2</v>
      </c>
      <c r="KZ13" s="236">
        <f t="shared" si="19"/>
        <v>156</v>
      </c>
      <c r="LB13" s="237">
        <f t="shared" si="20"/>
        <v>13</v>
      </c>
      <c r="LC13" s="284">
        <f t="shared" si="21"/>
        <v>156</v>
      </c>
      <c r="LD13" s="237">
        <f t="shared" si="22"/>
        <v>51</v>
      </c>
      <c r="LE13" s="237">
        <f t="shared" si="23"/>
        <v>54</v>
      </c>
      <c r="LF13" s="237">
        <f t="shared" si="24"/>
        <v>51</v>
      </c>
      <c r="LG13" s="237">
        <f t="shared" si="25"/>
        <v>0</v>
      </c>
      <c r="LH13" s="237">
        <f t="shared" si="26"/>
        <v>0</v>
      </c>
      <c r="LI13" s="237">
        <f t="shared" si="27"/>
        <v>0</v>
      </c>
      <c r="LJ13" s="237">
        <f t="shared" si="28"/>
        <v>0</v>
      </c>
      <c r="LK13" s="237">
        <f t="shared" si="29"/>
        <v>0</v>
      </c>
      <c r="LL13" s="237">
        <f t="shared" si="30"/>
        <v>0</v>
      </c>
      <c r="LM13" s="237">
        <f t="shared" si="31"/>
        <v>0</v>
      </c>
      <c r="LN13" s="237">
        <f t="shared" si="32"/>
        <v>0</v>
      </c>
      <c r="LO13" s="237">
        <f t="shared" si="33"/>
        <v>0</v>
      </c>
      <c r="LP13" s="237">
        <f t="shared" si="34"/>
        <v>0</v>
      </c>
      <c r="LQ13" s="237">
        <f t="shared" si="35"/>
        <v>0</v>
      </c>
      <c r="LR13" s="237">
        <f t="shared" si="36"/>
        <v>0</v>
      </c>
      <c r="LS13" s="237">
        <f t="shared" si="37"/>
        <v>0</v>
      </c>
      <c r="LT13" s="237">
        <f t="shared" si="38"/>
        <v>0</v>
      </c>
      <c r="LU13" s="285">
        <f t="shared" si="39"/>
        <v>2</v>
      </c>
      <c r="LV13" s="280">
        <f t="shared" si="40"/>
        <v>156</v>
      </c>
      <c r="LX13" s="237">
        <f t="shared" si="41"/>
        <v>13</v>
      </c>
      <c r="LY13" s="284">
        <f t="shared" si="42"/>
        <v>156</v>
      </c>
      <c r="LZ13" s="237">
        <f t="shared" si="43"/>
        <v>51</v>
      </c>
      <c r="MA13" s="237">
        <f t="shared" si="44"/>
        <v>54</v>
      </c>
      <c r="MB13" s="237">
        <f t="shared" si="45"/>
        <v>51</v>
      </c>
      <c r="MC13" s="237">
        <f t="shared" si="46"/>
        <v>0</v>
      </c>
      <c r="MD13" s="237">
        <f t="shared" si="47"/>
        <v>0</v>
      </c>
      <c r="ME13" s="237">
        <f t="shared" si="48"/>
        <v>0</v>
      </c>
      <c r="MF13" s="237">
        <f t="shared" si="49"/>
        <v>0</v>
      </c>
      <c r="MG13" s="237">
        <f t="shared" si="50"/>
        <v>0</v>
      </c>
      <c r="MH13" s="237">
        <f t="shared" si="51"/>
        <v>0</v>
      </c>
      <c r="MI13" s="237">
        <f t="shared" si="52"/>
        <v>0</v>
      </c>
      <c r="MJ13" s="237">
        <f t="shared" si="53"/>
        <v>0</v>
      </c>
      <c r="MK13" s="237">
        <f t="shared" si="54"/>
        <v>0</v>
      </c>
      <c r="ML13" s="237">
        <f t="shared" si="55"/>
        <v>0</v>
      </c>
      <c r="MM13" s="237">
        <f t="shared" si="56"/>
        <v>0</v>
      </c>
      <c r="MN13" s="237">
        <f t="shared" si="57"/>
        <v>0</v>
      </c>
      <c r="MO13" s="237">
        <f t="shared" si="58"/>
        <v>0</v>
      </c>
      <c r="MP13" s="237">
        <f t="shared" si="59"/>
        <v>0</v>
      </c>
      <c r="MQ13" s="285">
        <f t="shared" si="60"/>
        <v>2</v>
      </c>
      <c r="MR13" s="280">
        <f t="shared" si="61"/>
        <v>156</v>
      </c>
      <c r="MT13" s="237">
        <f t="shared" si="62"/>
        <v>13</v>
      </c>
      <c r="MU13" s="284">
        <f t="shared" si="63"/>
        <v>156</v>
      </c>
      <c r="MV13" s="237">
        <f t="shared" si="64"/>
        <v>51</v>
      </c>
      <c r="MW13" s="237">
        <f t="shared" si="65"/>
        <v>54</v>
      </c>
      <c r="MX13" s="237">
        <f t="shared" si="66"/>
        <v>51</v>
      </c>
      <c r="MY13" s="237">
        <f t="shared" si="67"/>
        <v>0</v>
      </c>
      <c r="MZ13" s="237">
        <f t="shared" si="68"/>
        <v>0</v>
      </c>
      <c r="NA13" s="237">
        <f t="shared" si="69"/>
        <v>0</v>
      </c>
      <c r="NB13" s="237">
        <f t="shared" si="70"/>
        <v>0</v>
      </c>
      <c r="NC13" s="237">
        <f t="shared" si="71"/>
        <v>0</v>
      </c>
      <c r="ND13" s="237">
        <f t="shared" si="72"/>
        <v>0</v>
      </c>
      <c r="NE13" s="237">
        <f t="shared" si="73"/>
        <v>0</v>
      </c>
      <c r="NF13" s="237">
        <f t="shared" si="74"/>
        <v>0</v>
      </c>
      <c r="NG13" s="237">
        <f t="shared" si="75"/>
        <v>0</v>
      </c>
      <c r="NH13" s="237">
        <f t="shared" si="76"/>
        <v>0</v>
      </c>
      <c r="NI13" s="237">
        <f t="shared" si="77"/>
        <v>0</v>
      </c>
      <c r="NJ13" s="237">
        <f t="shared" si="78"/>
        <v>0</v>
      </c>
      <c r="NK13" s="237">
        <f t="shared" si="79"/>
        <v>0</v>
      </c>
      <c r="NL13" s="237">
        <f t="shared" si="80"/>
        <v>0</v>
      </c>
      <c r="NM13" s="285">
        <f t="shared" si="81"/>
        <v>2</v>
      </c>
      <c r="NN13" s="280">
        <f t="shared" si="82"/>
        <v>156</v>
      </c>
      <c r="NP13" s="237">
        <f t="shared" si="83"/>
        <v>13</v>
      </c>
      <c r="NQ13" s="284">
        <f t="shared" si="84"/>
        <v>156</v>
      </c>
      <c r="NR13" s="237">
        <f t="shared" si="85"/>
        <v>51</v>
      </c>
      <c r="NS13" s="237">
        <f t="shared" si="86"/>
        <v>54</v>
      </c>
      <c r="NT13" s="237">
        <f t="shared" si="87"/>
        <v>51</v>
      </c>
      <c r="NU13" s="237">
        <f t="shared" si="88"/>
        <v>0</v>
      </c>
      <c r="NV13" s="237">
        <f t="shared" si="89"/>
        <v>0</v>
      </c>
      <c r="NW13" s="237">
        <f t="shared" si="90"/>
        <v>0</v>
      </c>
      <c r="NX13" s="237">
        <f t="shared" si="91"/>
        <v>0</v>
      </c>
      <c r="NY13" s="237">
        <f t="shared" si="92"/>
        <v>0</v>
      </c>
      <c r="NZ13" s="237">
        <f t="shared" si="93"/>
        <v>0</v>
      </c>
      <c r="OA13" s="237">
        <f t="shared" si="94"/>
        <v>0</v>
      </c>
      <c r="OB13" s="237">
        <f t="shared" si="95"/>
        <v>0</v>
      </c>
      <c r="OC13" s="237">
        <f t="shared" si="96"/>
        <v>0</v>
      </c>
      <c r="OD13" s="237">
        <f t="shared" si="97"/>
        <v>0</v>
      </c>
      <c r="OE13" s="237">
        <f t="shared" si="98"/>
        <v>0</v>
      </c>
      <c r="OF13" s="237">
        <f t="shared" si="99"/>
        <v>0</v>
      </c>
      <c r="OG13" s="237">
        <f t="shared" si="100"/>
        <v>0</v>
      </c>
      <c r="OH13" s="237">
        <f t="shared" si="101"/>
        <v>0</v>
      </c>
      <c r="OI13" s="285">
        <f t="shared" si="102"/>
        <v>2</v>
      </c>
      <c r="OJ13" s="280">
        <f t="shared" si="103"/>
        <v>156</v>
      </c>
    </row>
    <row r="14" spans="2:400" x14ac:dyDescent="0.3">
      <c r="L14" s="127" t="str">
        <f t="shared" si="5"/>
        <v>C10x15.3</v>
      </c>
      <c r="M14" s="138">
        <v>15.3</v>
      </c>
      <c r="N14" s="138">
        <v>4.49</v>
      </c>
      <c r="O14" s="138">
        <v>10</v>
      </c>
      <c r="P14" s="138">
        <v>0.24</v>
      </c>
      <c r="Q14" s="138">
        <v>2.6</v>
      </c>
      <c r="R14" s="138">
        <v>0.436</v>
      </c>
      <c r="S14" s="138">
        <v>0.33999999999999997</v>
      </c>
      <c r="T14" s="138">
        <v>0.14000000000000001</v>
      </c>
      <c r="U14">
        <v>9.4629999999999992</v>
      </c>
      <c r="V14" s="138">
        <f t="shared" si="6"/>
        <v>0.12072261643032675</v>
      </c>
      <c r="W14" s="139">
        <f t="shared" si="7"/>
        <v>15.3</v>
      </c>
      <c r="X14" s="140" t="s">
        <v>71</v>
      </c>
      <c r="Y14" s="141">
        <v>1</v>
      </c>
      <c r="Z14" s="141">
        <v>8</v>
      </c>
      <c r="AA14" s="133" t="s">
        <v>85</v>
      </c>
      <c r="AE14" s="127" t="str">
        <f t="shared" si="0"/>
        <v>L2x2x0.25</v>
      </c>
      <c r="AF14" s="138">
        <v>2</v>
      </c>
      <c r="AG14" s="138">
        <v>2</v>
      </c>
      <c r="AH14" s="138">
        <v>0.25</v>
      </c>
      <c r="AI14" s="138">
        <v>0.18750000000000003</v>
      </c>
      <c r="AJ14" s="138">
        <v>0.18750000000000003</v>
      </c>
      <c r="AK14">
        <f t="shared" si="1"/>
        <v>6.2699999999999978E-2</v>
      </c>
      <c r="AL14" t="s">
        <v>121</v>
      </c>
      <c r="AM14" s="133" t="s">
        <v>85</v>
      </c>
      <c r="AP14" s="127" t="str">
        <f t="shared" si="2"/>
        <v>S18x54.7</v>
      </c>
      <c r="AQ14">
        <v>18</v>
      </c>
      <c r="AR14" s="138">
        <v>54.7</v>
      </c>
      <c r="AS14" s="138">
        <v>18</v>
      </c>
      <c r="AT14" s="138">
        <v>0.46100000000000002</v>
      </c>
      <c r="AU14" s="138">
        <v>6.0010000000000012</v>
      </c>
      <c r="AV14" s="138">
        <v>0.69099999999999995</v>
      </c>
      <c r="AW14" s="138">
        <v>0.56000000000000005</v>
      </c>
      <c r="AX14" s="138">
        <v>0.28000000000000003</v>
      </c>
      <c r="AY14">
        <v>9.4630000000000312</v>
      </c>
      <c r="AZ14" s="138">
        <f t="shared" si="3"/>
        <v>15.207528694307484</v>
      </c>
      <c r="BA14" s="133" t="s">
        <v>85</v>
      </c>
      <c r="BD14" s="143" t="str">
        <f t="shared" si="4"/>
        <v>W8x13</v>
      </c>
      <c r="BE14">
        <v>8</v>
      </c>
      <c r="BF14" s="138">
        <v>13</v>
      </c>
      <c r="BG14" s="138">
        <v>7.9899999999999993</v>
      </c>
      <c r="BH14" s="138">
        <v>0.23</v>
      </c>
      <c r="BI14" s="138">
        <v>4</v>
      </c>
      <c r="BJ14" s="138">
        <v>0.255</v>
      </c>
      <c r="BK14" s="138">
        <v>0.3</v>
      </c>
      <c r="BM14" s="133" t="s">
        <v>85</v>
      </c>
      <c r="BO14" s="150" t="s">
        <v>286</v>
      </c>
      <c r="BP14" s="138">
        <v>40</v>
      </c>
      <c r="BQ14" s="144">
        <v>12.000000000000002</v>
      </c>
      <c r="BR14" s="144">
        <v>0.59</v>
      </c>
      <c r="BS14" s="144">
        <v>3.89</v>
      </c>
      <c r="BT14" s="144">
        <v>0.7</v>
      </c>
      <c r="BU14" s="144">
        <v>0.5</v>
      </c>
      <c r="BV14" s="144">
        <v>0.3</v>
      </c>
      <c r="BW14" s="138">
        <v>9.4629999999999992</v>
      </c>
      <c r="BX14" s="138">
        <v>0.17084486004440255</v>
      </c>
      <c r="BY14" s="138">
        <v>9.2028429485192316</v>
      </c>
      <c r="BZ14" s="138">
        <v>1.3985785257403851</v>
      </c>
      <c r="CB14">
        <v>1.3125</v>
      </c>
      <c r="CC14">
        <v>9.3750000000000018</v>
      </c>
      <c r="CD14" s="151" t="s">
        <v>85</v>
      </c>
      <c r="CF14" s="150" t="s">
        <v>286</v>
      </c>
      <c r="CG14">
        <v>1.3125</v>
      </c>
      <c r="CH14">
        <v>9.3750000000000018</v>
      </c>
      <c r="CI14" s="151" t="s">
        <v>261</v>
      </c>
      <c r="CP14" s="244">
        <v>4.5</v>
      </c>
      <c r="CQ14" s="90" t="s">
        <v>265</v>
      </c>
      <c r="CR14" s="224" t="s">
        <v>261</v>
      </c>
      <c r="CT14" s="150" t="s">
        <v>265</v>
      </c>
      <c r="CU14">
        <v>8.5</v>
      </c>
      <c r="CV14">
        <v>0.625</v>
      </c>
      <c r="CW14">
        <v>0.1875</v>
      </c>
      <c r="CX14">
        <v>9.0625</v>
      </c>
      <c r="CY14">
        <v>0.5</v>
      </c>
      <c r="CZ14">
        <v>0.1875</v>
      </c>
      <c r="DA14">
        <v>9.25</v>
      </c>
      <c r="DB14">
        <v>10</v>
      </c>
      <c r="DC14" s="3">
        <v>4.5</v>
      </c>
      <c r="DD14" s="151" t="s">
        <v>261</v>
      </c>
      <c r="DG14" s="90" t="s">
        <v>738</v>
      </c>
      <c r="DH14" s="90">
        <v>0.5</v>
      </c>
      <c r="DI14" s="90" t="s">
        <v>261</v>
      </c>
      <c r="DO14" s="196">
        <v>1.25</v>
      </c>
      <c r="DU14" s="220">
        <f t="shared" si="11"/>
        <v>288</v>
      </c>
      <c r="DV14" s="221">
        <v>24</v>
      </c>
      <c r="DW14" s="221">
        <v>4</v>
      </c>
      <c r="DX14" s="221">
        <v>57</v>
      </c>
      <c r="DY14" s="223">
        <f t="shared" si="104"/>
        <v>58.5</v>
      </c>
      <c r="DZ14" s="221">
        <v>171</v>
      </c>
      <c r="EA14" s="224" t="s">
        <v>261</v>
      </c>
      <c r="EH14" s="243">
        <v>14</v>
      </c>
      <c r="EI14" s="244">
        <v>168</v>
      </c>
      <c r="EJ14" s="90">
        <v>36</v>
      </c>
      <c r="EK14" s="90">
        <v>48</v>
      </c>
      <c r="EL14" s="90">
        <v>48</v>
      </c>
      <c r="EM14" s="90">
        <v>36</v>
      </c>
      <c r="EN14" s="90" t="s">
        <v>1137</v>
      </c>
      <c r="EO14" s="90" t="s">
        <v>1137</v>
      </c>
      <c r="EP14" s="90" t="s">
        <v>1137</v>
      </c>
      <c r="EQ14" s="90" t="s">
        <v>1137</v>
      </c>
      <c r="ER14" s="90" t="s">
        <v>1137</v>
      </c>
      <c r="ES14" s="90" t="s">
        <v>1137</v>
      </c>
      <c r="ET14" s="90" t="s">
        <v>1137</v>
      </c>
      <c r="EU14" s="90" t="s">
        <v>1137</v>
      </c>
      <c r="EV14" s="90" t="s">
        <v>1137</v>
      </c>
      <c r="EW14" s="90" t="s">
        <v>1137</v>
      </c>
      <c r="EX14" s="90" t="s">
        <v>1137</v>
      </c>
      <c r="EY14" s="90" t="s">
        <v>1137</v>
      </c>
      <c r="EZ14" s="90"/>
      <c r="FA14" s="224">
        <v>3</v>
      </c>
      <c r="FB14" s="245">
        <f t="shared" si="12"/>
        <v>168</v>
      </c>
      <c r="FD14" s="237">
        <f t="shared" si="13"/>
        <v>14</v>
      </c>
      <c r="FE14" s="246">
        <f t="shared" si="8"/>
        <v>168</v>
      </c>
      <c r="FF14" s="247">
        <f t="shared" si="8"/>
        <v>36</v>
      </c>
      <c r="FG14" s="247">
        <f t="shared" si="8"/>
        <v>48</v>
      </c>
      <c r="FH14" s="247">
        <f t="shared" si="8"/>
        <v>48</v>
      </c>
      <c r="FI14" s="247">
        <f t="shared" si="8"/>
        <v>36</v>
      </c>
      <c r="FJ14" s="247" t="str">
        <f t="shared" si="8"/>
        <v xml:space="preserve"> </v>
      </c>
      <c r="FK14" s="247" t="str">
        <f t="shared" si="8"/>
        <v xml:space="preserve"> </v>
      </c>
      <c r="FL14" s="247" t="str">
        <f t="shared" si="8"/>
        <v xml:space="preserve"> </v>
      </c>
      <c r="FM14" s="247" t="str">
        <f t="shared" si="8"/>
        <v xml:space="preserve"> </v>
      </c>
      <c r="FN14" s="247" t="str">
        <f t="shared" si="8"/>
        <v xml:space="preserve"> </v>
      </c>
      <c r="FO14" s="247" t="str">
        <f t="shared" si="8"/>
        <v xml:space="preserve"> </v>
      </c>
      <c r="FP14" s="247" t="str">
        <f t="shared" si="8"/>
        <v xml:space="preserve"> </v>
      </c>
      <c r="FQ14" s="247" t="str">
        <f t="shared" si="8"/>
        <v xml:space="preserve"> </v>
      </c>
      <c r="FR14" s="247" t="str">
        <f t="shared" si="8"/>
        <v xml:space="preserve"> </v>
      </c>
      <c r="FS14" s="247" t="str">
        <f t="shared" si="8"/>
        <v xml:space="preserve"> </v>
      </c>
      <c r="FT14" s="247" t="str">
        <f t="shared" si="8"/>
        <v xml:space="preserve"> </v>
      </c>
      <c r="FU14" s="247" t="str">
        <f t="shared" si="8"/>
        <v xml:space="preserve"> </v>
      </c>
      <c r="FV14" s="247">
        <f t="shared" si="8"/>
        <v>0</v>
      </c>
      <c r="FW14" s="248">
        <f t="shared" si="8"/>
        <v>3</v>
      </c>
      <c r="FX14" s="241">
        <f t="shared" si="8"/>
        <v>168</v>
      </c>
      <c r="FZ14" s="249">
        <v>14</v>
      </c>
      <c r="GA14" s="244">
        <v>168</v>
      </c>
      <c r="GB14" s="90">
        <v>54</v>
      </c>
      <c r="GC14" s="90">
        <v>60</v>
      </c>
      <c r="GD14" s="90">
        <v>54</v>
      </c>
      <c r="GE14" s="90"/>
      <c r="GF14" s="90" t="s">
        <v>1137</v>
      </c>
      <c r="GG14" s="90" t="s">
        <v>1137</v>
      </c>
      <c r="GH14" s="90" t="s">
        <v>1137</v>
      </c>
      <c r="GI14" s="90" t="s">
        <v>1137</v>
      </c>
      <c r="GJ14" s="90" t="s">
        <v>1137</v>
      </c>
      <c r="GK14" s="90" t="s">
        <v>1137</v>
      </c>
      <c r="GL14" s="90" t="s">
        <v>1137</v>
      </c>
      <c r="GM14" s="90" t="s">
        <v>1137</v>
      </c>
      <c r="GN14" s="90" t="s">
        <v>1137</v>
      </c>
      <c r="GO14" s="90" t="s">
        <v>1137</v>
      </c>
      <c r="GP14" s="90" t="s">
        <v>1137</v>
      </c>
      <c r="GQ14" s="90" t="s">
        <v>1137</v>
      </c>
      <c r="GR14" s="90"/>
      <c r="GS14" s="224">
        <v>2</v>
      </c>
      <c r="GT14" s="245">
        <f t="shared" si="14"/>
        <v>168</v>
      </c>
      <c r="GV14" s="237">
        <f t="shared" si="15"/>
        <v>14</v>
      </c>
      <c r="GW14" s="246">
        <f t="shared" si="9"/>
        <v>168</v>
      </c>
      <c r="GX14" s="247">
        <f t="shared" si="9"/>
        <v>54</v>
      </c>
      <c r="GY14" s="247">
        <f t="shared" si="9"/>
        <v>60</v>
      </c>
      <c r="GZ14" s="247">
        <f t="shared" si="9"/>
        <v>54</v>
      </c>
      <c r="HA14" s="247">
        <f t="shared" si="9"/>
        <v>0</v>
      </c>
      <c r="HB14" s="247" t="str">
        <f t="shared" si="9"/>
        <v xml:space="preserve"> </v>
      </c>
      <c r="HC14" s="247" t="str">
        <f t="shared" si="9"/>
        <v xml:space="preserve"> </v>
      </c>
      <c r="HD14" s="247" t="str">
        <f t="shared" si="9"/>
        <v xml:space="preserve"> </v>
      </c>
      <c r="HE14" s="247" t="str">
        <f t="shared" si="9"/>
        <v xml:space="preserve"> </v>
      </c>
      <c r="HF14" s="247" t="str">
        <f t="shared" si="9"/>
        <v xml:space="preserve"> </v>
      </c>
      <c r="HG14" s="247" t="str">
        <f t="shared" si="9"/>
        <v xml:space="preserve"> </v>
      </c>
      <c r="HH14" s="247" t="str">
        <f t="shared" si="9"/>
        <v xml:space="preserve"> </v>
      </c>
      <c r="HI14" s="247" t="str">
        <f t="shared" si="9"/>
        <v xml:space="preserve"> </v>
      </c>
      <c r="HJ14" s="247" t="str">
        <f t="shared" si="9"/>
        <v xml:space="preserve"> </v>
      </c>
      <c r="HK14" s="247" t="str">
        <f t="shared" si="9"/>
        <v xml:space="preserve"> </v>
      </c>
      <c r="HL14" s="247" t="str">
        <f t="shared" si="9"/>
        <v xml:space="preserve"> </v>
      </c>
      <c r="HM14" s="247" t="str">
        <f t="shared" si="10"/>
        <v xml:space="preserve"> </v>
      </c>
      <c r="HN14" s="247">
        <f t="shared" si="10"/>
        <v>0</v>
      </c>
      <c r="HO14" s="248">
        <f t="shared" si="10"/>
        <v>2</v>
      </c>
      <c r="HP14" s="241">
        <f t="shared" si="10"/>
        <v>168</v>
      </c>
      <c r="HR14" s="243">
        <v>14</v>
      </c>
      <c r="HS14" s="244">
        <v>168</v>
      </c>
      <c r="HT14" s="90">
        <v>48</v>
      </c>
      <c r="HU14" s="90">
        <v>72</v>
      </c>
      <c r="HV14" s="90">
        <v>48</v>
      </c>
      <c r="HW14" s="90"/>
      <c r="HX14" s="90"/>
      <c r="HY14" s="90"/>
      <c r="HZ14" s="90"/>
      <c r="IA14" s="90"/>
      <c r="IB14" s="90"/>
      <c r="IC14" s="90"/>
      <c r="ID14" s="90"/>
      <c r="IE14" s="90"/>
      <c r="IF14" s="90"/>
      <c r="IG14" s="90"/>
      <c r="IH14" s="90"/>
      <c r="II14" s="90"/>
      <c r="IJ14" s="90"/>
      <c r="IK14" s="224">
        <v>2</v>
      </c>
      <c r="IL14" s="245">
        <f t="shared" si="16"/>
        <v>168</v>
      </c>
      <c r="IN14" s="243">
        <v>14</v>
      </c>
      <c r="IO14" s="244">
        <v>168</v>
      </c>
      <c r="IP14" s="90">
        <v>84</v>
      </c>
      <c r="IQ14" s="90">
        <v>84</v>
      </c>
      <c r="IR14" s="90"/>
      <c r="IS14" s="90"/>
      <c r="IT14" s="90"/>
      <c r="IU14" s="90"/>
      <c r="IV14" s="90"/>
      <c r="IW14" s="90"/>
      <c r="IX14" s="90"/>
      <c r="IY14" s="90"/>
      <c r="IZ14" s="90"/>
      <c r="JA14" s="90"/>
      <c r="JB14" s="90"/>
      <c r="JC14" s="90"/>
      <c r="JD14" s="90"/>
      <c r="JE14" s="90"/>
      <c r="JF14" s="90"/>
      <c r="JG14" s="224">
        <v>1</v>
      </c>
      <c r="JH14" s="245">
        <f t="shared" si="17"/>
        <v>168</v>
      </c>
      <c r="JJ14" s="249">
        <v>14</v>
      </c>
      <c r="JK14" s="244">
        <v>168</v>
      </c>
      <c r="JL14" s="90">
        <v>84</v>
      </c>
      <c r="JM14" s="90">
        <v>84</v>
      </c>
      <c r="JN14" s="90"/>
      <c r="JO14" s="90"/>
      <c r="JP14" s="90"/>
      <c r="JQ14" s="90"/>
      <c r="JR14" s="90"/>
      <c r="JS14" s="90"/>
      <c r="JT14" s="90"/>
      <c r="JU14" s="90"/>
      <c r="JV14" s="90"/>
      <c r="JW14" s="90"/>
      <c r="JX14" s="90"/>
      <c r="JY14" s="90"/>
      <c r="JZ14" s="90"/>
      <c r="KA14" s="90"/>
      <c r="KB14" s="90"/>
      <c r="KC14" s="224">
        <v>1</v>
      </c>
      <c r="KD14" s="245">
        <f t="shared" si="18"/>
        <v>168</v>
      </c>
      <c r="KF14" s="243">
        <v>14</v>
      </c>
      <c r="KG14" s="244">
        <v>168</v>
      </c>
      <c r="KH14" s="90">
        <v>30</v>
      </c>
      <c r="KI14" s="90">
        <v>54</v>
      </c>
      <c r="KJ14" s="90">
        <v>54</v>
      </c>
      <c r="KK14" s="90">
        <v>30</v>
      </c>
      <c r="KL14" s="90"/>
      <c r="KM14" s="90"/>
      <c r="KN14" s="90"/>
      <c r="KO14" s="90"/>
      <c r="KP14" s="90"/>
      <c r="KQ14" s="90"/>
      <c r="KR14" s="90"/>
      <c r="KS14" s="90"/>
      <c r="KT14" s="90"/>
      <c r="KU14" s="90"/>
      <c r="KV14" s="90"/>
      <c r="KW14" s="90"/>
      <c r="KX14" s="90"/>
      <c r="KY14" s="224">
        <v>3</v>
      </c>
      <c r="KZ14" s="245">
        <f t="shared" si="19"/>
        <v>168</v>
      </c>
      <c r="LB14" s="237">
        <f t="shared" si="20"/>
        <v>14</v>
      </c>
      <c r="LC14" s="284">
        <f t="shared" si="21"/>
        <v>168</v>
      </c>
      <c r="LD14" s="237">
        <f t="shared" si="22"/>
        <v>30</v>
      </c>
      <c r="LE14" s="237">
        <f t="shared" si="23"/>
        <v>54</v>
      </c>
      <c r="LF14" s="237">
        <f t="shared" si="24"/>
        <v>54</v>
      </c>
      <c r="LG14" s="237">
        <f t="shared" si="25"/>
        <v>30</v>
      </c>
      <c r="LH14" s="237">
        <f t="shared" si="26"/>
        <v>0</v>
      </c>
      <c r="LI14" s="237">
        <f t="shared" si="27"/>
        <v>0</v>
      </c>
      <c r="LJ14" s="237">
        <f t="shared" si="28"/>
        <v>0</v>
      </c>
      <c r="LK14" s="237">
        <f t="shared" si="29"/>
        <v>0</v>
      </c>
      <c r="LL14" s="237">
        <f t="shared" si="30"/>
        <v>0</v>
      </c>
      <c r="LM14" s="237">
        <f t="shared" si="31"/>
        <v>0</v>
      </c>
      <c r="LN14" s="237">
        <f t="shared" si="32"/>
        <v>0</v>
      </c>
      <c r="LO14" s="237">
        <f t="shared" si="33"/>
        <v>0</v>
      </c>
      <c r="LP14" s="237">
        <f t="shared" si="34"/>
        <v>0</v>
      </c>
      <c r="LQ14" s="237">
        <f t="shared" si="35"/>
        <v>0</v>
      </c>
      <c r="LR14" s="237">
        <f t="shared" si="36"/>
        <v>0</v>
      </c>
      <c r="LS14" s="237">
        <f t="shared" si="37"/>
        <v>0</v>
      </c>
      <c r="LT14" s="237">
        <f t="shared" si="38"/>
        <v>0</v>
      </c>
      <c r="LU14" s="285">
        <f t="shared" si="39"/>
        <v>3</v>
      </c>
      <c r="LV14" s="280">
        <f t="shared" si="40"/>
        <v>168</v>
      </c>
      <c r="LX14" s="237">
        <f t="shared" si="41"/>
        <v>14</v>
      </c>
      <c r="LY14" s="284">
        <f t="shared" si="42"/>
        <v>168</v>
      </c>
      <c r="LZ14" s="237">
        <f t="shared" si="43"/>
        <v>30</v>
      </c>
      <c r="MA14" s="237">
        <f t="shared" si="44"/>
        <v>54</v>
      </c>
      <c r="MB14" s="237">
        <f t="shared" si="45"/>
        <v>54</v>
      </c>
      <c r="MC14" s="237">
        <f t="shared" si="46"/>
        <v>30</v>
      </c>
      <c r="MD14" s="237">
        <f t="shared" si="47"/>
        <v>0</v>
      </c>
      <c r="ME14" s="237">
        <f t="shared" si="48"/>
        <v>0</v>
      </c>
      <c r="MF14" s="237">
        <f t="shared" si="49"/>
        <v>0</v>
      </c>
      <c r="MG14" s="237">
        <f t="shared" si="50"/>
        <v>0</v>
      </c>
      <c r="MH14" s="237">
        <f t="shared" si="51"/>
        <v>0</v>
      </c>
      <c r="MI14" s="237">
        <f t="shared" si="52"/>
        <v>0</v>
      </c>
      <c r="MJ14" s="237">
        <f t="shared" si="53"/>
        <v>0</v>
      </c>
      <c r="MK14" s="237">
        <f t="shared" si="54"/>
        <v>0</v>
      </c>
      <c r="ML14" s="237">
        <f t="shared" si="55"/>
        <v>0</v>
      </c>
      <c r="MM14" s="237">
        <f t="shared" si="56"/>
        <v>0</v>
      </c>
      <c r="MN14" s="237">
        <f t="shared" si="57"/>
        <v>0</v>
      </c>
      <c r="MO14" s="237">
        <f t="shared" si="58"/>
        <v>0</v>
      </c>
      <c r="MP14" s="237">
        <f t="shared" si="59"/>
        <v>0</v>
      </c>
      <c r="MQ14" s="285">
        <f t="shared" si="60"/>
        <v>3</v>
      </c>
      <c r="MR14" s="280">
        <f t="shared" si="61"/>
        <v>168</v>
      </c>
      <c r="MT14" s="237">
        <f t="shared" si="62"/>
        <v>14</v>
      </c>
      <c r="MU14" s="284">
        <f t="shared" si="63"/>
        <v>168</v>
      </c>
      <c r="MV14" s="237">
        <f t="shared" si="64"/>
        <v>30</v>
      </c>
      <c r="MW14" s="237">
        <f t="shared" si="65"/>
        <v>54</v>
      </c>
      <c r="MX14" s="237">
        <f t="shared" si="66"/>
        <v>54</v>
      </c>
      <c r="MY14" s="237">
        <f t="shared" si="67"/>
        <v>30</v>
      </c>
      <c r="MZ14" s="237">
        <f t="shared" si="68"/>
        <v>0</v>
      </c>
      <c r="NA14" s="237">
        <f t="shared" si="69"/>
        <v>0</v>
      </c>
      <c r="NB14" s="237">
        <f t="shared" si="70"/>
        <v>0</v>
      </c>
      <c r="NC14" s="237">
        <f t="shared" si="71"/>
        <v>0</v>
      </c>
      <c r="ND14" s="237">
        <f t="shared" si="72"/>
        <v>0</v>
      </c>
      <c r="NE14" s="237">
        <f t="shared" si="73"/>
        <v>0</v>
      </c>
      <c r="NF14" s="237">
        <f t="shared" si="74"/>
        <v>0</v>
      </c>
      <c r="NG14" s="237">
        <f t="shared" si="75"/>
        <v>0</v>
      </c>
      <c r="NH14" s="237">
        <f t="shared" si="76"/>
        <v>0</v>
      </c>
      <c r="NI14" s="237">
        <f t="shared" si="77"/>
        <v>0</v>
      </c>
      <c r="NJ14" s="237">
        <f t="shared" si="78"/>
        <v>0</v>
      </c>
      <c r="NK14" s="237">
        <f t="shared" si="79"/>
        <v>0</v>
      </c>
      <c r="NL14" s="237">
        <f t="shared" si="80"/>
        <v>0</v>
      </c>
      <c r="NM14" s="285">
        <f t="shared" si="81"/>
        <v>3</v>
      </c>
      <c r="NN14" s="280">
        <f t="shared" si="82"/>
        <v>168</v>
      </c>
      <c r="NP14" s="237">
        <f t="shared" si="83"/>
        <v>14</v>
      </c>
      <c r="NQ14" s="284">
        <f t="shared" si="84"/>
        <v>168</v>
      </c>
      <c r="NR14" s="237">
        <f t="shared" si="85"/>
        <v>30</v>
      </c>
      <c r="NS14" s="237">
        <f t="shared" si="86"/>
        <v>54</v>
      </c>
      <c r="NT14" s="237">
        <f t="shared" si="87"/>
        <v>54</v>
      </c>
      <c r="NU14" s="237">
        <f t="shared" si="88"/>
        <v>30</v>
      </c>
      <c r="NV14" s="237">
        <f t="shared" si="89"/>
        <v>0</v>
      </c>
      <c r="NW14" s="237">
        <f t="shared" si="90"/>
        <v>0</v>
      </c>
      <c r="NX14" s="237">
        <f t="shared" si="91"/>
        <v>0</v>
      </c>
      <c r="NY14" s="237">
        <f t="shared" si="92"/>
        <v>0</v>
      </c>
      <c r="NZ14" s="237">
        <f t="shared" si="93"/>
        <v>0</v>
      </c>
      <c r="OA14" s="237">
        <f t="shared" si="94"/>
        <v>0</v>
      </c>
      <c r="OB14" s="237">
        <f t="shared" si="95"/>
        <v>0</v>
      </c>
      <c r="OC14" s="237">
        <f t="shared" si="96"/>
        <v>0</v>
      </c>
      <c r="OD14" s="237">
        <f t="shared" si="97"/>
        <v>0</v>
      </c>
      <c r="OE14" s="237">
        <f t="shared" si="98"/>
        <v>0</v>
      </c>
      <c r="OF14" s="237">
        <f t="shared" si="99"/>
        <v>0</v>
      </c>
      <c r="OG14" s="237">
        <f t="shared" si="100"/>
        <v>0</v>
      </c>
      <c r="OH14" s="237">
        <f t="shared" si="101"/>
        <v>0</v>
      </c>
      <c r="OI14" s="285">
        <f t="shared" si="102"/>
        <v>3</v>
      </c>
      <c r="OJ14" s="280">
        <f t="shared" si="103"/>
        <v>168</v>
      </c>
    </row>
    <row r="15" spans="2:400" x14ac:dyDescent="0.3">
      <c r="L15" s="127" t="str">
        <f t="shared" si="5"/>
        <v>C9x20</v>
      </c>
      <c r="M15" s="138">
        <v>20</v>
      </c>
      <c r="N15" s="138">
        <v>5.88</v>
      </c>
      <c r="O15" s="138">
        <v>9</v>
      </c>
      <c r="P15" s="138">
        <v>0.44800000000000006</v>
      </c>
      <c r="Q15" s="138">
        <v>2.6480000000000001</v>
      </c>
      <c r="R15" s="138">
        <v>0.41300000000000003</v>
      </c>
      <c r="S15" s="138">
        <v>0.33</v>
      </c>
      <c r="T15" s="138">
        <v>0.14000000000000001</v>
      </c>
      <c r="U15">
        <v>9.4629999999999992</v>
      </c>
      <c r="V15" s="138">
        <f t="shared" si="6"/>
        <v>0.11105692243170459</v>
      </c>
      <c r="W15" s="139">
        <f t="shared" si="7"/>
        <v>20</v>
      </c>
      <c r="X15" s="140"/>
      <c r="Y15" s="141">
        <v>1</v>
      </c>
      <c r="Z15" s="141">
        <v>7</v>
      </c>
      <c r="AA15" s="133" t="s">
        <v>85</v>
      </c>
      <c r="AE15" s="127" t="str">
        <f t="shared" si="0"/>
        <v>L2x2x0.3125</v>
      </c>
      <c r="AF15" s="138">
        <v>2</v>
      </c>
      <c r="AG15" s="138">
        <v>2</v>
      </c>
      <c r="AH15" s="138">
        <v>0.3125</v>
      </c>
      <c r="AI15" s="138">
        <v>0.18750000000000003</v>
      </c>
      <c r="AJ15" s="138">
        <v>0.18750000000000003</v>
      </c>
      <c r="AK15">
        <f t="shared" si="1"/>
        <v>0.12519999999999998</v>
      </c>
      <c r="AL15" t="s">
        <v>120</v>
      </c>
      <c r="AM15" s="133" t="s">
        <v>85</v>
      </c>
      <c r="AP15" s="127" t="str">
        <f t="shared" si="2"/>
        <v>S15x42.9</v>
      </c>
      <c r="AQ15">
        <v>15</v>
      </c>
      <c r="AR15" s="138">
        <v>42.9</v>
      </c>
      <c r="AS15" s="138">
        <v>15</v>
      </c>
      <c r="AT15" s="138">
        <v>0.41099999999999998</v>
      </c>
      <c r="AU15" s="138">
        <v>5.5010000000000003</v>
      </c>
      <c r="AV15" s="138">
        <v>0.622</v>
      </c>
      <c r="AW15" s="138">
        <v>0.51</v>
      </c>
      <c r="AX15" s="138">
        <v>0.25</v>
      </c>
      <c r="AY15">
        <v>9.4630000000000312</v>
      </c>
      <c r="AZ15" s="138">
        <f t="shared" si="3"/>
        <v>12.467743122828754</v>
      </c>
      <c r="BA15" s="133" t="s">
        <v>85</v>
      </c>
      <c r="BD15" s="143" t="str">
        <f t="shared" si="4"/>
        <v>W8x15</v>
      </c>
      <c r="BE15">
        <v>8</v>
      </c>
      <c r="BF15" s="138">
        <v>15</v>
      </c>
      <c r="BG15" s="138">
        <v>8.11</v>
      </c>
      <c r="BH15" s="138">
        <v>0.245</v>
      </c>
      <c r="BI15" s="138">
        <v>4.0149999999999997</v>
      </c>
      <c r="BJ15" s="138">
        <v>0.315</v>
      </c>
      <c r="BK15" s="138">
        <v>0.3</v>
      </c>
      <c r="BM15" s="133" t="s">
        <v>85</v>
      </c>
      <c r="BO15" s="150" t="s">
        <v>287</v>
      </c>
      <c r="BP15" s="138">
        <v>35</v>
      </c>
      <c r="BQ15" s="144">
        <v>12.000000000000002</v>
      </c>
      <c r="BR15" s="144">
        <v>0.46700000000000003</v>
      </c>
      <c r="BS15" s="144">
        <v>3.7669999999999999</v>
      </c>
      <c r="BT15" s="144">
        <v>0.7</v>
      </c>
      <c r="BU15" s="144">
        <v>0.5</v>
      </c>
      <c r="BV15" s="144">
        <v>0.3</v>
      </c>
      <c r="BW15" s="138">
        <v>9.4629999999999992</v>
      </c>
      <c r="BX15" s="138">
        <v>0.17084486004440258</v>
      </c>
      <c r="BY15" s="138">
        <v>9.2028429485192316</v>
      </c>
      <c r="BZ15" s="138">
        <v>1.3985785257403851</v>
      </c>
      <c r="CB15">
        <v>1.3125</v>
      </c>
      <c r="CC15">
        <v>9.3750000000000018</v>
      </c>
      <c r="CD15" s="151" t="s">
        <v>85</v>
      </c>
      <c r="CF15" s="150" t="s">
        <v>287</v>
      </c>
      <c r="CG15">
        <v>1.3125</v>
      </c>
      <c r="CH15">
        <v>9.3750000000000018</v>
      </c>
      <c r="CI15" s="151" t="s">
        <v>261</v>
      </c>
      <c r="CP15" s="244">
        <v>5</v>
      </c>
      <c r="CQ15" s="90" t="s">
        <v>266</v>
      </c>
      <c r="CR15" s="224" t="s">
        <v>261</v>
      </c>
      <c r="CT15" s="150" t="s">
        <v>266</v>
      </c>
      <c r="CU15">
        <v>9.5</v>
      </c>
      <c r="CV15">
        <v>0.625</v>
      </c>
      <c r="CW15">
        <v>0.1875</v>
      </c>
      <c r="CX15">
        <v>11.0625</v>
      </c>
      <c r="CY15">
        <v>0.5</v>
      </c>
      <c r="CZ15">
        <v>0.1875</v>
      </c>
      <c r="DA15">
        <v>11.25</v>
      </c>
      <c r="DB15">
        <v>12</v>
      </c>
      <c r="DC15" s="3">
        <v>5</v>
      </c>
      <c r="DD15" s="151" t="s">
        <v>261</v>
      </c>
      <c r="DG15" s="90" t="s">
        <v>127</v>
      </c>
      <c r="DH15" s="90">
        <v>0</v>
      </c>
      <c r="DI15" s="90" t="s">
        <v>261</v>
      </c>
      <c r="DO15" s="196">
        <v>1.5</v>
      </c>
      <c r="DU15" s="220">
        <f t="shared" si="11"/>
        <v>312</v>
      </c>
      <c r="DV15" s="221">
        <v>26</v>
      </c>
      <c r="DW15" s="221">
        <v>4</v>
      </c>
      <c r="DX15" s="221">
        <v>62</v>
      </c>
      <c r="DY15" s="223">
        <f t="shared" si="104"/>
        <v>63</v>
      </c>
      <c r="DZ15" s="221">
        <v>186</v>
      </c>
      <c r="EA15" s="224" t="s">
        <v>261</v>
      </c>
      <c r="EH15" s="250">
        <v>15</v>
      </c>
      <c r="EI15" s="251">
        <v>180</v>
      </c>
      <c r="EJ15" s="252">
        <v>42</v>
      </c>
      <c r="EK15" s="252">
        <v>48</v>
      </c>
      <c r="EL15" s="252">
        <v>48</v>
      </c>
      <c r="EM15" s="252">
        <v>42</v>
      </c>
      <c r="EN15" s="252" t="s">
        <v>1137</v>
      </c>
      <c r="EO15" s="252" t="s">
        <v>1137</v>
      </c>
      <c r="EP15" s="252" t="s">
        <v>1137</v>
      </c>
      <c r="EQ15" s="252" t="s">
        <v>1137</v>
      </c>
      <c r="ER15" s="252" t="s">
        <v>1137</v>
      </c>
      <c r="ES15" s="252" t="s">
        <v>1137</v>
      </c>
      <c r="ET15" s="252" t="s">
        <v>1137</v>
      </c>
      <c r="EU15" s="252" t="s">
        <v>1137</v>
      </c>
      <c r="EV15" s="252" t="s">
        <v>1137</v>
      </c>
      <c r="EW15" s="252" t="s">
        <v>1137</v>
      </c>
      <c r="EX15" s="252" t="s">
        <v>1137</v>
      </c>
      <c r="EY15" s="252" t="s">
        <v>1137</v>
      </c>
      <c r="EZ15" s="252"/>
      <c r="FA15" s="253">
        <v>3</v>
      </c>
      <c r="FB15" s="254">
        <f t="shared" si="12"/>
        <v>180</v>
      </c>
      <c r="FD15" s="237">
        <f t="shared" si="13"/>
        <v>15</v>
      </c>
      <c r="FE15" s="246">
        <f t="shared" si="8"/>
        <v>180</v>
      </c>
      <c r="FF15" s="247">
        <f t="shared" si="8"/>
        <v>42</v>
      </c>
      <c r="FG15" s="247">
        <f t="shared" si="8"/>
        <v>48</v>
      </c>
      <c r="FH15" s="247">
        <f t="shared" si="8"/>
        <v>48</v>
      </c>
      <c r="FI15" s="247">
        <f t="shared" si="8"/>
        <v>42</v>
      </c>
      <c r="FJ15" s="247" t="str">
        <f t="shared" si="8"/>
        <v xml:space="preserve"> </v>
      </c>
      <c r="FK15" s="247" t="str">
        <f t="shared" si="8"/>
        <v xml:space="preserve"> </v>
      </c>
      <c r="FL15" s="247" t="str">
        <f t="shared" si="8"/>
        <v xml:space="preserve"> </v>
      </c>
      <c r="FM15" s="247" t="str">
        <f t="shared" si="8"/>
        <v xml:space="preserve"> </v>
      </c>
      <c r="FN15" s="247" t="str">
        <f t="shared" si="8"/>
        <v xml:space="preserve"> </v>
      </c>
      <c r="FO15" s="247" t="str">
        <f t="shared" si="8"/>
        <v xml:space="preserve"> </v>
      </c>
      <c r="FP15" s="247" t="str">
        <f t="shared" si="8"/>
        <v xml:space="preserve"> </v>
      </c>
      <c r="FQ15" s="247" t="str">
        <f t="shared" si="8"/>
        <v xml:space="preserve"> </v>
      </c>
      <c r="FR15" s="247" t="str">
        <f t="shared" si="8"/>
        <v xml:space="preserve"> </v>
      </c>
      <c r="FS15" s="247" t="str">
        <f t="shared" si="8"/>
        <v xml:space="preserve"> </v>
      </c>
      <c r="FT15" s="247" t="str">
        <f t="shared" si="8"/>
        <v xml:space="preserve"> </v>
      </c>
      <c r="FU15" s="247" t="str">
        <f t="shared" si="8"/>
        <v xml:space="preserve"> </v>
      </c>
      <c r="FV15" s="247">
        <f t="shared" si="8"/>
        <v>0</v>
      </c>
      <c r="FW15" s="248">
        <f t="shared" si="8"/>
        <v>3</v>
      </c>
      <c r="FX15" s="241">
        <f t="shared" si="8"/>
        <v>180</v>
      </c>
      <c r="FZ15" s="255">
        <v>15</v>
      </c>
      <c r="GA15" s="251">
        <v>180</v>
      </c>
      <c r="GB15" s="252">
        <v>60</v>
      </c>
      <c r="GC15" s="252">
        <v>60</v>
      </c>
      <c r="GD15" s="252">
        <v>60</v>
      </c>
      <c r="GE15" s="252"/>
      <c r="GF15" s="252" t="s">
        <v>1137</v>
      </c>
      <c r="GG15" s="252" t="s">
        <v>1137</v>
      </c>
      <c r="GH15" s="252" t="s">
        <v>1137</v>
      </c>
      <c r="GI15" s="252" t="s">
        <v>1137</v>
      </c>
      <c r="GJ15" s="252" t="s">
        <v>1137</v>
      </c>
      <c r="GK15" s="252" t="s">
        <v>1137</v>
      </c>
      <c r="GL15" s="252" t="s">
        <v>1137</v>
      </c>
      <c r="GM15" s="252" t="s">
        <v>1137</v>
      </c>
      <c r="GN15" s="252" t="s">
        <v>1137</v>
      </c>
      <c r="GO15" s="252" t="s">
        <v>1137</v>
      </c>
      <c r="GP15" s="252" t="s">
        <v>1137</v>
      </c>
      <c r="GQ15" s="252" t="s">
        <v>1137</v>
      </c>
      <c r="GR15" s="252"/>
      <c r="GS15" s="253">
        <v>2</v>
      </c>
      <c r="GT15" s="254">
        <f t="shared" si="14"/>
        <v>180</v>
      </c>
      <c r="GV15" s="237">
        <f t="shared" si="15"/>
        <v>15</v>
      </c>
      <c r="GW15" s="246">
        <f t="shared" si="9"/>
        <v>180</v>
      </c>
      <c r="GX15" s="247">
        <f t="shared" si="9"/>
        <v>60</v>
      </c>
      <c r="GY15" s="247">
        <f t="shared" si="9"/>
        <v>60</v>
      </c>
      <c r="GZ15" s="247">
        <f t="shared" si="9"/>
        <v>60</v>
      </c>
      <c r="HA15" s="247">
        <f t="shared" si="9"/>
        <v>0</v>
      </c>
      <c r="HB15" s="247" t="str">
        <f t="shared" si="9"/>
        <v xml:space="preserve"> </v>
      </c>
      <c r="HC15" s="247" t="str">
        <f t="shared" si="9"/>
        <v xml:space="preserve"> </v>
      </c>
      <c r="HD15" s="247" t="str">
        <f t="shared" si="9"/>
        <v xml:space="preserve"> </v>
      </c>
      <c r="HE15" s="247" t="str">
        <f t="shared" si="9"/>
        <v xml:space="preserve"> </v>
      </c>
      <c r="HF15" s="247" t="str">
        <f t="shared" si="9"/>
        <v xml:space="preserve"> </v>
      </c>
      <c r="HG15" s="247" t="str">
        <f t="shared" si="9"/>
        <v xml:space="preserve"> </v>
      </c>
      <c r="HH15" s="247" t="str">
        <f t="shared" si="9"/>
        <v xml:space="preserve"> </v>
      </c>
      <c r="HI15" s="247" t="str">
        <f t="shared" si="9"/>
        <v xml:space="preserve"> </v>
      </c>
      <c r="HJ15" s="247" t="str">
        <f t="shared" si="9"/>
        <v xml:space="preserve"> </v>
      </c>
      <c r="HK15" s="247" t="str">
        <f t="shared" si="9"/>
        <v xml:space="preserve"> </v>
      </c>
      <c r="HL15" s="247" t="str">
        <f t="shared" si="9"/>
        <v xml:space="preserve"> </v>
      </c>
      <c r="HM15" s="247" t="str">
        <f t="shared" si="10"/>
        <v xml:space="preserve"> </v>
      </c>
      <c r="HN15" s="247">
        <f t="shared" si="10"/>
        <v>0</v>
      </c>
      <c r="HO15" s="248">
        <f t="shared" si="10"/>
        <v>2</v>
      </c>
      <c r="HP15" s="241">
        <f t="shared" si="10"/>
        <v>180</v>
      </c>
      <c r="HR15" s="250">
        <v>15</v>
      </c>
      <c r="HS15" s="251">
        <v>180</v>
      </c>
      <c r="HT15" s="252">
        <v>54</v>
      </c>
      <c r="HU15" s="252">
        <v>72</v>
      </c>
      <c r="HV15" s="252">
        <v>54</v>
      </c>
      <c r="HW15" s="252"/>
      <c r="HX15" s="252"/>
      <c r="HY15" s="252"/>
      <c r="HZ15" s="252"/>
      <c r="IA15" s="252"/>
      <c r="IB15" s="252"/>
      <c r="IC15" s="252"/>
      <c r="ID15" s="252"/>
      <c r="IE15" s="252"/>
      <c r="IF15" s="252"/>
      <c r="IG15" s="252"/>
      <c r="IH15" s="252"/>
      <c r="II15" s="252"/>
      <c r="IJ15" s="252"/>
      <c r="IK15" s="253">
        <v>2</v>
      </c>
      <c r="IL15" s="254">
        <f t="shared" si="16"/>
        <v>180</v>
      </c>
      <c r="IN15" s="250">
        <v>15</v>
      </c>
      <c r="IO15" s="251">
        <v>180</v>
      </c>
      <c r="IP15" s="252">
        <v>60</v>
      </c>
      <c r="IQ15" s="252">
        <v>60</v>
      </c>
      <c r="IR15" s="252">
        <v>60</v>
      </c>
      <c r="IS15" s="252"/>
      <c r="IT15" s="252"/>
      <c r="IU15" s="252"/>
      <c r="IV15" s="252"/>
      <c r="IW15" s="252"/>
      <c r="IX15" s="252"/>
      <c r="IY15" s="252"/>
      <c r="IZ15" s="252"/>
      <c r="JA15" s="252"/>
      <c r="JB15" s="252"/>
      <c r="JC15" s="252"/>
      <c r="JD15" s="252"/>
      <c r="JE15" s="252"/>
      <c r="JF15" s="252"/>
      <c r="JG15" s="253">
        <v>2</v>
      </c>
      <c r="JH15" s="254">
        <f t="shared" si="17"/>
        <v>180</v>
      </c>
      <c r="JJ15" s="255">
        <v>15</v>
      </c>
      <c r="JK15" s="251">
        <v>180</v>
      </c>
      <c r="JL15" s="252">
        <v>90</v>
      </c>
      <c r="JM15" s="252">
        <v>90</v>
      </c>
      <c r="JN15" s="252"/>
      <c r="JO15" s="252"/>
      <c r="JP15" s="252"/>
      <c r="JQ15" s="252"/>
      <c r="JR15" s="252"/>
      <c r="JS15" s="252"/>
      <c r="JT15" s="252"/>
      <c r="JU15" s="252"/>
      <c r="JV15" s="252"/>
      <c r="JW15" s="252"/>
      <c r="JX15" s="252"/>
      <c r="JY15" s="252"/>
      <c r="JZ15" s="252"/>
      <c r="KA15" s="252"/>
      <c r="KB15" s="252"/>
      <c r="KC15" s="253">
        <v>1</v>
      </c>
      <c r="KD15" s="254">
        <f t="shared" si="18"/>
        <v>180</v>
      </c>
      <c r="KF15" s="250">
        <v>15</v>
      </c>
      <c r="KG15" s="251">
        <v>180</v>
      </c>
      <c r="KH15" s="252">
        <v>36</v>
      </c>
      <c r="KI15" s="252">
        <v>54</v>
      </c>
      <c r="KJ15" s="252">
        <v>54</v>
      </c>
      <c r="KK15" s="252">
        <v>36</v>
      </c>
      <c r="KL15" s="252"/>
      <c r="KM15" s="252"/>
      <c r="KN15" s="252"/>
      <c r="KO15" s="252"/>
      <c r="KP15" s="252"/>
      <c r="KQ15" s="252"/>
      <c r="KR15" s="252"/>
      <c r="KS15" s="252"/>
      <c r="KT15" s="252"/>
      <c r="KU15" s="252"/>
      <c r="KV15" s="252"/>
      <c r="KW15" s="252"/>
      <c r="KX15" s="252"/>
      <c r="KY15" s="253">
        <v>3</v>
      </c>
      <c r="KZ15" s="254">
        <f t="shared" si="19"/>
        <v>180</v>
      </c>
      <c r="LB15" s="237">
        <f t="shared" si="20"/>
        <v>15</v>
      </c>
      <c r="LC15" s="284">
        <f t="shared" si="21"/>
        <v>180</v>
      </c>
      <c r="LD15" s="237">
        <f t="shared" si="22"/>
        <v>36</v>
      </c>
      <c r="LE15" s="237">
        <f t="shared" si="23"/>
        <v>54</v>
      </c>
      <c r="LF15" s="237">
        <f t="shared" si="24"/>
        <v>54</v>
      </c>
      <c r="LG15" s="237">
        <f t="shared" si="25"/>
        <v>36</v>
      </c>
      <c r="LH15" s="237">
        <f t="shared" si="26"/>
        <v>0</v>
      </c>
      <c r="LI15" s="237">
        <f t="shared" si="27"/>
        <v>0</v>
      </c>
      <c r="LJ15" s="237">
        <f t="shared" si="28"/>
        <v>0</v>
      </c>
      <c r="LK15" s="237">
        <f t="shared" si="29"/>
        <v>0</v>
      </c>
      <c r="LL15" s="237">
        <f t="shared" si="30"/>
        <v>0</v>
      </c>
      <c r="LM15" s="237">
        <f t="shared" si="31"/>
        <v>0</v>
      </c>
      <c r="LN15" s="237">
        <f t="shared" si="32"/>
        <v>0</v>
      </c>
      <c r="LO15" s="237">
        <f t="shared" si="33"/>
        <v>0</v>
      </c>
      <c r="LP15" s="237">
        <f t="shared" si="34"/>
        <v>0</v>
      </c>
      <c r="LQ15" s="237">
        <f t="shared" si="35"/>
        <v>0</v>
      </c>
      <c r="LR15" s="237">
        <f t="shared" si="36"/>
        <v>0</v>
      </c>
      <c r="LS15" s="237">
        <f t="shared" si="37"/>
        <v>0</v>
      </c>
      <c r="LT15" s="237">
        <f t="shared" si="38"/>
        <v>0</v>
      </c>
      <c r="LU15" s="285">
        <f t="shared" si="39"/>
        <v>3</v>
      </c>
      <c r="LV15" s="280">
        <f t="shared" si="40"/>
        <v>180</v>
      </c>
      <c r="LX15" s="237">
        <f t="shared" si="41"/>
        <v>15</v>
      </c>
      <c r="LY15" s="284">
        <f t="shared" si="42"/>
        <v>180</v>
      </c>
      <c r="LZ15" s="237">
        <f t="shared" si="43"/>
        <v>36</v>
      </c>
      <c r="MA15" s="237">
        <f t="shared" si="44"/>
        <v>54</v>
      </c>
      <c r="MB15" s="237">
        <f t="shared" si="45"/>
        <v>54</v>
      </c>
      <c r="MC15" s="237">
        <f t="shared" si="46"/>
        <v>36</v>
      </c>
      <c r="MD15" s="237">
        <f t="shared" si="47"/>
        <v>0</v>
      </c>
      <c r="ME15" s="237">
        <f t="shared" si="48"/>
        <v>0</v>
      </c>
      <c r="MF15" s="237">
        <f t="shared" si="49"/>
        <v>0</v>
      </c>
      <c r="MG15" s="237">
        <f t="shared" si="50"/>
        <v>0</v>
      </c>
      <c r="MH15" s="237">
        <f t="shared" si="51"/>
        <v>0</v>
      </c>
      <c r="MI15" s="237">
        <f t="shared" si="52"/>
        <v>0</v>
      </c>
      <c r="MJ15" s="237">
        <f t="shared" si="53"/>
        <v>0</v>
      </c>
      <c r="MK15" s="237">
        <f t="shared" si="54"/>
        <v>0</v>
      </c>
      <c r="ML15" s="237">
        <f t="shared" si="55"/>
        <v>0</v>
      </c>
      <c r="MM15" s="237">
        <f t="shared" si="56"/>
        <v>0</v>
      </c>
      <c r="MN15" s="237">
        <f t="shared" si="57"/>
        <v>0</v>
      </c>
      <c r="MO15" s="237">
        <f t="shared" si="58"/>
        <v>0</v>
      </c>
      <c r="MP15" s="237">
        <f t="shared" si="59"/>
        <v>0</v>
      </c>
      <c r="MQ15" s="285">
        <f t="shared" si="60"/>
        <v>3</v>
      </c>
      <c r="MR15" s="280">
        <f t="shared" si="61"/>
        <v>180</v>
      </c>
      <c r="MT15" s="237">
        <f t="shared" si="62"/>
        <v>15</v>
      </c>
      <c r="MU15" s="284">
        <f t="shared" si="63"/>
        <v>180</v>
      </c>
      <c r="MV15" s="237">
        <f t="shared" si="64"/>
        <v>36</v>
      </c>
      <c r="MW15" s="237">
        <f t="shared" si="65"/>
        <v>54</v>
      </c>
      <c r="MX15" s="237">
        <f t="shared" si="66"/>
        <v>54</v>
      </c>
      <c r="MY15" s="237">
        <f t="shared" si="67"/>
        <v>36</v>
      </c>
      <c r="MZ15" s="237">
        <f t="shared" si="68"/>
        <v>0</v>
      </c>
      <c r="NA15" s="237">
        <f t="shared" si="69"/>
        <v>0</v>
      </c>
      <c r="NB15" s="237">
        <f t="shared" si="70"/>
        <v>0</v>
      </c>
      <c r="NC15" s="237">
        <f t="shared" si="71"/>
        <v>0</v>
      </c>
      <c r="ND15" s="237">
        <f t="shared" si="72"/>
        <v>0</v>
      </c>
      <c r="NE15" s="237">
        <f t="shared" si="73"/>
        <v>0</v>
      </c>
      <c r="NF15" s="237">
        <f t="shared" si="74"/>
        <v>0</v>
      </c>
      <c r="NG15" s="237">
        <f t="shared" si="75"/>
        <v>0</v>
      </c>
      <c r="NH15" s="237">
        <f t="shared" si="76"/>
        <v>0</v>
      </c>
      <c r="NI15" s="237">
        <f t="shared" si="77"/>
        <v>0</v>
      </c>
      <c r="NJ15" s="237">
        <f t="shared" si="78"/>
        <v>0</v>
      </c>
      <c r="NK15" s="237">
        <f t="shared" si="79"/>
        <v>0</v>
      </c>
      <c r="NL15" s="237">
        <f t="shared" si="80"/>
        <v>0</v>
      </c>
      <c r="NM15" s="285">
        <f t="shared" si="81"/>
        <v>3</v>
      </c>
      <c r="NN15" s="280">
        <f t="shared" si="82"/>
        <v>180</v>
      </c>
      <c r="NP15" s="237">
        <f t="shared" si="83"/>
        <v>15</v>
      </c>
      <c r="NQ15" s="284">
        <f t="shared" si="84"/>
        <v>180</v>
      </c>
      <c r="NR15" s="237">
        <f t="shared" si="85"/>
        <v>36</v>
      </c>
      <c r="NS15" s="237">
        <f t="shared" si="86"/>
        <v>54</v>
      </c>
      <c r="NT15" s="237">
        <f t="shared" si="87"/>
        <v>54</v>
      </c>
      <c r="NU15" s="237">
        <f t="shared" si="88"/>
        <v>36</v>
      </c>
      <c r="NV15" s="237">
        <f t="shared" si="89"/>
        <v>0</v>
      </c>
      <c r="NW15" s="237">
        <f t="shared" si="90"/>
        <v>0</v>
      </c>
      <c r="NX15" s="237">
        <f t="shared" si="91"/>
        <v>0</v>
      </c>
      <c r="NY15" s="237">
        <f t="shared" si="92"/>
        <v>0</v>
      </c>
      <c r="NZ15" s="237">
        <f t="shared" si="93"/>
        <v>0</v>
      </c>
      <c r="OA15" s="237">
        <f t="shared" si="94"/>
        <v>0</v>
      </c>
      <c r="OB15" s="237">
        <f t="shared" si="95"/>
        <v>0</v>
      </c>
      <c r="OC15" s="237">
        <f t="shared" si="96"/>
        <v>0</v>
      </c>
      <c r="OD15" s="237">
        <f t="shared" si="97"/>
        <v>0</v>
      </c>
      <c r="OE15" s="237">
        <f t="shared" si="98"/>
        <v>0</v>
      </c>
      <c r="OF15" s="237">
        <f t="shared" si="99"/>
        <v>0</v>
      </c>
      <c r="OG15" s="237">
        <f t="shared" si="100"/>
        <v>0</v>
      </c>
      <c r="OH15" s="237">
        <f t="shared" si="101"/>
        <v>0</v>
      </c>
      <c r="OI15" s="285">
        <f t="shared" si="102"/>
        <v>3</v>
      </c>
      <c r="OJ15" s="280">
        <f t="shared" si="103"/>
        <v>180</v>
      </c>
    </row>
    <row r="16" spans="2:400" x14ac:dyDescent="0.3">
      <c r="L16" s="127" t="str">
        <f t="shared" si="5"/>
        <v>C9x15</v>
      </c>
      <c r="M16" s="138">
        <v>15</v>
      </c>
      <c r="N16" s="138">
        <v>4.41</v>
      </c>
      <c r="O16" s="138">
        <v>9</v>
      </c>
      <c r="P16" s="138">
        <v>0.28499999999999998</v>
      </c>
      <c r="Q16" s="138">
        <v>2.4849999999999999</v>
      </c>
      <c r="R16" s="138">
        <v>0.41300000000000003</v>
      </c>
      <c r="S16" s="138">
        <v>0.33</v>
      </c>
      <c r="T16" s="138">
        <v>0.14000000000000001</v>
      </c>
      <c r="U16">
        <v>9.4629999999999992</v>
      </c>
      <c r="V16" s="138">
        <f t="shared" si="6"/>
        <v>0.11105692243170465</v>
      </c>
      <c r="W16" s="139">
        <f t="shared" si="7"/>
        <v>15</v>
      </c>
      <c r="X16" s="140"/>
      <c r="Y16" s="141">
        <v>1</v>
      </c>
      <c r="Z16" s="141">
        <v>7</v>
      </c>
      <c r="AA16" s="133" t="s">
        <v>85</v>
      </c>
      <c r="AE16" s="127" t="str">
        <f t="shared" si="0"/>
        <v>L2x2x0.375</v>
      </c>
      <c r="AF16" s="138">
        <v>2</v>
      </c>
      <c r="AG16" s="138">
        <v>2</v>
      </c>
      <c r="AH16" s="138">
        <v>0.37500000000000006</v>
      </c>
      <c r="AI16" s="138">
        <v>0.18750000000000003</v>
      </c>
      <c r="AJ16" s="138">
        <v>0.18750000000000003</v>
      </c>
      <c r="AK16">
        <f t="shared" si="1"/>
        <v>0.18770000000000003</v>
      </c>
      <c r="AM16" s="133" t="s">
        <v>85</v>
      </c>
      <c r="AP16" s="127" t="str">
        <f t="shared" si="2"/>
        <v>S15x50</v>
      </c>
      <c r="AQ16">
        <v>15</v>
      </c>
      <c r="AR16" s="138">
        <v>50</v>
      </c>
      <c r="AS16" s="138">
        <v>15</v>
      </c>
      <c r="AT16" s="138">
        <v>0.55000000000000004</v>
      </c>
      <c r="AU16" s="138">
        <v>5.64</v>
      </c>
      <c r="AV16" s="138">
        <v>0.622</v>
      </c>
      <c r="AW16" s="138">
        <v>0.51</v>
      </c>
      <c r="AX16" s="138">
        <v>0.25</v>
      </c>
      <c r="AY16">
        <v>9.4630000000000312</v>
      </c>
      <c r="AZ16" s="138">
        <f t="shared" si="3"/>
        <v>12.467743122828754</v>
      </c>
      <c r="BA16" s="133" t="s">
        <v>85</v>
      </c>
      <c r="BD16" s="143" t="str">
        <f t="shared" si="4"/>
        <v>W8x18</v>
      </c>
      <c r="BE16">
        <v>8</v>
      </c>
      <c r="BF16" s="138">
        <v>18</v>
      </c>
      <c r="BG16" s="138">
        <v>8.14</v>
      </c>
      <c r="BH16" s="138">
        <v>0.23</v>
      </c>
      <c r="BI16" s="138">
        <v>5.25</v>
      </c>
      <c r="BJ16" s="138">
        <v>0.33</v>
      </c>
      <c r="BK16" s="138">
        <v>0.3</v>
      </c>
      <c r="BL16" t="s">
        <v>189</v>
      </c>
      <c r="BM16" s="133" t="s">
        <v>85</v>
      </c>
      <c r="BO16" s="150" t="s">
        <v>288</v>
      </c>
      <c r="BP16" s="138">
        <v>31</v>
      </c>
      <c r="BQ16" s="144">
        <v>12.000000000000002</v>
      </c>
      <c r="BR16" s="144">
        <v>0.37</v>
      </c>
      <c r="BS16" s="144">
        <v>3.67</v>
      </c>
      <c r="BT16" s="144">
        <v>0.7</v>
      </c>
      <c r="BU16" s="144">
        <v>0.5</v>
      </c>
      <c r="BV16" s="144">
        <v>0.3</v>
      </c>
      <c r="BW16" s="138">
        <v>9.4629999999999992</v>
      </c>
      <c r="BX16" s="138">
        <v>0.17084486004440258</v>
      </c>
      <c r="BY16" s="138">
        <v>9.2028429485192316</v>
      </c>
      <c r="BZ16" s="138">
        <v>1.3985785257403851</v>
      </c>
      <c r="CB16">
        <v>1.3125</v>
      </c>
      <c r="CC16">
        <v>9.3750000000000018</v>
      </c>
      <c r="CD16" s="151" t="s">
        <v>85</v>
      </c>
      <c r="CF16" s="150" t="s">
        <v>288</v>
      </c>
      <c r="CG16">
        <v>1.3125</v>
      </c>
      <c r="CH16">
        <v>9.3750000000000018</v>
      </c>
      <c r="CI16" s="151" t="s">
        <v>261</v>
      </c>
      <c r="CP16" s="244">
        <v>5.5</v>
      </c>
      <c r="CQ16" s="90" t="s">
        <v>604</v>
      </c>
      <c r="CR16" s="224" t="s">
        <v>261</v>
      </c>
      <c r="CT16" s="150" t="s">
        <v>604</v>
      </c>
      <c r="CU16" s="160">
        <f>SF_Depth - (2*SF_Thk) - 0.75</f>
        <v>27.75</v>
      </c>
      <c r="CV16" s="160">
        <f>(2*SF_Thk+0.75)/2</f>
        <v>0.62500000000000089</v>
      </c>
      <c r="CW16" s="160">
        <f>SF_Thk</f>
        <v>0.25000000000000089</v>
      </c>
      <c r="CX16" s="160">
        <f>SF_Depth - (2*SF_Thk) - 0.25</f>
        <v>28.25</v>
      </c>
      <c r="CY16" s="160">
        <f>SF_Thk + 0.1875</f>
        <v>0.43750000000000089</v>
      </c>
      <c r="CZ16" s="160">
        <f>SF_Thk</f>
        <v>0.25000000000000089</v>
      </c>
      <c r="DA16" s="160">
        <f>SF_Depth-(2*SF_Thk)-0.0625</f>
        <v>28.4375</v>
      </c>
      <c r="DB16" s="160">
        <f>SF_Depth</f>
        <v>29.000000000000004</v>
      </c>
      <c r="DC16" s="160">
        <v>5.5</v>
      </c>
      <c r="DD16" s="161" t="s">
        <v>261</v>
      </c>
      <c r="DG16" s="90" t="s">
        <v>84</v>
      </c>
      <c r="DH16" s="90" t="s">
        <v>84</v>
      </c>
      <c r="DI16" s="90" t="s">
        <v>261</v>
      </c>
      <c r="DO16" s="196">
        <v>1.75</v>
      </c>
      <c r="DU16" s="220">
        <f t="shared" si="11"/>
        <v>336</v>
      </c>
      <c r="DV16" s="221">
        <v>28</v>
      </c>
      <c r="DW16" s="221">
        <v>4</v>
      </c>
      <c r="DX16" s="221">
        <v>67</v>
      </c>
      <c r="DY16" s="223">
        <f t="shared" si="104"/>
        <v>67.5</v>
      </c>
      <c r="DZ16" s="221">
        <v>201</v>
      </c>
      <c r="EA16" s="224" t="s">
        <v>261</v>
      </c>
      <c r="EH16" s="243">
        <v>16</v>
      </c>
      <c r="EI16" s="244">
        <v>192</v>
      </c>
      <c r="EJ16" s="90">
        <v>48</v>
      </c>
      <c r="EK16" s="90">
        <v>48</v>
      </c>
      <c r="EL16" s="90">
        <v>48</v>
      </c>
      <c r="EM16" s="90">
        <v>48</v>
      </c>
      <c r="EN16" s="90" t="s">
        <v>1137</v>
      </c>
      <c r="EO16" s="90" t="s">
        <v>1137</v>
      </c>
      <c r="EP16" s="90" t="s">
        <v>1137</v>
      </c>
      <c r="EQ16" s="90" t="s">
        <v>1137</v>
      </c>
      <c r="ER16" s="90" t="s">
        <v>1137</v>
      </c>
      <c r="ES16" s="90" t="s">
        <v>1137</v>
      </c>
      <c r="ET16" s="90" t="s">
        <v>1137</v>
      </c>
      <c r="EU16" s="90" t="s">
        <v>1137</v>
      </c>
      <c r="EV16" s="90" t="s">
        <v>1137</v>
      </c>
      <c r="EW16" s="90" t="s">
        <v>1137</v>
      </c>
      <c r="EX16" s="90" t="s">
        <v>1137</v>
      </c>
      <c r="EY16" s="90" t="s">
        <v>1137</v>
      </c>
      <c r="EZ16" s="90"/>
      <c r="FA16" s="224">
        <v>3</v>
      </c>
      <c r="FB16" s="245">
        <f t="shared" si="12"/>
        <v>192</v>
      </c>
      <c r="FD16" s="237">
        <f t="shared" si="13"/>
        <v>16</v>
      </c>
      <c r="FE16" s="246">
        <f t="shared" si="8"/>
        <v>192</v>
      </c>
      <c r="FF16" s="247">
        <f t="shared" si="8"/>
        <v>48</v>
      </c>
      <c r="FG16" s="247">
        <f t="shared" si="8"/>
        <v>48</v>
      </c>
      <c r="FH16" s="247">
        <f t="shared" si="8"/>
        <v>48</v>
      </c>
      <c r="FI16" s="247">
        <f t="shared" si="8"/>
        <v>48</v>
      </c>
      <c r="FJ16" s="247" t="str">
        <f t="shared" si="8"/>
        <v xml:space="preserve"> </v>
      </c>
      <c r="FK16" s="247" t="str">
        <f t="shared" si="8"/>
        <v xml:space="preserve"> </v>
      </c>
      <c r="FL16" s="247" t="str">
        <f t="shared" si="8"/>
        <v xml:space="preserve"> </v>
      </c>
      <c r="FM16" s="247" t="str">
        <f t="shared" si="8"/>
        <v xml:space="preserve"> </v>
      </c>
      <c r="FN16" s="247" t="str">
        <f t="shared" si="8"/>
        <v xml:space="preserve"> </v>
      </c>
      <c r="FO16" s="247" t="str">
        <f t="shared" si="8"/>
        <v xml:space="preserve"> </v>
      </c>
      <c r="FP16" s="247" t="str">
        <f t="shared" si="8"/>
        <v xml:space="preserve"> </v>
      </c>
      <c r="FQ16" s="247" t="str">
        <f t="shared" si="8"/>
        <v xml:space="preserve"> </v>
      </c>
      <c r="FR16" s="247" t="str">
        <f t="shared" si="8"/>
        <v xml:space="preserve"> </v>
      </c>
      <c r="FS16" s="247" t="str">
        <f t="shared" si="8"/>
        <v xml:space="preserve"> </v>
      </c>
      <c r="FT16" s="247" t="str">
        <f t="shared" si="8"/>
        <v xml:space="preserve"> </v>
      </c>
      <c r="FU16" s="247" t="str">
        <f t="shared" si="8"/>
        <v xml:space="preserve"> </v>
      </c>
      <c r="FV16" s="247">
        <f t="shared" si="8"/>
        <v>0</v>
      </c>
      <c r="FW16" s="248">
        <f t="shared" si="8"/>
        <v>3</v>
      </c>
      <c r="FX16" s="241">
        <f t="shared" si="8"/>
        <v>192</v>
      </c>
      <c r="FZ16" s="249">
        <v>16</v>
      </c>
      <c r="GA16" s="244">
        <v>192</v>
      </c>
      <c r="GB16" s="90">
        <v>36</v>
      </c>
      <c r="GC16" s="90">
        <v>60</v>
      </c>
      <c r="GD16" s="90">
        <v>60</v>
      </c>
      <c r="GE16" s="90">
        <v>36</v>
      </c>
      <c r="GF16" s="90"/>
      <c r="GG16" s="90" t="s">
        <v>1137</v>
      </c>
      <c r="GH16" s="90" t="s">
        <v>1137</v>
      </c>
      <c r="GI16" s="90" t="s">
        <v>1137</v>
      </c>
      <c r="GJ16" s="90" t="s">
        <v>1137</v>
      </c>
      <c r="GK16" s="90" t="s">
        <v>1137</v>
      </c>
      <c r="GL16" s="90" t="s">
        <v>1137</v>
      </c>
      <c r="GM16" s="90" t="s">
        <v>1137</v>
      </c>
      <c r="GN16" s="90" t="s">
        <v>1137</v>
      </c>
      <c r="GO16" s="90" t="s">
        <v>1137</v>
      </c>
      <c r="GP16" s="90" t="s">
        <v>1137</v>
      </c>
      <c r="GQ16" s="90" t="s">
        <v>1137</v>
      </c>
      <c r="GR16" s="90"/>
      <c r="GS16" s="224">
        <v>3</v>
      </c>
      <c r="GT16" s="245">
        <f t="shared" si="14"/>
        <v>192</v>
      </c>
      <c r="GV16" s="237">
        <f t="shared" si="15"/>
        <v>16</v>
      </c>
      <c r="GW16" s="246">
        <f t="shared" si="9"/>
        <v>192</v>
      </c>
      <c r="GX16" s="247">
        <f t="shared" si="9"/>
        <v>36</v>
      </c>
      <c r="GY16" s="247">
        <f t="shared" si="9"/>
        <v>60</v>
      </c>
      <c r="GZ16" s="247">
        <f t="shared" si="9"/>
        <v>60</v>
      </c>
      <c r="HA16" s="247">
        <f t="shared" si="9"/>
        <v>36</v>
      </c>
      <c r="HB16" s="247">
        <f t="shared" si="9"/>
        <v>0</v>
      </c>
      <c r="HC16" s="247" t="str">
        <f t="shared" si="9"/>
        <v xml:space="preserve"> </v>
      </c>
      <c r="HD16" s="247" t="str">
        <f t="shared" si="9"/>
        <v xml:space="preserve"> </v>
      </c>
      <c r="HE16" s="247" t="str">
        <f t="shared" si="9"/>
        <v xml:space="preserve"> </v>
      </c>
      <c r="HF16" s="247" t="str">
        <f t="shared" si="9"/>
        <v xml:space="preserve"> </v>
      </c>
      <c r="HG16" s="247" t="str">
        <f t="shared" si="9"/>
        <v xml:space="preserve"> </v>
      </c>
      <c r="HH16" s="247" t="str">
        <f t="shared" si="9"/>
        <v xml:space="preserve"> </v>
      </c>
      <c r="HI16" s="247" t="str">
        <f t="shared" si="9"/>
        <v xml:space="preserve"> </v>
      </c>
      <c r="HJ16" s="247" t="str">
        <f t="shared" si="9"/>
        <v xml:space="preserve"> </v>
      </c>
      <c r="HK16" s="247" t="str">
        <f t="shared" si="9"/>
        <v xml:space="preserve"> </v>
      </c>
      <c r="HL16" s="247" t="str">
        <f t="shared" si="9"/>
        <v xml:space="preserve"> </v>
      </c>
      <c r="HM16" s="247" t="str">
        <f t="shared" si="10"/>
        <v xml:space="preserve"> </v>
      </c>
      <c r="HN16" s="247">
        <f t="shared" si="10"/>
        <v>0</v>
      </c>
      <c r="HO16" s="248">
        <f t="shared" si="10"/>
        <v>3</v>
      </c>
      <c r="HP16" s="241">
        <f t="shared" si="10"/>
        <v>192</v>
      </c>
      <c r="HR16" s="243">
        <v>16</v>
      </c>
      <c r="HS16" s="244">
        <v>192</v>
      </c>
      <c r="HT16" s="90">
        <v>60</v>
      </c>
      <c r="HU16" s="90">
        <v>72</v>
      </c>
      <c r="HV16" s="90">
        <v>60</v>
      </c>
      <c r="HW16" s="90"/>
      <c r="HX16" s="90"/>
      <c r="HY16" s="90"/>
      <c r="HZ16" s="90"/>
      <c r="IA16" s="90"/>
      <c r="IB16" s="90"/>
      <c r="IC16" s="90"/>
      <c r="ID16" s="90"/>
      <c r="IE16" s="90"/>
      <c r="IF16" s="90"/>
      <c r="IG16" s="90"/>
      <c r="IH16" s="90"/>
      <c r="II16" s="90"/>
      <c r="IJ16" s="90"/>
      <c r="IK16" s="224">
        <v>2</v>
      </c>
      <c r="IL16" s="245">
        <f t="shared" si="16"/>
        <v>192</v>
      </c>
      <c r="IN16" s="243">
        <v>16</v>
      </c>
      <c r="IO16" s="244">
        <v>192</v>
      </c>
      <c r="IP16" s="90">
        <v>54</v>
      </c>
      <c r="IQ16" s="90">
        <v>84</v>
      </c>
      <c r="IR16" s="90">
        <v>54</v>
      </c>
      <c r="IS16" s="90"/>
      <c r="IT16" s="90"/>
      <c r="IU16" s="90"/>
      <c r="IV16" s="90"/>
      <c r="IW16" s="90"/>
      <c r="IX16" s="90"/>
      <c r="IY16" s="90"/>
      <c r="IZ16" s="90"/>
      <c r="JA16" s="90"/>
      <c r="JB16" s="90"/>
      <c r="JC16" s="90"/>
      <c r="JD16" s="90"/>
      <c r="JE16" s="90"/>
      <c r="JF16" s="90"/>
      <c r="JG16" s="224">
        <v>2</v>
      </c>
      <c r="JH16" s="245">
        <f t="shared" si="17"/>
        <v>192</v>
      </c>
      <c r="JJ16" s="249">
        <v>16</v>
      </c>
      <c r="JK16" s="244">
        <v>192</v>
      </c>
      <c r="JL16" s="90">
        <v>96</v>
      </c>
      <c r="JM16" s="90">
        <v>96</v>
      </c>
      <c r="JN16" s="90"/>
      <c r="JO16" s="90"/>
      <c r="JP16" s="90"/>
      <c r="JQ16" s="90"/>
      <c r="JR16" s="90"/>
      <c r="JS16" s="90"/>
      <c r="JT16" s="90"/>
      <c r="JU16" s="90"/>
      <c r="JV16" s="90"/>
      <c r="JW16" s="90"/>
      <c r="JX16" s="90"/>
      <c r="JY16" s="90"/>
      <c r="JZ16" s="90"/>
      <c r="KA16" s="90"/>
      <c r="KB16" s="90"/>
      <c r="KC16" s="224">
        <v>1</v>
      </c>
      <c r="KD16" s="245">
        <f t="shared" si="18"/>
        <v>192</v>
      </c>
      <c r="KF16" s="243">
        <v>16</v>
      </c>
      <c r="KG16" s="244">
        <v>192</v>
      </c>
      <c r="KH16" s="90">
        <v>42</v>
      </c>
      <c r="KI16" s="90">
        <v>54</v>
      </c>
      <c r="KJ16" s="90">
        <v>54</v>
      </c>
      <c r="KK16" s="90">
        <v>42</v>
      </c>
      <c r="KL16" s="90"/>
      <c r="KM16" s="90"/>
      <c r="KN16" s="90"/>
      <c r="KO16" s="90"/>
      <c r="KP16" s="90"/>
      <c r="KQ16" s="90"/>
      <c r="KR16" s="90"/>
      <c r="KS16" s="90"/>
      <c r="KT16" s="90"/>
      <c r="KU16" s="90"/>
      <c r="KV16" s="90"/>
      <c r="KW16" s="90"/>
      <c r="KX16" s="90"/>
      <c r="KY16" s="224">
        <v>3</v>
      </c>
      <c r="KZ16" s="245">
        <f t="shared" si="19"/>
        <v>192</v>
      </c>
      <c r="LB16" s="237">
        <f t="shared" si="20"/>
        <v>16</v>
      </c>
      <c r="LC16" s="284">
        <f t="shared" si="21"/>
        <v>192</v>
      </c>
      <c r="LD16" s="237">
        <f t="shared" si="22"/>
        <v>42</v>
      </c>
      <c r="LE16" s="237">
        <f t="shared" si="23"/>
        <v>54</v>
      </c>
      <c r="LF16" s="237">
        <f t="shared" si="24"/>
        <v>54</v>
      </c>
      <c r="LG16" s="237">
        <f t="shared" si="25"/>
        <v>42</v>
      </c>
      <c r="LH16" s="237">
        <f t="shared" si="26"/>
        <v>0</v>
      </c>
      <c r="LI16" s="237">
        <f t="shared" si="27"/>
        <v>0</v>
      </c>
      <c r="LJ16" s="237">
        <f t="shared" si="28"/>
        <v>0</v>
      </c>
      <c r="LK16" s="237">
        <f t="shared" si="29"/>
        <v>0</v>
      </c>
      <c r="LL16" s="237">
        <f t="shared" si="30"/>
        <v>0</v>
      </c>
      <c r="LM16" s="237">
        <f t="shared" si="31"/>
        <v>0</v>
      </c>
      <c r="LN16" s="237">
        <f t="shared" si="32"/>
        <v>0</v>
      </c>
      <c r="LO16" s="237">
        <f t="shared" si="33"/>
        <v>0</v>
      </c>
      <c r="LP16" s="237">
        <f t="shared" si="34"/>
        <v>0</v>
      </c>
      <c r="LQ16" s="237">
        <f t="shared" si="35"/>
        <v>0</v>
      </c>
      <c r="LR16" s="237">
        <f t="shared" si="36"/>
        <v>0</v>
      </c>
      <c r="LS16" s="237">
        <f t="shared" si="37"/>
        <v>0</v>
      </c>
      <c r="LT16" s="237">
        <f t="shared" si="38"/>
        <v>0</v>
      </c>
      <c r="LU16" s="285">
        <f t="shared" si="39"/>
        <v>3</v>
      </c>
      <c r="LV16" s="280">
        <f t="shared" si="40"/>
        <v>192</v>
      </c>
      <c r="LX16" s="237">
        <f t="shared" si="41"/>
        <v>16</v>
      </c>
      <c r="LY16" s="284">
        <f t="shared" si="42"/>
        <v>192</v>
      </c>
      <c r="LZ16" s="237">
        <f t="shared" si="43"/>
        <v>42</v>
      </c>
      <c r="MA16" s="237">
        <f t="shared" si="44"/>
        <v>54</v>
      </c>
      <c r="MB16" s="237">
        <f t="shared" si="45"/>
        <v>54</v>
      </c>
      <c r="MC16" s="237">
        <f t="shared" si="46"/>
        <v>42</v>
      </c>
      <c r="MD16" s="237">
        <f t="shared" si="47"/>
        <v>0</v>
      </c>
      <c r="ME16" s="237">
        <f t="shared" si="48"/>
        <v>0</v>
      </c>
      <c r="MF16" s="237">
        <f t="shared" si="49"/>
        <v>0</v>
      </c>
      <c r="MG16" s="237">
        <f t="shared" si="50"/>
        <v>0</v>
      </c>
      <c r="MH16" s="237">
        <f t="shared" si="51"/>
        <v>0</v>
      </c>
      <c r="MI16" s="237">
        <f t="shared" si="52"/>
        <v>0</v>
      </c>
      <c r="MJ16" s="237">
        <f t="shared" si="53"/>
        <v>0</v>
      </c>
      <c r="MK16" s="237">
        <f t="shared" si="54"/>
        <v>0</v>
      </c>
      <c r="ML16" s="237">
        <f t="shared" si="55"/>
        <v>0</v>
      </c>
      <c r="MM16" s="237">
        <f t="shared" si="56"/>
        <v>0</v>
      </c>
      <c r="MN16" s="237">
        <f t="shared" si="57"/>
        <v>0</v>
      </c>
      <c r="MO16" s="237">
        <f t="shared" si="58"/>
        <v>0</v>
      </c>
      <c r="MP16" s="237">
        <f t="shared" si="59"/>
        <v>0</v>
      </c>
      <c r="MQ16" s="285">
        <f t="shared" si="60"/>
        <v>3</v>
      </c>
      <c r="MR16" s="280">
        <f t="shared" si="61"/>
        <v>192</v>
      </c>
      <c r="MT16" s="237">
        <f t="shared" si="62"/>
        <v>16</v>
      </c>
      <c r="MU16" s="284">
        <f t="shared" si="63"/>
        <v>192</v>
      </c>
      <c r="MV16" s="237">
        <f t="shared" si="64"/>
        <v>42</v>
      </c>
      <c r="MW16" s="237">
        <f t="shared" si="65"/>
        <v>54</v>
      </c>
      <c r="MX16" s="237">
        <f t="shared" si="66"/>
        <v>54</v>
      </c>
      <c r="MY16" s="237">
        <f t="shared" si="67"/>
        <v>42</v>
      </c>
      <c r="MZ16" s="237">
        <f t="shared" si="68"/>
        <v>0</v>
      </c>
      <c r="NA16" s="237">
        <f t="shared" si="69"/>
        <v>0</v>
      </c>
      <c r="NB16" s="237">
        <f t="shared" si="70"/>
        <v>0</v>
      </c>
      <c r="NC16" s="237">
        <f t="shared" si="71"/>
        <v>0</v>
      </c>
      <c r="ND16" s="237">
        <f t="shared" si="72"/>
        <v>0</v>
      </c>
      <c r="NE16" s="237">
        <f t="shared" si="73"/>
        <v>0</v>
      </c>
      <c r="NF16" s="237">
        <f t="shared" si="74"/>
        <v>0</v>
      </c>
      <c r="NG16" s="237">
        <f t="shared" si="75"/>
        <v>0</v>
      </c>
      <c r="NH16" s="237">
        <f t="shared" si="76"/>
        <v>0</v>
      </c>
      <c r="NI16" s="237">
        <f t="shared" si="77"/>
        <v>0</v>
      </c>
      <c r="NJ16" s="237">
        <f t="shared" si="78"/>
        <v>0</v>
      </c>
      <c r="NK16" s="237">
        <f t="shared" si="79"/>
        <v>0</v>
      </c>
      <c r="NL16" s="237">
        <f t="shared" si="80"/>
        <v>0</v>
      </c>
      <c r="NM16" s="285">
        <f t="shared" si="81"/>
        <v>3</v>
      </c>
      <c r="NN16" s="280">
        <f t="shared" si="82"/>
        <v>192</v>
      </c>
      <c r="NP16" s="237">
        <f t="shared" si="83"/>
        <v>16</v>
      </c>
      <c r="NQ16" s="284">
        <f t="shared" si="84"/>
        <v>192</v>
      </c>
      <c r="NR16" s="237">
        <f t="shared" si="85"/>
        <v>42</v>
      </c>
      <c r="NS16" s="237">
        <f t="shared" si="86"/>
        <v>54</v>
      </c>
      <c r="NT16" s="237">
        <f t="shared" si="87"/>
        <v>54</v>
      </c>
      <c r="NU16" s="237">
        <f t="shared" si="88"/>
        <v>42</v>
      </c>
      <c r="NV16" s="237">
        <f t="shared" si="89"/>
        <v>0</v>
      </c>
      <c r="NW16" s="237">
        <f t="shared" si="90"/>
        <v>0</v>
      </c>
      <c r="NX16" s="237">
        <f t="shared" si="91"/>
        <v>0</v>
      </c>
      <c r="NY16" s="237">
        <f t="shared" si="92"/>
        <v>0</v>
      </c>
      <c r="NZ16" s="237">
        <f t="shared" si="93"/>
        <v>0</v>
      </c>
      <c r="OA16" s="237">
        <f t="shared" si="94"/>
        <v>0</v>
      </c>
      <c r="OB16" s="237">
        <f t="shared" si="95"/>
        <v>0</v>
      </c>
      <c r="OC16" s="237">
        <f t="shared" si="96"/>
        <v>0</v>
      </c>
      <c r="OD16" s="237">
        <f t="shared" si="97"/>
        <v>0</v>
      </c>
      <c r="OE16" s="237">
        <f t="shared" si="98"/>
        <v>0</v>
      </c>
      <c r="OF16" s="237">
        <f t="shared" si="99"/>
        <v>0</v>
      </c>
      <c r="OG16" s="237">
        <f t="shared" si="100"/>
        <v>0</v>
      </c>
      <c r="OH16" s="237">
        <f t="shared" si="101"/>
        <v>0</v>
      </c>
      <c r="OI16" s="285">
        <f t="shared" si="102"/>
        <v>3</v>
      </c>
      <c r="OJ16" s="280">
        <f t="shared" si="103"/>
        <v>192</v>
      </c>
    </row>
    <row r="17" spans="12:400" ht="15" thickBot="1" x14ac:dyDescent="0.35">
      <c r="L17" s="127" t="str">
        <f t="shared" si="5"/>
        <v>C9x13.4</v>
      </c>
      <c r="M17" s="138">
        <v>13.4</v>
      </c>
      <c r="N17" s="138">
        <v>3.94</v>
      </c>
      <c r="O17" s="138">
        <v>9</v>
      </c>
      <c r="P17" s="138">
        <v>0.23300000000000001</v>
      </c>
      <c r="Q17" s="138">
        <v>2.4329999999999998</v>
      </c>
      <c r="R17" s="138">
        <v>0.41300000000000003</v>
      </c>
      <c r="S17" s="138">
        <v>0.33</v>
      </c>
      <c r="T17" s="138">
        <v>0.14000000000000001</v>
      </c>
      <c r="U17">
        <v>9.4629999999999992</v>
      </c>
      <c r="V17" s="138">
        <f t="shared" si="6"/>
        <v>0.11105692243170465</v>
      </c>
      <c r="W17" s="139">
        <f t="shared" si="7"/>
        <v>13.4</v>
      </c>
      <c r="X17" s="140"/>
      <c r="Y17" s="141">
        <v>1</v>
      </c>
      <c r="Z17" s="141">
        <v>7</v>
      </c>
      <c r="AA17" s="133" t="s">
        <v>85</v>
      </c>
      <c r="AE17" s="127" t="str">
        <f t="shared" si="0"/>
        <v>L2x2.5x0.1875</v>
      </c>
      <c r="AF17" s="138">
        <v>2</v>
      </c>
      <c r="AG17" s="138">
        <v>2.5</v>
      </c>
      <c r="AH17" s="138">
        <v>0.18750000000000003</v>
      </c>
      <c r="AI17" s="138">
        <v>0.18750000000000003</v>
      </c>
      <c r="AJ17" s="138">
        <v>0.18750000000000003</v>
      </c>
      <c r="AK17">
        <f t="shared" si="1"/>
        <v>2.0000000000000001E-4</v>
      </c>
      <c r="AL17" t="s">
        <v>119</v>
      </c>
      <c r="AM17" s="133" t="s">
        <v>85</v>
      </c>
      <c r="AP17" s="127" t="str">
        <f t="shared" si="2"/>
        <v>S12x50</v>
      </c>
      <c r="AQ17">
        <v>12</v>
      </c>
      <c r="AR17" s="138">
        <v>50</v>
      </c>
      <c r="AS17" s="138">
        <v>12.000000000000002</v>
      </c>
      <c r="AT17" s="138">
        <v>0.68700000000000006</v>
      </c>
      <c r="AU17" s="138">
        <v>5.4770000000000003</v>
      </c>
      <c r="AV17" s="138">
        <v>0.65900000000000003</v>
      </c>
      <c r="AW17" s="138">
        <v>0.56000000000000005</v>
      </c>
      <c r="AX17" s="138">
        <v>0.28000000000000003</v>
      </c>
      <c r="AY17">
        <v>9.4630000000000312</v>
      </c>
      <c r="AZ17" s="138">
        <f t="shared" si="3"/>
        <v>9.3340332536889452</v>
      </c>
      <c r="BA17" s="133" t="s">
        <v>85</v>
      </c>
      <c r="BD17" s="143" t="str">
        <f t="shared" si="4"/>
        <v>W8x21</v>
      </c>
      <c r="BE17">
        <v>8</v>
      </c>
      <c r="BF17" s="138">
        <v>21</v>
      </c>
      <c r="BG17" s="138">
        <v>8.2799999999999994</v>
      </c>
      <c r="BH17" s="138">
        <v>0.25</v>
      </c>
      <c r="BI17" s="138">
        <v>5.27</v>
      </c>
      <c r="BJ17" s="138">
        <v>0.4</v>
      </c>
      <c r="BK17" s="138">
        <v>0.3</v>
      </c>
      <c r="BL17" t="s">
        <v>188</v>
      </c>
      <c r="BM17" s="133" t="s">
        <v>85</v>
      </c>
      <c r="BO17" s="152" t="s">
        <v>266</v>
      </c>
      <c r="BP17" s="10">
        <v>10.6</v>
      </c>
      <c r="BQ17" s="11">
        <v>12.000000000000002</v>
      </c>
      <c r="BR17" s="11">
        <v>0.18999999999999997</v>
      </c>
      <c r="BS17" s="11">
        <v>1.5000000000000002</v>
      </c>
      <c r="BT17" s="11">
        <v>0.30899999999999994</v>
      </c>
      <c r="BU17" s="11">
        <v>0.25</v>
      </c>
      <c r="BV17" s="11">
        <v>0.13</v>
      </c>
      <c r="BW17" s="10">
        <v>9.4629999999999992</v>
      </c>
      <c r="BX17" s="10">
        <v>8.9700168853607709E-2</v>
      </c>
      <c r="BY17" s="10">
        <v>10.740092274765473</v>
      </c>
      <c r="BZ17" s="10">
        <v>0.62995386261726427</v>
      </c>
      <c r="CA17" s="12" t="s">
        <v>345</v>
      </c>
      <c r="CB17" s="12">
        <v>0.75</v>
      </c>
      <c r="CC17" s="12">
        <v>10.500000000000002</v>
      </c>
      <c r="CD17" s="151" t="s">
        <v>85</v>
      </c>
      <c r="CF17" s="150" t="s">
        <v>266</v>
      </c>
      <c r="CG17">
        <v>0.75</v>
      </c>
      <c r="CH17">
        <v>10.500000000000002</v>
      </c>
      <c r="CI17" s="151" t="s">
        <v>261</v>
      </c>
      <c r="CP17" s="225" t="s">
        <v>84</v>
      </c>
      <c r="CQ17" s="226"/>
      <c r="CR17" s="227"/>
      <c r="CT17" s="153" t="s">
        <v>84</v>
      </c>
      <c r="CU17" s="154"/>
      <c r="CV17" s="154"/>
      <c r="CW17" s="154"/>
      <c r="CX17" s="154"/>
      <c r="CY17" s="154"/>
      <c r="CZ17" s="154"/>
      <c r="DA17" s="154"/>
      <c r="DB17" s="154"/>
      <c r="DC17" s="154"/>
      <c r="DD17" s="155"/>
      <c r="DO17" s="196">
        <v>2</v>
      </c>
      <c r="DU17" s="220">
        <f t="shared" si="11"/>
        <v>360</v>
      </c>
      <c r="DV17" s="221">
        <v>30</v>
      </c>
      <c r="DW17" s="221">
        <v>5</v>
      </c>
      <c r="DX17" s="221">
        <v>60</v>
      </c>
      <c r="DY17" s="223">
        <f t="shared" si="104"/>
        <v>60</v>
      </c>
      <c r="DZ17" s="221">
        <v>240</v>
      </c>
      <c r="EA17" s="224" t="s">
        <v>261</v>
      </c>
      <c r="EH17" s="232">
        <v>17</v>
      </c>
      <c r="EI17" s="256">
        <v>204</v>
      </c>
      <c r="EJ17" s="257">
        <v>30</v>
      </c>
      <c r="EK17" s="257">
        <v>48</v>
      </c>
      <c r="EL17" s="257">
        <v>48</v>
      </c>
      <c r="EM17" s="257">
        <v>48</v>
      </c>
      <c r="EN17" s="257">
        <v>30</v>
      </c>
      <c r="EO17" s="257" t="s">
        <v>1137</v>
      </c>
      <c r="EP17" s="257" t="s">
        <v>1137</v>
      </c>
      <c r="EQ17" s="257" t="s">
        <v>1137</v>
      </c>
      <c r="ER17" s="257" t="s">
        <v>1137</v>
      </c>
      <c r="ES17" s="257" t="s">
        <v>1137</v>
      </c>
      <c r="ET17" s="257" t="s">
        <v>1137</v>
      </c>
      <c r="EU17" s="257" t="s">
        <v>1137</v>
      </c>
      <c r="EV17" s="257" t="s">
        <v>1137</v>
      </c>
      <c r="EW17" s="257" t="s">
        <v>1137</v>
      </c>
      <c r="EX17" s="257" t="s">
        <v>1137</v>
      </c>
      <c r="EY17" s="257" t="s">
        <v>1137</v>
      </c>
      <c r="EZ17" s="257"/>
      <c r="FA17" s="258">
        <v>4</v>
      </c>
      <c r="FB17" s="236">
        <f t="shared" si="12"/>
        <v>204</v>
      </c>
      <c r="FD17" s="237">
        <f t="shared" si="13"/>
        <v>17</v>
      </c>
      <c r="FE17" s="246">
        <f t="shared" si="8"/>
        <v>204</v>
      </c>
      <c r="FF17" s="247">
        <f t="shared" si="8"/>
        <v>30</v>
      </c>
      <c r="FG17" s="247">
        <f t="shared" si="8"/>
        <v>48</v>
      </c>
      <c r="FH17" s="247">
        <f t="shared" si="8"/>
        <v>48</v>
      </c>
      <c r="FI17" s="247">
        <f t="shared" si="8"/>
        <v>48</v>
      </c>
      <c r="FJ17" s="247">
        <f t="shared" si="8"/>
        <v>30</v>
      </c>
      <c r="FK17" s="247" t="str">
        <f t="shared" si="8"/>
        <v xml:space="preserve"> </v>
      </c>
      <c r="FL17" s="247" t="str">
        <f t="shared" si="8"/>
        <v xml:space="preserve"> </v>
      </c>
      <c r="FM17" s="247" t="str">
        <f t="shared" si="8"/>
        <v xml:space="preserve"> </v>
      </c>
      <c r="FN17" s="247" t="str">
        <f t="shared" si="8"/>
        <v xml:space="preserve"> </v>
      </c>
      <c r="FO17" s="247" t="str">
        <f t="shared" si="8"/>
        <v xml:space="preserve"> </v>
      </c>
      <c r="FP17" s="247" t="str">
        <f t="shared" si="8"/>
        <v xml:space="preserve"> </v>
      </c>
      <c r="FQ17" s="247" t="str">
        <f t="shared" si="8"/>
        <v xml:space="preserve"> </v>
      </c>
      <c r="FR17" s="247" t="str">
        <f t="shared" si="8"/>
        <v xml:space="preserve"> </v>
      </c>
      <c r="FS17" s="247" t="str">
        <f t="shared" si="8"/>
        <v xml:space="preserve"> </v>
      </c>
      <c r="FT17" s="247" t="str">
        <f t="shared" ref="FT17:FX65" si="105">EX17</f>
        <v xml:space="preserve"> </v>
      </c>
      <c r="FU17" s="247" t="str">
        <f t="shared" si="105"/>
        <v xml:space="preserve"> </v>
      </c>
      <c r="FV17" s="247">
        <f t="shared" si="105"/>
        <v>0</v>
      </c>
      <c r="FW17" s="248">
        <f t="shared" si="105"/>
        <v>4</v>
      </c>
      <c r="FX17" s="241">
        <f t="shared" si="105"/>
        <v>204</v>
      </c>
      <c r="FZ17" s="242">
        <v>17</v>
      </c>
      <c r="GA17" s="256">
        <v>204</v>
      </c>
      <c r="GB17" s="257">
        <v>42</v>
      </c>
      <c r="GC17" s="257">
        <v>60</v>
      </c>
      <c r="GD17" s="257">
        <v>60</v>
      </c>
      <c r="GE17" s="257">
        <v>42</v>
      </c>
      <c r="GF17" s="257"/>
      <c r="GG17" s="257" t="s">
        <v>1137</v>
      </c>
      <c r="GH17" s="257" t="s">
        <v>1137</v>
      </c>
      <c r="GI17" s="257" t="s">
        <v>1137</v>
      </c>
      <c r="GJ17" s="257" t="s">
        <v>1137</v>
      </c>
      <c r="GK17" s="257" t="s">
        <v>1137</v>
      </c>
      <c r="GL17" s="257" t="s">
        <v>1137</v>
      </c>
      <c r="GM17" s="257" t="s">
        <v>1137</v>
      </c>
      <c r="GN17" s="257" t="s">
        <v>1137</v>
      </c>
      <c r="GO17" s="257" t="s">
        <v>1137</v>
      </c>
      <c r="GP17" s="257" t="s">
        <v>1137</v>
      </c>
      <c r="GQ17" s="257" t="s">
        <v>1137</v>
      </c>
      <c r="GR17" s="257"/>
      <c r="GS17" s="258">
        <v>3</v>
      </c>
      <c r="GT17" s="236">
        <f t="shared" si="14"/>
        <v>204</v>
      </c>
      <c r="GV17" s="237">
        <f t="shared" si="15"/>
        <v>17</v>
      </c>
      <c r="GW17" s="246">
        <f t="shared" si="9"/>
        <v>204</v>
      </c>
      <c r="GX17" s="247">
        <f t="shared" si="9"/>
        <v>42</v>
      </c>
      <c r="GY17" s="247">
        <f t="shared" si="9"/>
        <v>60</v>
      </c>
      <c r="GZ17" s="247">
        <f t="shared" si="9"/>
        <v>60</v>
      </c>
      <c r="HA17" s="247">
        <f t="shared" si="9"/>
        <v>42</v>
      </c>
      <c r="HB17" s="247">
        <f t="shared" si="9"/>
        <v>0</v>
      </c>
      <c r="HC17" s="247" t="str">
        <f t="shared" si="9"/>
        <v xml:space="preserve"> </v>
      </c>
      <c r="HD17" s="247" t="str">
        <f t="shared" si="9"/>
        <v xml:space="preserve"> </v>
      </c>
      <c r="HE17" s="247" t="str">
        <f t="shared" si="9"/>
        <v xml:space="preserve"> </v>
      </c>
      <c r="HF17" s="247" t="str">
        <f t="shared" si="9"/>
        <v xml:space="preserve"> </v>
      </c>
      <c r="HG17" s="247" t="str">
        <f t="shared" si="9"/>
        <v xml:space="preserve"> </v>
      </c>
      <c r="HH17" s="247" t="str">
        <f t="shared" si="9"/>
        <v xml:space="preserve"> </v>
      </c>
      <c r="HI17" s="247" t="str">
        <f t="shared" si="9"/>
        <v xml:space="preserve"> </v>
      </c>
      <c r="HJ17" s="247" t="str">
        <f t="shared" si="9"/>
        <v xml:space="preserve"> </v>
      </c>
      <c r="HK17" s="247" t="str">
        <f t="shared" si="9"/>
        <v xml:space="preserve"> </v>
      </c>
      <c r="HL17" s="247" t="str">
        <f t="shared" si="9"/>
        <v xml:space="preserve"> </v>
      </c>
      <c r="HM17" s="247" t="str">
        <f t="shared" si="10"/>
        <v xml:space="preserve"> </v>
      </c>
      <c r="HN17" s="247">
        <f t="shared" si="10"/>
        <v>0</v>
      </c>
      <c r="HO17" s="248">
        <f t="shared" si="10"/>
        <v>3</v>
      </c>
      <c r="HP17" s="241">
        <f t="shared" si="10"/>
        <v>204</v>
      </c>
      <c r="HR17" s="232">
        <v>17</v>
      </c>
      <c r="HS17" s="256">
        <v>204</v>
      </c>
      <c r="HT17" s="257">
        <v>66</v>
      </c>
      <c r="HU17" s="257">
        <v>72</v>
      </c>
      <c r="HV17" s="257">
        <v>66</v>
      </c>
      <c r="HW17" s="257"/>
      <c r="HX17" s="257"/>
      <c r="HY17" s="257"/>
      <c r="HZ17" s="257"/>
      <c r="IA17" s="257"/>
      <c r="IB17" s="257"/>
      <c r="IC17" s="257"/>
      <c r="ID17" s="257"/>
      <c r="IE17" s="257"/>
      <c r="IF17" s="257"/>
      <c r="IG17" s="257"/>
      <c r="IH17" s="257"/>
      <c r="II17" s="257"/>
      <c r="IJ17" s="257"/>
      <c r="IK17" s="258">
        <v>2</v>
      </c>
      <c r="IL17" s="236">
        <f t="shared" si="16"/>
        <v>204</v>
      </c>
      <c r="IN17" s="232">
        <v>17</v>
      </c>
      <c r="IO17" s="256">
        <v>204</v>
      </c>
      <c r="IP17" s="257">
        <v>60</v>
      </c>
      <c r="IQ17" s="257">
        <v>84</v>
      </c>
      <c r="IR17" s="257">
        <v>60</v>
      </c>
      <c r="IS17" s="257"/>
      <c r="IT17" s="257"/>
      <c r="IU17" s="257"/>
      <c r="IV17" s="257"/>
      <c r="IW17" s="257"/>
      <c r="IX17" s="257"/>
      <c r="IY17" s="257"/>
      <c r="IZ17" s="257"/>
      <c r="JA17" s="257"/>
      <c r="JB17" s="257"/>
      <c r="JC17" s="257"/>
      <c r="JD17" s="257"/>
      <c r="JE17" s="257"/>
      <c r="JF17" s="257"/>
      <c r="JG17" s="258">
        <v>2</v>
      </c>
      <c r="JH17" s="236">
        <f t="shared" si="17"/>
        <v>204</v>
      </c>
      <c r="JJ17" s="242">
        <v>17</v>
      </c>
      <c r="JK17" s="256">
        <v>204</v>
      </c>
      <c r="JL17" s="257">
        <v>54</v>
      </c>
      <c r="JM17" s="257">
        <v>96</v>
      </c>
      <c r="JN17" s="257">
        <v>54</v>
      </c>
      <c r="JO17" s="257"/>
      <c r="JP17" s="257"/>
      <c r="JQ17" s="257"/>
      <c r="JR17" s="257"/>
      <c r="JS17" s="257"/>
      <c r="JT17" s="257"/>
      <c r="JU17" s="257"/>
      <c r="JV17" s="257"/>
      <c r="JW17" s="257"/>
      <c r="JX17" s="257"/>
      <c r="JY17" s="257"/>
      <c r="JZ17" s="257"/>
      <c r="KA17" s="257"/>
      <c r="KB17" s="257"/>
      <c r="KC17" s="258">
        <v>2</v>
      </c>
      <c r="KD17" s="236">
        <f t="shared" si="18"/>
        <v>204</v>
      </c>
      <c r="KF17" s="232">
        <v>17</v>
      </c>
      <c r="KG17" s="256">
        <v>204</v>
      </c>
      <c r="KH17" s="257">
        <v>48</v>
      </c>
      <c r="KI17" s="257">
        <v>54</v>
      </c>
      <c r="KJ17" s="257">
        <v>54</v>
      </c>
      <c r="KK17" s="257">
        <v>48</v>
      </c>
      <c r="KL17" s="257"/>
      <c r="KM17" s="257"/>
      <c r="KN17" s="257"/>
      <c r="KO17" s="257"/>
      <c r="KP17" s="257"/>
      <c r="KQ17" s="257"/>
      <c r="KR17" s="257"/>
      <c r="KS17" s="257"/>
      <c r="KT17" s="257"/>
      <c r="KU17" s="257"/>
      <c r="KV17" s="257"/>
      <c r="KW17" s="257"/>
      <c r="KX17" s="257"/>
      <c r="KY17" s="258">
        <v>3</v>
      </c>
      <c r="KZ17" s="236">
        <f t="shared" si="19"/>
        <v>204</v>
      </c>
      <c r="LB17" s="237">
        <f t="shared" si="20"/>
        <v>17</v>
      </c>
      <c r="LC17" s="284">
        <f t="shared" si="21"/>
        <v>204</v>
      </c>
      <c r="LD17" s="237">
        <f t="shared" si="22"/>
        <v>48</v>
      </c>
      <c r="LE17" s="237">
        <f t="shared" si="23"/>
        <v>54</v>
      </c>
      <c r="LF17" s="237">
        <f t="shared" si="24"/>
        <v>54</v>
      </c>
      <c r="LG17" s="237">
        <f t="shared" si="25"/>
        <v>48</v>
      </c>
      <c r="LH17" s="237">
        <f t="shared" si="26"/>
        <v>0</v>
      </c>
      <c r="LI17" s="237">
        <f t="shared" si="27"/>
        <v>0</v>
      </c>
      <c r="LJ17" s="237">
        <f t="shared" si="28"/>
        <v>0</v>
      </c>
      <c r="LK17" s="237">
        <f t="shared" si="29"/>
        <v>0</v>
      </c>
      <c r="LL17" s="237">
        <f t="shared" si="30"/>
        <v>0</v>
      </c>
      <c r="LM17" s="237">
        <f t="shared" si="31"/>
        <v>0</v>
      </c>
      <c r="LN17" s="237">
        <f t="shared" si="32"/>
        <v>0</v>
      </c>
      <c r="LO17" s="237">
        <f t="shared" si="33"/>
        <v>0</v>
      </c>
      <c r="LP17" s="237">
        <f t="shared" si="34"/>
        <v>0</v>
      </c>
      <c r="LQ17" s="237">
        <f t="shared" si="35"/>
        <v>0</v>
      </c>
      <c r="LR17" s="237">
        <f t="shared" si="36"/>
        <v>0</v>
      </c>
      <c r="LS17" s="237">
        <f t="shared" si="37"/>
        <v>0</v>
      </c>
      <c r="LT17" s="237">
        <f t="shared" si="38"/>
        <v>0</v>
      </c>
      <c r="LU17" s="285">
        <f t="shared" si="39"/>
        <v>3</v>
      </c>
      <c r="LV17" s="280">
        <f t="shared" si="40"/>
        <v>204</v>
      </c>
      <c r="LX17" s="237">
        <f t="shared" si="41"/>
        <v>17</v>
      </c>
      <c r="LY17" s="284">
        <f t="shared" si="42"/>
        <v>204</v>
      </c>
      <c r="LZ17" s="237">
        <f t="shared" si="43"/>
        <v>48</v>
      </c>
      <c r="MA17" s="237">
        <f t="shared" si="44"/>
        <v>54</v>
      </c>
      <c r="MB17" s="237">
        <f t="shared" si="45"/>
        <v>54</v>
      </c>
      <c r="MC17" s="237">
        <f t="shared" si="46"/>
        <v>48</v>
      </c>
      <c r="MD17" s="237">
        <f t="shared" si="47"/>
        <v>0</v>
      </c>
      <c r="ME17" s="237">
        <f t="shared" si="48"/>
        <v>0</v>
      </c>
      <c r="MF17" s="237">
        <f t="shared" si="49"/>
        <v>0</v>
      </c>
      <c r="MG17" s="237">
        <f t="shared" si="50"/>
        <v>0</v>
      </c>
      <c r="MH17" s="237">
        <f t="shared" si="51"/>
        <v>0</v>
      </c>
      <c r="MI17" s="237">
        <f t="shared" si="52"/>
        <v>0</v>
      </c>
      <c r="MJ17" s="237">
        <f t="shared" si="53"/>
        <v>0</v>
      </c>
      <c r="MK17" s="237">
        <f t="shared" si="54"/>
        <v>0</v>
      </c>
      <c r="ML17" s="237">
        <f t="shared" si="55"/>
        <v>0</v>
      </c>
      <c r="MM17" s="237">
        <f t="shared" si="56"/>
        <v>0</v>
      </c>
      <c r="MN17" s="237">
        <f t="shared" si="57"/>
        <v>0</v>
      </c>
      <c r="MO17" s="237">
        <f t="shared" si="58"/>
        <v>0</v>
      </c>
      <c r="MP17" s="237">
        <f t="shared" si="59"/>
        <v>0</v>
      </c>
      <c r="MQ17" s="285">
        <f t="shared" si="60"/>
        <v>3</v>
      </c>
      <c r="MR17" s="280">
        <f t="shared" si="61"/>
        <v>204</v>
      </c>
      <c r="MT17" s="237">
        <f t="shared" si="62"/>
        <v>17</v>
      </c>
      <c r="MU17" s="284">
        <f t="shared" si="63"/>
        <v>204</v>
      </c>
      <c r="MV17" s="237">
        <f t="shared" si="64"/>
        <v>48</v>
      </c>
      <c r="MW17" s="237">
        <f t="shared" si="65"/>
        <v>54</v>
      </c>
      <c r="MX17" s="237">
        <f t="shared" si="66"/>
        <v>54</v>
      </c>
      <c r="MY17" s="237">
        <f t="shared" si="67"/>
        <v>48</v>
      </c>
      <c r="MZ17" s="237">
        <f t="shared" si="68"/>
        <v>0</v>
      </c>
      <c r="NA17" s="237">
        <f t="shared" si="69"/>
        <v>0</v>
      </c>
      <c r="NB17" s="237">
        <f t="shared" si="70"/>
        <v>0</v>
      </c>
      <c r="NC17" s="237">
        <f t="shared" si="71"/>
        <v>0</v>
      </c>
      <c r="ND17" s="237">
        <f t="shared" si="72"/>
        <v>0</v>
      </c>
      <c r="NE17" s="237">
        <f t="shared" si="73"/>
        <v>0</v>
      </c>
      <c r="NF17" s="237">
        <f t="shared" si="74"/>
        <v>0</v>
      </c>
      <c r="NG17" s="237">
        <f t="shared" si="75"/>
        <v>0</v>
      </c>
      <c r="NH17" s="237">
        <f t="shared" si="76"/>
        <v>0</v>
      </c>
      <c r="NI17" s="237">
        <f t="shared" si="77"/>
        <v>0</v>
      </c>
      <c r="NJ17" s="237">
        <f t="shared" si="78"/>
        <v>0</v>
      </c>
      <c r="NK17" s="237">
        <f t="shared" si="79"/>
        <v>0</v>
      </c>
      <c r="NL17" s="237">
        <f t="shared" si="80"/>
        <v>0</v>
      </c>
      <c r="NM17" s="285">
        <f t="shared" si="81"/>
        <v>3</v>
      </c>
      <c r="NN17" s="280">
        <f t="shared" si="82"/>
        <v>204</v>
      </c>
      <c r="NP17" s="237">
        <f t="shared" si="83"/>
        <v>17</v>
      </c>
      <c r="NQ17" s="284">
        <f t="shared" si="84"/>
        <v>204</v>
      </c>
      <c r="NR17" s="237">
        <f t="shared" si="85"/>
        <v>48</v>
      </c>
      <c r="NS17" s="237">
        <f t="shared" si="86"/>
        <v>54</v>
      </c>
      <c r="NT17" s="237">
        <f t="shared" si="87"/>
        <v>54</v>
      </c>
      <c r="NU17" s="237">
        <f t="shared" si="88"/>
        <v>48</v>
      </c>
      <c r="NV17" s="237">
        <f t="shared" si="89"/>
        <v>0</v>
      </c>
      <c r="NW17" s="237">
        <f t="shared" si="90"/>
        <v>0</v>
      </c>
      <c r="NX17" s="237">
        <f t="shared" si="91"/>
        <v>0</v>
      </c>
      <c r="NY17" s="237">
        <f t="shared" si="92"/>
        <v>0</v>
      </c>
      <c r="NZ17" s="237">
        <f t="shared" si="93"/>
        <v>0</v>
      </c>
      <c r="OA17" s="237">
        <f t="shared" si="94"/>
        <v>0</v>
      </c>
      <c r="OB17" s="237">
        <f t="shared" si="95"/>
        <v>0</v>
      </c>
      <c r="OC17" s="237">
        <f t="shared" si="96"/>
        <v>0</v>
      </c>
      <c r="OD17" s="237">
        <f t="shared" si="97"/>
        <v>0</v>
      </c>
      <c r="OE17" s="237">
        <f t="shared" si="98"/>
        <v>0</v>
      </c>
      <c r="OF17" s="237">
        <f t="shared" si="99"/>
        <v>0</v>
      </c>
      <c r="OG17" s="237">
        <f t="shared" si="100"/>
        <v>0</v>
      </c>
      <c r="OH17" s="237">
        <f t="shared" si="101"/>
        <v>0</v>
      </c>
      <c r="OI17" s="285">
        <f t="shared" si="102"/>
        <v>3</v>
      </c>
      <c r="OJ17" s="280">
        <f t="shared" si="103"/>
        <v>204</v>
      </c>
    </row>
    <row r="18" spans="12:400" ht="15" thickTop="1" x14ac:dyDescent="0.3">
      <c r="L18" s="127" t="str">
        <f t="shared" si="5"/>
        <v>C8x18.75</v>
      </c>
      <c r="M18" s="138">
        <v>18.75</v>
      </c>
      <c r="N18" s="138">
        <v>5.51</v>
      </c>
      <c r="O18" s="138">
        <v>8</v>
      </c>
      <c r="P18" s="138">
        <v>0.48699999999999993</v>
      </c>
      <c r="Q18" s="138">
        <v>2.5270000000000001</v>
      </c>
      <c r="R18" s="138">
        <v>0.39</v>
      </c>
      <c r="S18" s="138">
        <v>0.32</v>
      </c>
      <c r="T18" s="138">
        <v>0.13</v>
      </c>
      <c r="U18">
        <v>9.4629999999999992</v>
      </c>
      <c r="V18" s="138">
        <f t="shared" si="6"/>
        <v>0.10986239772232176</v>
      </c>
      <c r="W18" s="139">
        <f t="shared" si="7"/>
        <v>18.75</v>
      </c>
      <c r="X18" s="140" t="s">
        <v>72</v>
      </c>
      <c r="Y18" s="141">
        <v>0.9375</v>
      </c>
      <c r="Z18" s="141">
        <v>6.125</v>
      </c>
      <c r="AA18" s="133" t="s">
        <v>85</v>
      </c>
      <c r="AE18" s="127" t="str">
        <f t="shared" si="0"/>
        <v>L2x2.5x0.25</v>
      </c>
      <c r="AF18" s="138">
        <v>2</v>
      </c>
      <c r="AG18" s="138">
        <v>2.5</v>
      </c>
      <c r="AH18" s="138">
        <v>0.25</v>
      </c>
      <c r="AI18" s="138">
        <v>0.18750000000000003</v>
      </c>
      <c r="AJ18" s="138">
        <v>0.18750000000000003</v>
      </c>
      <c r="AK18">
        <f t="shared" si="1"/>
        <v>6.2699999999999978E-2</v>
      </c>
      <c r="AL18" t="s">
        <v>118</v>
      </c>
      <c r="AM18" s="133" t="s">
        <v>85</v>
      </c>
      <c r="AP18" s="127" t="str">
        <f t="shared" si="2"/>
        <v>S12x40.8</v>
      </c>
      <c r="AQ18">
        <v>12</v>
      </c>
      <c r="AR18" s="138">
        <v>40.799999999999997</v>
      </c>
      <c r="AS18" s="138">
        <v>12.000000000000002</v>
      </c>
      <c r="AT18" s="138">
        <v>0.46200000000000002</v>
      </c>
      <c r="AU18" s="138">
        <v>5.2519999999999998</v>
      </c>
      <c r="AV18" s="138">
        <v>0.65900000000000003</v>
      </c>
      <c r="AW18" s="138">
        <v>0.56000000000000005</v>
      </c>
      <c r="AX18" s="138">
        <v>0.28000000000000003</v>
      </c>
      <c r="AY18">
        <v>9.4630000000000312</v>
      </c>
      <c r="AZ18" s="138">
        <f t="shared" si="3"/>
        <v>9.3340332536889452</v>
      </c>
      <c r="BA18" s="133" t="s">
        <v>85</v>
      </c>
      <c r="BD18" s="143" t="str">
        <f t="shared" si="4"/>
        <v>W8x24</v>
      </c>
      <c r="BE18">
        <v>8</v>
      </c>
      <c r="BF18" s="138">
        <v>24.000000000000004</v>
      </c>
      <c r="BG18" s="138">
        <v>7.93</v>
      </c>
      <c r="BH18" s="138">
        <v>0.245</v>
      </c>
      <c r="BI18" s="138">
        <v>6.4950000000000001</v>
      </c>
      <c r="BJ18" s="138">
        <v>0.4</v>
      </c>
      <c r="BK18" s="138">
        <v>0.4</v>
      </c>
      <c r="BL18" t="s">
        <v>187</v>
      </c>
      <c r="BM18" s="133" t="s">
        <v>85</v>
      </c>
      <c r="BO18" s="150" t="s">
        <v>289</v>
      </c>
      <c r="BP18" s="138">
        <v>41.1</v>
      </c>
      <c r="BQ18" s="144">
        <v>10</v>
      </c>
      <c r="BR18" s="144">
        <v>0.79600000000000004</v>
      </c>
      <c r="BS18" s="144">
        <v>4.3209999999999997</v>
      </c>
      <c r="BT18" s="144">
        <v>0.57499999999999996</v>
      </c>
      <c r="BU18" s="144">
        <v>0.57999999999999996</v>
      </c>
      <c r="BV18" s="144">
        <v>0.33080270425372194</v>
      </c>
      <c r="BW18" s="138">
        <v>9.4629999999999992</v>
      </c>
      <c r="BX18" s="138">
        <v>9.9999999999991762E-4</v>
      </c>
      <c r="BY18" s="138">
        <v>7.279801504262525</v>
      </c>
      <c r="BZ18" s="138">
        <v>1.3600992478687375</v>
      </c>
      <c r="CB18">
        <v>1.3125</v>
      </c>
      <c r="CC18">
        <v>7.375</v>
      </c>
      <c r="CD18" s="151" t="s">
        <v>85</v>
      </c>
      <c r="CF18" s="150" t="s">
        <v>289</v>
      </c>
      <c r="CG18">
        <v>1.3125</v>
      </c>
      <c r="CH18">
        <v>7.375</v>
      </c>
      <c r="CI18" s="151" t="s">
        <v>261</v>
      </c>
      <c r="DO18" s="196">
        <v>2.5</v>
      </c>
      <c r="DU18" s="220">
        <f t="shared" si="11"/>
        <v>372</v>
      </c>
      <c r="DV18" s="228">
        <v>31</v>
      </c>
      <c r="DW18" s="228">
        <v>5</v>
      </c>
      <c r="DX18" s="228">
        <v>62</v>
      </c>
      <c r="DY18" s="228">
        <f t="shared" si="104"/>
        <v>62</v>
      </c>
      <c r="DZ18" s="228">
        <v>248</v>
      </c>
      <c r="EA18" s="229" t="s">
        <v>261</v>
      </c>
      <c r="EB18" t="s">
        <v>1119</v>
      </c>
      <c r="EH18" s="243">
        <v>18</v>
      </c>
      <c r="EI18" s="244">
        <v>216</v>
      </c>
      <c r="EJ18" s="90">
        <v>36</v>
      </c>
      <c r="EK18" s="90">
        <v>48</v>
      </c>
      <c r="EL18" s="90">
        <v>48</v>
      </c>
      <c r="EM18" s="90">
        <v>48</v>
      </c>
      <c r="EN18" s="90">
        <v>36</v>
      </c>
      <c r="EO18" s="90" t="s">
        <v>1137</v>
      </c>
      <c r="EP18" s="90" t="s">
        <v>1137</v>
      </c>
      <c r="EQ18" s="90" t="s">
        <v>1137</v>
      </c>
      <c r="ER18" s="90" t="s">
        <v>1137</v>
      </c>
      <c r="ES18" s="90" t="s">
        <v>1137</v>
      </c>
      <c r="ET18" s="90" t="s">
        <v>1137</v>
      </c>
      <c r="EU18" s="90" t="s">
        <v>1137</v>
      </c>
      <c r="EV18" s="90" t="s">
        <v>1137</v>
      </c>
      <c r="EW18" s="90" t="s">
        <v>1137</v>
      </c>
      <c r="EX18" s="90" t="s">
        <v>1137</v>
      </c>
      <c r="EY18" s="90" t="s">
        <v>1137</v>
      </c>
      <c r="EZ18" s="90"/>
      <c r="FA18" s="224">
        <v>4</v>
      </c>
      <c r="FB18" s="245">
        <f t="shared" si="12"/>
        <v>216</v>
      </c>
      <c r="FD18" s="237">
        <f t="shared" si="13"/>
        <v>18</v>
      </c>
      <c r="FE18" s="246">
        <f t="shared" si="13"/>
        <v>216</v>
      </c>
      <c r="FF18" s="247">
        <f t="shared" si="13"/>
        <v>36</v>
      </c>
      <c r="FG18" s="247">
        <f t="shared" si="13"/>
        <v>48</v>
      </c>
      <c r="FH18" s="247">
        <f t="shared" si="13"/>
        <v>48</v>
      </c>
      <c r="FI18" s="247">
        <f t="shared" si="13"/>
        <v>48</v>
      </c>
      <c r="FJ18" s="247">
        <f t="shared" si="13"/>
        <v>36</v>
      </c>
      <c r="FK18" s="247" t="str">
        <f t="shared" si="13"/>
        <v xml:space="preserve"> </v>
      </c>
      <c r="FL18" s="247" t="str">
        <f t="shared" si="13"/>
        <v xml:space="preserve"> </v>
      </c>
      <c r="FM18" s="247" t="str">
        <f t="shared" si="13"/>
        <v xml:space="preserve"> </v>
      </c>
      <c r="FN18" s="247" t="str">
        <f t="shared" si="13"/>
        <v xml:space="preserve"> </v>
      </c>
      <c r="FO18" s="247" t="str">
        <f t="shared" si="13"/>
        <v xml:space="preserve"> </v>
      </c>
      <c r="FP18" s="247" t="str">
        <f t="shared" si="13"/>
        <v xml:space="preserve"> </v>
      </c>
      <c r="FQ18" s="247" t="str">
        <f t="shared" si="13"/>
        <v xml:space="preserve"> </v>
      </c>
      <c r="FR18" s="247" t="str">
        <f t="shared" si="13"/>
        <v xml:space="preserve"> </v>
      </c>
      <c r="FS18" s="247" t="str">
        <f t="shared" si="13"/>
        <v xml:space="preserve"> </v>
      </c>
      <c r="FT18" s="247" t="str">
        <f t="shared" si="105"/>
        <v xml:space="preserve"> </v>
      </c>
      <c r="FU18" s="247" t="str">
        <f t="shared" si="105"/>
        <v xml:space="preserve"> </v>
      </c>
      <c r="FV18" s="247">
        <f t="shared" si="105"/>
        <v>0</v>
      </c>
      <c r="FW18" s="248">
        <f t="shared" si="105"/>
        <v>4</v>
      </c>
      <c r="FX18" s="241">
        <f t="shared" si="105"/>
        <v>216</v>
      </c>
      <c r="FZ18" s="249">
        <v>18</v>
      </c>
      <c r="GA18" s="244">
        <v>216</v>
      </c>
      <c r="GB18" s="90">
        <v>48</v>
      </c>
      <c r="GC18" s="90">
        <v>60</v>
      </c>
      <c r="GD18" s="90">
        <v>60</v>
      </c>
      <c r="GE18" s="90">
        <v>48</v>
      </c>
      <c r="GF18" s="90"/>
      <c r="GG18" s="90" t="s">
        <v>1137</v>
      </c>
      <c r="GH18" s="90" t="s">
        <v>1137</v>
      </c>
      <c r="GI18" s="90" t="s">
        <v>1137</v>
      </c>
      <c r="GJ18" s="90" t="s">
        <v>1137</v>
      </c>
      <c r="GK18" s="90" t="s">
        <v>1137</v>
      </c>
      <c r="GL18" s="90" t="s">
        <v>1137</v>
      </c>
      <c r="GM18" s="90" t="s">
        <v>1137</v>
      </c>
      <c r="GN18" s="90" t="s">
        <v>1137</v>
      </c>
      <c r="GO18" s="90" t="s">
        <v>1137</v>
      </c>
      <c r="GP18" s="90" t="s">
        <v>1137</v>
      </c>
      <c r="GQ18" s="90" t="s">
        <v>1137</v>
      </c>
      <c r="GR18" s="90"/>
      <c r="GS18" s="224">
        <v>3</v>
      </c>
      <c r="GT18" s="245">
        <f t="shared" si="14"/>
        <v>216</v>
      </c>
      <c r="GV18" s="237">
        <f t="shared" si="15"/>
        <v>18</v>
      </c>
      <c r="GW18" s="246">
        <f t="shared" si="9"/>
        <v>216</v>
      </c>
      <c r="GX18" s="247">
        <f t="shared" si="9"/>
        <v>48</v>
      </c>
      <c r="GY18" s="247">
        <f t="shared" si="9"/>
        <v>60</v>
      </c>
      <c r="GZ18" s="247">
        <f t="shared" si="9"/>
        <v>60</v>
      </c>
      <c r="HA18" s="247">
        <f t="shared" si="9"/>
        <v>48</v>
      </c>
      <c r="HB18" s="247">
        <f t="shared" si="9"/>
        <v>0</v>
      </c>
      <c r="HC18" s="247" t="str">
        <f t="shared" si="9"/>
        <v xml:space="preserve"> </v>
      </c>
      <c r="HD18" s="247" t="str">
        <f t="shared" si="9"/>
        <v xml:space="preserve"> </v>
      </c>
      <c r="HE18" s="247" t="str">
        <f t="shared" si="9"/>
        <v xml:space="preserve"> </v>
      </c>
      <c r="HF18" s="247" t="str">
        <f t="shared" si="9"/>
        <v xml:space="preserve"> </v>
      </c>
      <c r="HG18" s="247" t="str">
        <f t="shared" si="9"/>
        <v xml:space="preserve"> </v>
      </c>
      <c r="HH18" s="247" t="str">
        <f t="shared" si="9"/>
        <v xml:space="preserve"> </v>
      </c>
      <c r="HI18" s="247" t="str">
        <f t="shared" si="9"/>
        <v xml:space="preserve"> </v>
      </c>
      <c r="HJ18" s="247" t="str">
        <f t="shared" si="9"/>
        <v xml:space="preserve"> </v>
      </c>
      <c r="HK18" s="247" t="str">
        <f t="shared" si="9"/>
        <v xml:space="preserve"> </v>
      </c>
      <c r="HL18" s="247" t="str">
        <f t="shared" si="9"/>
        <v xml:space="preserve"> </v>
      </c>
      <c r="HM18" s="247" t="str">
        <f t="shared" si="10"/>
        <v xml:space="preserve"> </v>
      </c>
      <c r="HN18" s="247">
        <f t="shared" si="10"/>
        <v>0</v>
      </c>
      <c r="HO18" s="248">
        <f t="shared" si="10"/>
        <v>3</v>
      </c>
      <c r="HP18" s="241">
        <f t="shared" si="10"/>
        <v>216</v>
      </c>
      <c r="HR18" s="243">
        <v>18</v>
      </c>
      <c r="HS18" s="244">
        <v>216</v>
      </c>
      <c r="HT18" s="90">
        <v>72</v>
      </c>
      <c r="HU18" s="90">
        <v>72</v>
      </c>
      <c r="HV18" s="90">
        <v>72</v>
      </c>
      <c r="HW18" s="90"/>
      <c r="HX18" s="90"/>
      <c r="HY18" s="90"/>
      <c r="HZ18" s="90"/>
      <c r="IA18" s="90"/>
      <c r="IB18" s="90"/>
      <c r="IC18" s="90"/>
      <c r="ID18" s="90"/>
      <c r="IE18" s="90"/>
      <c r="IF18" s="90"/>
      <c r="IG18" s="90"/>
      <c r="IH18" s="90"/>
      <c r="II18" s="90"/>
      <c r="IJ18" s="90"/>
      <c r="IK18" s="224">
        <v>2</v>
      </c>
      <c r="IL18" s="245">
        <f t="shared" si="16"/>
        <v>216</v>
      </c>
      <c r="IN18" s="243">
        <v>18</v>
      </c>
      <c r="IO18" s="244">
        <v>216</v>
      </c>
      <c r="IP18" s="90">
        <v>66</v>
      </c>
      <c r="IQ18" s="90">
        <v>84</v>
      </c>
      <c r="IR18" s="90">
        <v>66</v>
      </c>
      <c r="IS18" s="90"/>
      <c r="IT18" s="90"/>
      <c r="IU18" s="90"/>
      <c r="IV18" s="90"/>
      <c r="IW18" s="90"/>
      <c r="IX18" s="90"/>
      <c r="IY18" s="90"/>
      <c r="IZ18" s="90"/>
      <c r="JA18" s="90"/>
      <c r="JB18" s="90"/>
      <c r="JC18" s="90"/>
      <c r="JD18" s="90"/>
      <c r="JE18" s="90"/>
      <c r="JF18" s="90"/>
      <c r="JG18" s="224">
        <v>2</v>
      </c>
      <c r="JH18" s="245">
        <f t="shared" si="17"/>
        <v>216</v>
      </c>
      <c r="JJ18" s="249">
        <v>18</v>
      </c>
      <c r="JK18" s="244">
        <v>216</v>
      </c>
      <c r="JL18" s="90">
        <v>60</v>
      </c>
      <c r="JM18" s="90">
        <v>96</v>
      </c>
      <c r="JN18" s="90">
        <v>60</v>
      </c>
      <c r="JO18" s="90"/>
      <c r="JP18" s="90"/>
      <c r="JQ18" s="90"/>
      <c r="JR18" s="90"/>
      <c r="JS18" s="90"/>
      <c r="JT18" s="90"/>
      <c r="JU18" s="90"/>
      <c r="JV18" s="90"/>
      <c r="JW18" s="90"/>
      <c r="JX18" s="90"/>
      <c r="JY18" s="90"/>
      <c r="JZ18" s="90"/>
      <c r="KA18" s="90"/>
      <c r="KB18" s="90"/>
      <c r="KC18" s="224">
        <v>2</v>
      </c>
      <c r="KD18" s="245">
        <f t="shared" si="18"/>
        <v>216</v>
      </c>
      <c r="KF18" s="243">
        <v>18</v>
      </c>
      <c r="KG18" s="244">
        <v>216</v>
      </c>
      <c r="KH18" s="90">
        <v>54</v>
      </c>
      <c r="KI18" s="90">
        <v>54</v>
      </c>
      <c r="KJ18" s="90">
        <v>54</v>
      </c>
      <c r="KK18" s="90">
        <v>54</v>
      </c>
      <c r="KL18" s="90"/>
      <c r="KM18" s="90"/>
      <c r="KN18" s="90"/>
      <c r="KO18" s="90"/>
      <c r="KP18" s="90"/>
      <c r="KQ18" s="90"/>
      <c r="KR18" s="90"/>
      <c r="KS18" s="90"/>
      <c r="KT18" s="90"/>
      <c r="KU18" s="90"/>
      <c r="KV18" s="90"/>
      <c r="KW18" s="90"/>
      <c r="KX18" s="90"/>
      <c r="KY18" s="224">
        <v>3</v>
      </c>
      <c r="KZ18" s="245">
        <f t="shared" si="19"/>
        <v>216</v>
      </c>
      <c r="LB18" s="237">
        <f t="shared" si="20"/>
        <v>18</v>
      </c>
      <c r="LC18" s="284">
        <f t="shared" si="21"/>
        <v>216</v>
      </c>
      <c r="LD18" s="237">
        <f t="shared" si="22"/>
        <v>54</v>
      </c>
      <c r="LE18" s="237">
        <f t="shared" si="23"/>
        <v>54</v>
      </c>
      <c r="LF18" s="237">
        <f t="shared" si="24"/>
        <v>54</v>
      </c>
      <c r="LG18" s="237">
        <f t="shared" si="25"/>
        <v>54</v>
      </c>
      <c r="LH18" s="237">
        <f t="shared" si="26"/>
        <v>0</v>
      </c>
      <c r="LI18" s="237">
        <f t="shared" si="27"/>
        <v>0</v>
      </c>
      <c r="LJ18" s="237">
        <f t="shared" si="28"/>
        <v>0</v>
      </c>
      <c r="LK18" s="237">
        <f t="shared" si="29"/>
        <v>0</v>
      </c>
      <c r="LL18" s="237">
        <f t="shared" si="30"/>
        <v>0</v>
      </c>
      <c r="LM18" s="237">
        <f t="shared" si="31"/>
        <v>0</v>
      </c>
      <c r="LN18" s="237">
        <f t="shared" si="32"/>
        <v>0</v>
      </c>
      <c r="LO18" s="237">
        <f t="shared" si="33"/>
        <v>0</v>
      </c>
      <c r="LP18" s="237">
        <f t="shared" si="34"/>
        <v>0</v>
      </c>
      <c r="LQ18" s="237">
        <f t="shared" si="35"/>
        <v>0</v>
      </c>
      <c r="LR18" s="237">
        <f t="shared" si="36"/>
        <v>0</v>
      </c>
      <c r="LS18" s="237">
        <f t="shared" si="37"/>
        <v>0</v>
      </c>
      <c r="LT18" s="237">
        <f t="shared" si="38"/>
        <v>0</v>
      </c>
      <c r="LU18" s="285">
        <f t="shared" si="39"/>
        <v>3</v>
      </c>
      <c r="LV18" s="280">
        <f t="shared" si="40"/>
        <v>216</v>
      </c>
      <c r="LX18" s="237">
        <f t="shared" si="41"/>
        <v>18</v>
      </c>
      <c r="LY18" s="284">
        <f t="shared" si="42"/>
        <v>216</v>
      </c>
      <c r="LZ18" s="237">
        <f t="shared" si="43"/>
        <v>54</v>
      </c>
      <c r="MA18" s="237">
        <f t="shared" si="44"/>
        <v>54</v>
      </c>
      <c r="MB18" s="237">
        <f t="shared" si="45"/>
        <v>54</v>
      </c>
      <c r="MC18" s="237">
        <f t="shared" si="46"/>
        <v>54</v>
      </c>
      <c r="MD18" s="237">
        <f t="shared" si="47"/>
        <v>0</v>
      </c>
      <c r="ME18" s="237">
        <f t="shared" si="48"/>
        <v>0</v>
      </c>
      <c r="MF18" s="237">
        <f t="shared" si="49"/>
        <v>0</v>
      </c>
      <c r="MG18" s="237">
        <f t="shared" si="50"/>
        <v>0</v>
      </c>
      <c r="MH18" s="237">
        <f t="shared" si="51"/>
        <v>0</v>
      </c>
      <c r="MI18" s="237">
        <f t="shared" si="52"/>
        <v>0</v>
      </c>
      <c r="MJ18" s="237">
        <f t="shared" si="53"/>
        <v>0</v>
      </c>
      <c r="MK18" s="237">
        <f t="shared" si="54"/>
        <v>0</v>
      </c>
      <c r="ML18" s="237">
        <f t="shared" si="55"/>
        <v>0</v>
      </c>
      <c r="MM18" s="237">
        <f t="shared" si="56"/>
        <v>0</v>
      </c>
      <c r="MN18" s="237">
        <f t="shared" si="57"/>
        <v>0</v>
      </c>
      <c r="MO18" s="237">
        <f t="shared" si="58"/>
        <v>0</v>
      </c>
      <c r="MP18" s="237">
        <f t="shared" si="59"/>
        <v>0</v>
      </c>
      <c r="MQ18" s="285">
        <f t="shared" si="60"/>
        <v>3</v>
      </c>
      <c r="MR18" s="280">
        <f t="shared" si="61"/>
        <v>216</v>
      </c>
      <c r="MT18" s="237">
        <f t="shared" si="62"/>
        <v>18</v>
      </c>
      <c r="MU18" s="284">
        <f t="shared" si="63"/>
        <v>216</v>
      </c>
      <c r="MV18" s="237">
        <f t="shared" si="64"/>
        <v>54</v>
      </c>
      <c r="MW18" s="237">
        <f t="shared" si="65"/>
        <v>54</v>
      </c>
      <c r="MX18" s="237">
        <f t="shared" si="66"/>
        <v>54</v>
      </c>
      <c r="MY18" s="237">
        <f t="shared" si="67"/>
        <v>54</v>
      </c>
      <c r="MZ18" s="237">
        <f t="shared" si="68"/>
        <v>0</v>
      </c>
      <c r="NA18" s="237">
        <f t="shared" si="69"/>
        <v>0</v>
      </c>
      <c r="NB18" s="237">
        <f t="shared" si="70"/>
        <v>0</v>
      </c>
      <c r="NC18" s="237">
        <f t="shared" si="71"/>
        <v>0</v>
      </c>
      <c r="ND18" s="237">
        <f t="shared" si="72"/>
        <v>0</v>
      </c>
      <c r="NE18" s="237">
        <f t="shared" si="73"/>
        <v>0</v>
      </c>
      <c r="NF18" s="237">
        <f t="shared" si="74"/>
        <v>0</v>
      </c>
      <c r="NG18" s="237">
        <f t="shared" si="75"/>
        <v>0</v>
      </c>
      <c r="NH18" s="237">
        <f t="shared" si="76"/>
        <v>0</v>
      </c>
      <c r="NI18" s="237">
        <f t="shared" si="77"/>
        <v>0</v>
      </c>
      <c r="NJ18" s="237">
        <f t="shared" si="78"/>
        <v>0</v>
      </c>
      <c r="NK18" s="237">
        <f t="shared" si="79"/>
        <v>0</v>
      </c>
      <c r="NL18" s="237">
        <f t="shared" si="80"/>
        <v>0</v>
      </c>
      <c r="NM18" s="285">
        <f t="shared" si="81"/>
        <v>3</v>
      </c>
      <c r="NN18" s="280">
        <f t="shared" si="82"/>
        <v>216</v>
      </c>
      <c r="NP18" s="237">
        <f t="shared" si="83"/>
        <v>18</v>
      </c>
      <c r="NQ18" s="284">
        <f t="shared" si="84"/>
        <v>216</v>
      </c>
      <c r="NR18" s="237">
        <f t="shared" si="85"/>
        <v>54</v>
      </c>
      <c r="NS18" s="237">
        <f t="shared" si="86"/>
        <v>54</v>
      </c>
      <c r="NT18" s="237">
        <f t="shared" si="87"/>
        <v>54</v>
      </c>
      <c r="NU18" s="237">
        <f t="shared" si="88"/>
        <v>54</v>
      </c>
      <c r="NV18" s="237">
        <f t="shared" si="89"/>
        <v>0</v>
      </c>
      <c r="NW18" s="237">
        <f t="shared" si="90"/>
        <v>0</v>
      </c>
      <c r="NX18" s="237">
        <f t="shared" si="91"/>
        <v>0</v>
      </c>
      <c r="NY18" s="237">
        <f t="shared" si="92"/>
        <v>0</v>
      </c>
      <c r="NZ18" s="237">
        <f t="shared" si="93"/>
        <v>0</v>
      </c>
      <c r="OA18" s="237">
        <f t="shared" si="94"/>
        <v>0</v>
      </c>
      <c r="OB18" s="237">
        <f t="shared" si="95"/>
        <v>0</v>
      </c>
      <c r="OC18" s="237">
        <f t="shared" si="96"/>
        <v>0</v>
      </c>
      <c r="OD18" s="237">
        <f t="shared" si="97"/>
        <v>0</v>
      </c>
      <c r="OE18" s="237">
        <f t="shared" si="98"/>
        <v>0</v>
      </c>
      <c r="OF18" s="237">
        <f t="shared" si="99"/>
        <v>0</v>
      </c>
      <c r="OG18" s="237">
        <f t="shared" si="100"/>
        <v>0</v>
      </c>
      <c r="OH18" s="237">
        <f t="shared" si="101"/>
        <v>0</v>
      </c>
      <c r="OI18" s="285">
        <f t="shared" si="102"/>
        <v>3</v>
      </c>
      <c r="OJ18" s="280">
        <f t="shared" si="103"/>
        <v>216</v>
      </c>
    </row>
    <row r="19" spans="12:400" x14ac:dyDescent="0.3">
      <c r="L19" s="127" t="str">
        <f t="shared" si="5"/>
        <v>C8x13.75</v>
      </c>
      <c r="M19" s="138">
        <v>13.75</v>
      </c>
      <c r="N19" s="138">
        <v>4.04</v>
      </c>
      <c r="O19" s="138">
        <v>8</v>
      </c>
      <c r="P19" s="138">
        <v>0.30299999999999999</v>
      </c>
      <c r="Q19" s="138">
        <v>2.343</v>
      </c>
      <c r="R19" s="138">
        <v>0.39</v>
      </c>
      <c r="S19" s="138">
        <v>0.32</v>
      </c>
      <c r="T19" s="138">
        <v>0.13</v>
      </c>
      <c r="U19">
        <v>9.4629999999999992</v>
      </c>
      <c r="V19" s="138">
        <f t="shared" si="6"/>
        <v>0.10986239772232176</v>
      </c>
      <c r="W19" s="139">
        <f t="shared" si="7"/>
        <v>13.75</v>
      </c>
      <c r="X19" s="140"/>
      <c r="Y19" s="141">
        <v>0.9375</v>
      </c>
      <c r="Z19" s="141">
        <v>6.125</v>
      </c>
      <c r="AA19" s="133" t="s">
        <v>85</v>
      </c>
      <c r="AE19" s="127" t="str">
        <f t="shared" si="0"/>
        <v>L2x2.5x0.3125</v>
      </c>
      <c r="AF19" s="138">
        <v>2</v>
      </c>
      <c r="AG19" s="138">
        <v>2.5</v>
      </c>
      <c r="AH19" s="138">
        <v>0.3125</v>
      </c>
      <c r="AI19" s="138">
        <v>0.18750000000000003</v>
      </c>
      <c r="AJ19" s="138">
        <v>0.18750000000000003</v>
      </c>
      <c r="AK19">
        <f t="shared" si="1"/>
        <v>0.12519999999999998</v>
      </c>
      <c r="AM19" s="133" t="s">
        <v>85</v>
      </c>
      <c r="AP19" s="127" t="str">
        <f t="shared" si="2"/>
        <v>S12x35</v>
      </c>
      <c r="AQ19">
        <v>12</v>
      </c>
      <c r="AR19" s="138">
        <v>35</v>
      </c>
      <c r="AS19" s="138">
        <v>12.000000000000002</v>
      </c>
      <c r="AT19" s="138">
        <v>0.42799999999999999</v>
      </c>
      <c r="AU19" s="138">
        <v>5.0779999999999994</v>
      </c>
      <c r="AV19" s="138">
        <v>0.54400000000000004</v>
      </c>
      <c r="AW19" s="138">
        <v>0.44999999999999996</v>
      </c>
      <c r="AX19" s="138">
        <v>0.21</v>
      </c>
      <c r="AY19">
        <v>9.4630000000000312</v>
      </c>
      <c r="AZ19" s="138">
        <f t="shared" si="3"/>
        <v>9.7620664958034169</v>
      </c>
      <c r="BA19" s="133" t="s">
        <v>85</v>
      </c>
      <c r="BD19" s="143" t="str">
        <f t="shared" si="4"/>
        <v>W8x28</v>
      </c>
      <c r="BE19">
        <v>8</v>
      </c>
      <c r="BF19" s="138">
        <v>28</v>
      </c>
      <c r="BG19" s="138">
        <v>8.06</v>
      </c>
      <c r="BH19" s="138">
        <v>0.28499999999999998</v>
      </c>
      <c r="BI19" s="138">
        <v>6.5350000000000001</v>
      </c>
      <c r="BJ19" s="138">
        <v>0.46500000000000002</v>
      </c>
      <c r="BK19" s="138">
        <v>0.4</v>
      </c>
      <c r="BL19" t="s">
        <v>186</v>
      </c>
      <c r="BM19" s="133" t="s">
        <v>85</v>
      </c>
      <c r="BO19" s="150" t="s">
        <v>290</v>
      </c>
      <c r="BP19" s="138">
        <v>33.6</v>
      </c>
      <c r="BQ19" s="144">
        <v>10</v>
      </c>
      <c r="BR19" s="144">
        <v>0.57499999999999996</v>
      </c>
      <c r="BS19" s="144">
        <v>4.0999999999999996</v>
      </c>
      <c r="BT19" s="144">
        <v>0.57499999999999996</v>
      </c>
      <c r="BU19" s="144">
        <v>0.57999999999999996</v>
      </c>
      <c r="BV19" s="144">
        <v>0.33080270425372194</v>
      </c>
      <c r="BW19" s="138">
        <v>9.4629999999999992</v>
      </c>
      <c r="BX19" s="138">
        <v>9.9999999999991762E-4</v>
      </c>
      <c r="BY19" s="138">
        <v>7.279801504262525</v>
      </c>
      <c r="BZ19" s="138">
        <v>1.3600992478687375</v>
      </c>
      <c r="CB19">
        <v>1.3125</v>
      </c>
      <c r="CC19">
        <v>7.375</v>
      </c>
      <c r="CD19" s="151" t="s">
        <v>85</v>
      </c>
      <c r="CF19" s="150" t="s">
        <v>290</v>
      </c>
      <c r="CG19">
        <v>1.3125</v>
      </c>
      <c r="CH19">
        <v>7.375</v>
      </c>
      <c r="CI19" s="151" t="s">
        <v>261</v>
      </c>
      <c r="DO19" s="196">
        <v>3</v>
      </c>
      <c r="DU19" s="220">
        <f t="shared" si="11"/>
        <v>384</v>
      </c>
      <c r="DV19" s="221">
        <v>32</v>
      </c>
      <c r="DW19" s="221">
        <v>5</v>
      </c>
      <c r="DX19" s="221">
        <v>64</v>
      </c>
      <c r="DY19" s="223">
        <f t="shared" si="104"/>
        <v>64</v>
      </c>
      <c r="DZ19" s="221">
        <v>256</v>
      </c>
      <c r="EA19" s="224" t="s">
        <v>261</v>
      </c>
      <c r="EH19" s="250">
        <v>19</v>
      </c>
      <c r="EI19" s="251">
        <v>228</v>
      </c>
      <c r="EJ19" s="252">
        <v>42</v>
      </c>
      <c r="EK19" s="252">
        <v>48</v>
      </c>
      <c r="EL19" s="252">
        <v>48</v>
      </c>
      <c r="EM19" s="252">
        <v>48</v>
      </c>
      <c r="EN19" s="252">
        <v>42</v>
      </c>
      <c r="EO19" s="252" t="s">
        <v>1137</v>
      </c>
      <c r="EP19" s="252" t="s">
        <v>1137</v>
      </c>
      <c r="EQ19" s="252" t="s">
        <v>1137</v>
      </c>
      <c r="ER19" s="252" t="s">
        <v>1137</v>
      </c>
      <c r="ES19" s="252" t="s">
        <v>1137</v>
      </c>
      <c r="ET19" s="252" t="s">
        <v>1137</v>
      </c>
      <c r="EU19" s="252" t="s">
        <v>1137</v>
      </c>
      <c r="EV19" s="252" t="s">
        <v>1137</v>
      </c>
      <c r="EW19" s="252" t="s">
        <v>1137</v>
      </c>
      <c r="EX19" s="252" t="s">
        <v>1137</v>
      </c>
      <c r="EY19" s="252" t="s">
        <v>1137</v>
      </c>
      <c r="EZ19" s="252"/>
      <c r="FA19" s="253">
        <v>4</v>
      </c>
      <c r="FB19" s="254">
        <f t="shared" si="12"/>
        <v>228</v>
      </c>
      <c r="FD19" s="237">
        <f t="shared" si="13"/>
        <v>19</v>
      </c>
      <c r="FE19" s="246">
        <f t="shared" si="13"/>
        <v>228</v>
      </c>
      <c r="FF19" s="247">
        <f t="shared" si="13"/>
        <v>42</v>
      </c>
      <c r="FG19" s="247">
        <f t="shared" si="13"/>
        <v>48</v>
      </c>
      <c r="FH19" s="247">
        <f t="shared" si="13"/>
        <v>48</v>
      </c>
      <c r="FI19" s="247">
        <f t="shared" si="13"/>
        <v>48</v>
      </c>
      <c r="FJ19" s="247">
        <f t="shared" si="13"/>
        <v>42</v>
      </c>
      <c r="FK19" s="247" t="str">
        <f t="shared" si="13"/>
        <v xml:space="preserve"> </v>
      </c>
      <c r="FL19" s="247" t="str">
        <f t="shared" si="13"/>
        <v xml:space="preserve"> </v>
      </c>
      <c r="FM19" s="247" t="str">
        <f t="shared" si="13"/>
        <v xml:space="preserve"> </v>
      </c>
      <c r="FN19" s="247" t="str">
        <f t="shared" si="13"/>
        <v xml:space="preserve"> </v>
      </c>
      <c r="FO19" s="247" t="str">
        <f t="shared" si="13"/>
        <v xml:space="preserve"> </v>
      </c>
      <c r="FP19" s="247" t="str">
        <f t="shared" si="13"/>
        <v xml:space="preserve"> </v>
      </c>
      <c r="FQ19" s="247" t="str">
        <f t="shared" si="13"/>
        <v xml:space="preserve"> </v>
      </c>
      <c r="FR19" s="247" t="str">
        <f t="shared" si="13"/>
        <v xml:space="preserve"> </v>
      </c>
      <c r="FS19" s="247" t="str">
        <f t="shared" si="13"/>
        <v xml:space="preserve"> </v>
      </c>
      <c r="FT19" s="247" t="str">
        <f t="shared" si="105"/>
        <v xml:space="preserve"> </v>
      </c>
      <c r="FU19" s="247" t="str">
        <f t="shared" si="105"/>
        <v xml:space="preserve"> </v>
      </c>
      <c r="FV19" s="247">
        <f t="shared" si="105"/>
        <v>0</v>
      </c>
      <c r="FW19" s="248">
        <f t="shared" si="105"/>
        <v>4</v>
      </c>
      <c r="FX19" s="241">
        <f t="shared" si="105"/>
        <v>228</v>
      </c>
      <c r="FZ19" s="255">
        <v>19</v>
      </c>
      <c r="GA19" s="251">
        <v>228</v>
      </c>
      <c r="GB19" s="252">
        <v>54</v>
      </c>
      <c r="GC19" s="252">
        <v>60</v>
      </c>
      <c r="GD19" s="252">
        <v>60</v>
      </c>
      <c r="GE19" s="252">
        <v>54</v>
      </c>
      <c r="GF19" s="252"/>
      <c r="GG19" s="252" t="s">
        <v>1137</v>
      </c>
      <c r="GH19" s="252" t="s">
        <v>1137</v>
      </c>
      <c r="GI19" s="252" t="s">
        <v>1137</v>
      </c>
      <c r="GJ19" s="252" t="s">
        <v>1137</v>
      </c>
      <c r="GK19" s="252" t="s">
        <v>1137</v>
      </c>
      <c r="GL19" s="252" t="s">
        <v>1137</v>
      </c>
      <c r="GM19" s="252" t="s">
        <v>1137</v>
      </c>
      <c r="GN19" s="252" t="s">
        <v>1137</v>
      </c>
      <c r="GO19" s="252" t="s">
        <v>1137</v>
      </c>
      <c r="GP19" s="252" t="s">
        <v>1137</v>
      </c>
      <c r="GQ19" s="252" t="s">
        <v>1137</v>
      </c>
      <c r="GR19" s="252"/>
      <c r="GS19" s="253">
        <v>3</v>
      </c>
      <c r="GT19" s="254">
        <f t="shared" si="14"/>
        <v>228</v>
      </c>
      <c r="GV19" s="237">
        <f t="shared" si="15"/>
        <v>19</v>
      </c>
      <c r="GW19" s="246">
        <f t="shared" si="9"/>
        <v>228</v>
      </c>
      <c r="GX19" s="247">
        <f t="shared" si="9"/>
        <v>54</v>
      </c>
      <c r="GY19" s="247">
        <f t="shared" si="9"/>
        <v>60</v>
      </c>
      <c r="GZ19" s="247">
        <f t="shared" si="9"/>
        <v>60</v>
      </c>
      <c r="HA19" s="247">
        <f t="shared" si="9"/>
        <v>54</v>
      </c>
      <c r="HB19" s="247">
        <f t="shared" si="9"/>
        <v>0</v>
      </c>
      <c r="HC19" s="247" t="str">
        <f t="shared" si="9"/>
        <v xml:space="preserve"> </v>
      </c>
      <c r="HD19" s="247" t="str">
        <f t="shared" si="9"/>
        <v xml:space="preserve"> </v>
      </c>
      <c r="HE19" s="247" t="str">
        <f t="shared" si="9"/>
        <v xml:space="preserve"> </v>
      </c>
      <c r="HF19" s="247" t="str">
        <f t="shared" si="9"/>
        <v xml:space="preserve"> </v>
      </c>
      <c r="HG19" s="247" t="str">
        <f t="shared" si="9"/>
        <v xml:space="preserve"> </v>
      </c>
      <c r="HH19" s="247" t="str">
        <f t="shared" si="9"/>
        <v xml:space="preserve"> </v>
      </c>
      <c r="HI19" s="247" t="str">
        <f t="shared" si="9"/>
        <v xml:space="preserve"> </v>
      </c>
      <c r="HJ19" s="247" t="str">
        <f t="shared" si="9"/>
        <v xml:space="preserve"> </v>
      </c>
      <c r="HK19" s="247" t="str">
        <f t="shared" si="9"/>
        <v xml:space="preserve"> </v>
      </c>
      <c r="HL19" s="247" t="str">
        <f t="shared" si="9"/>
        <v xml:space="preserve"> </v>
      </c>
      <c r="HM19" s="247" t="str">
        <f t="shared" si="10"/>
        <v xml:space="preserve"> </v>
      </c>
      <c r="HN19" s="247">
        <f t="shared" si="10"/>
        <v>0</v>
      </c>
      <c r="HO19" s="248">
        <f t="shared" si="10"/>
        <v>3</v>
      </c>
      <c r="HP19" s="241">
        <f t="shared" si="10"/>
        <v>228</v>
      </c>
      <c r="HR19" s="250">
        <v>19</v>
      </c>
      <c r="HS19" s="251">
        <v>228</v>
      </c>
      <c r="HT19" s="252">
        <v>42</v>
      </c>
      <c r="HU19" s="252">
        <v>72</v>
      </c>
      <c r="HV19" s="252">
        <v>72</v>
      </c>
      <c r="HW19" s="252">
        <v>42</v>
      </c>
      <c r="HX19" s="252"/>
      <c r="HY19" s="252"/>
      <c r="HZ19" s="252"/>
      <c r="IA19" s="252"/>
      <c r="IB19" s="252"/>
      <c r="IC19" s="252"/>
      <c r="ID19" s="252"/>
      <c r="IE19" s="252"/>
      <c r="IF19" s="252"/>
      <c r="IG19" s="252"/>
      <c r="IH19" s="252"/>
      <c r="II19" s="252"/>
      <c r="IJ19" s="252"/>
      <c r="IK19" s="253">
        <v>3</v>
      </c>
      <c r="IL19" s="254">
        <f t="shared" si="16"/>
        <v>228</v>
      </c>
      <c r="IN19" s="250">
        <v>19</v>
      </c>
      <c r="IO19" s="251">
        <v>228</v>
      </c>
      <c r="IP19" s="252">
        <v>72</v>
      </c>
      <c r="IQ19" s="252">
        <v>84</v>
      </c>
      <c r="IR19" s="252">
        <v>72</v>
      </c>
      <c r="IS19" s="252"/>
      <c r="IT19" s="252"/>
      <c r="IU19" s="252"/>
      <c r="IV19" s="252"/>
      <c r="IW19" s="252"/>
      <c r="IX19" s="252"/>
      <c r="IY19" s="252"/>
      <c r="IZ19" s="252"/>
      <c r="JA19" s="252"/>
      <c r="JB19" s="252"/>
      <c r="JC19" s="252"/>
      <c r="JD19" s="252"/>
      <c r="JE19" s="252"/>
      <c r="JF19" s="252"/>
      <c r="JG19" s="253">
        <v>2</v>
      </c>
      <c r="JH19" s="254">
        <f t="shared" si="17"/>
        <v>228</v>
      </c>
      <c r="JJ19" s="255">
        <v>19</v>
      </c>
      <c r="JK19" s="251">
        <v>228</v>
      </c>
      <c r="JL19" s="252">
        <v>66</v>
      </c>
      <c r="JM19" s="252">
        <v>96</v>
      </c>
      <c r="JN19" s="252">
        <v>66</v>
      </c>
      <c r="JO19" s="252"/>
      <c r="JP19" s="252"/>
      <c r="JQ19" s="252"/>
      <c r="JR19" s="252"/>
      <c r="JS19" s="252"/>
      <c r="JT19" s="252"/>
      <c r="JU19" s="252"/>
      <c r="JV19" s="252"/>
      <c r="JW19" s="252"/>
      <c r="JX19" s="252"/>
      <c r="JY19" s="252"/>
      <c r="JZ19" s="252"/>
      <c r="KA19" s="252"/>
      <c r="KB19" s="252"/>
      <c r="KC19" s="253">
        <v>2</v>
      </c>
      <c r="KD19" s="254">
        <f t="shared" si="18"/>
        <v>228</v>
      </c>
      <c r="KF19" s="250">
        <v>19</v>
      </c>
      <c r="KG19" s="251">
        <v>228</v>
      </c>
      <c r="KH19" s="252">
        <v>33</v>
      </c>
      <c r="KI19" s="252">
        <v>54</v>
      </c>
      <c r="KJ19" s="252">
        <v>54</v>
      </c>
      <c r="KK19" s="252">
        <v>54</v>
      </c>
      <c r="KL19" s="252">
        <v>33</v>
      </c>
      <c r="KM19" s="252"/>
      <c r="KN19" s="252"/>
      <c r="KO19" s="252"/>
      <c r="KP19" s="252"/>
      <c r="KQ19" s="252"/>
      <c r="KR19" s="252"/>
      <c r="KS19" s="252"/>
      <c r="KT19" s="252"/>
      <c r="KU19" s="252"/>
      <c r="KV19" s="252"/>
      <c r="KW19" s="252"/>
      <c r="KX19" s="252"/>
      <c r="KY19" s="253">
        <v>4</v>
      </c>
      <c r="KZ19" s="254">
        <f t="shared" si="19"/>
        <v>228</v>
      </c>
      <c r="LB19" s="237">
        <f t="shared" si="20"/>
        <v>19</v>
      </c>
      <c r="LC19" s="284">
        <f t="shared" si="21"/>
        <v>228</v>
      </c>
      <c r="LD19" s="237">
        <f t="shared" si="22"/>
        <v>33</v>
      </c>
      <c r="LE19" s="237">
        <f t="shared" si="23"/>
        <v>54</v>
      </c>
      <c r="LF19" s="237">
        <f t="shared" si="24"/>
        <v>54</v>
      </c>
      <c r="LG19" s="237">
        <f t="shared" si="25"/>
        <v>54</v>
      </c>
      <c r="LH19" s="237">
        <f t="shared" si="26"/>
        <v>33</v>
      </c>
      <c r="LI19" s="237">
        <f t="shared" si="27"/>
        <v>0</v>
      </c>
      <c r="LJ19" s="237">
        <f t="shared" si="28"/>
        <v>0</v>
      </c>
      <c r="LK19" s="237">
        <f t="shared" si="29"/>
        <v>0</v>
      </c>
      <c r="LL19" s="237">
        <f t="shared" si="30"/>
        <v>0</v>
      </c>
      <c r="LM19" s="237">
        <f t="shared" si="31"/>
        <v>0</v>
      </c>
      <c r="LN19" s="237">
        <f t="shared" si="32"/>
        <v>0</v>
      </c>
      <c r="LO19" s="237">
        <f t="shared" si="33"/>
        <v>0</v>
      </c>
      <c r="LP19" s="237">
        <f t="shared" si="34"/>
        <v>0</v>
      </c>
      <c r="LQ19" s="237">
        <f t="shared" si="35"/>
        <v>0</v>
      </c>
      <c r="LR19" s="237">
        <f t="shared" si="36"/>
        <v>0</v>
      </c>
      <c r="LS19" s="237">
        <f t="shared" si="37"/>
        <v>0</v>
      </c>
      <c r="LT19" s="237">
        <f t="shared" si="38"/>
        <v>0</v>
      </c>
      <c r="LU19" s="285">
        <f t="shared" si="39"/>
        <v>4</v>
      </c>
      <c r="LV19" s="280">
        <f t="shared" si="40"/>
        <v>228</v>
      </c>
      <c r="LX19" s="237">
        <f t="shared" si="41"/>
        <v>19</v>
      </c>
      <c r="LY19" s="284">
        <f t="shared" si="42"/>
        <v>228</v>
      </c>
      <c r="LZ19" s="237">
        <f t="shared" si="43"/>
        <v>33</v>
      </c>
      <c r="MA19" s="237">
        <f t="shared" si="44"/>
        <v>54</v>
      </c>
      <c r="MB19" s="237">
        <f t="shared" si="45"/>
        <v>54</v>
      </c>
      <c r="MC19" s="237">
        <f t="shared" si="46"/>
        <v>54</v>
      </c>
      <c r="MD19" s="237">
        <f t="shared" si="47"/>
        <v>33</v>
      </c>
      <c r="ME19" s="237">
        <f t="shared" si="48"/>
        <v>0</v>
      </c>
      <c r="MF19" s="237">
        <f t="shared" si="49"/>
        <v>0</v>
      </c>
      <c r="MG19" s="237">
        <f t="shared" si="50"/>
        <v>0</v>
      </c>
      <c r="MH19" s="237">
        <f t="shared" si="51"/>
        <v>0</v>
      </c>
      <c r="MI19" s="237">
        <f t="shared" si="52"/>
        <v>0</v>
      </c>
      <c r="MJ19" s="237">
        <f t="shared" si="53"/>
        <v>0</v>
      </c>
      <c r="MK19" s="237">
        <f t="shared" si="54"/>
        <v>0</v>
      </c>
      <c r="ML19" s="237">
        <f t="shared" si="55"/>
        <v>0</v>
      </c>
      <c r="MM19" s="237">
        <f t="shared" si="56"/>
        <v>0</v>
      </c>
      <c r="MN19" s="237">
        <f t="shared" si="57"/>
        <v>0</v>
      </c>
      <c r="MO19" s="237">
        <f t="shared" si="58"/>
        <v>0</v>
      </c>
      <c r="MP19" s="237">
        <f t="shared" si="59"/>
        <v>0</v>
      </c>
      <c r="MQ19" s="285">
        <f t="shared" si="60"/>
        <v>4</v>
      </c>
      <c r="MR19" s="280">
        <f t="shared" si="61"/>
        <v>228</v>
      </c>
      <c r="MT19" s="237">
        <f t="shared" si="62"/>
        <v>19</v>
      </c>
      <c r="MU19" s="284">
        <f t="shared" si="63"/>
        <v>228</v>
      </c>
      <c r="MV19" s="237">
        <f t="shared" si="64"/>
        <v>33</v>
      </c>
      <c r="MW19" s="237">
        <f t="shared" si="65"/>
        <v>54</v>
      </c>
      <c r="MX19" s="237">
        <f t="shared" si="66"/>
        <v>54</v>
      </c>
      <c r="MY19" s="237">
        <f t="shared" si="67"/>
        <v>54</v>
      </c>
      <c r="MZ19" s="237">
        <f t="shared" si="68"/>
        <v>33</v>
      </c>
      <c r="NA19" s="237">
        <f t="shared" si="69"/>
        <v>0</v>
      </c>
      <c r="NB19" s="237">
        <f t="shared" si="70"/>
        <v>0</v>
      </c>
      <c r="NC19" s="237">
        <f t="shared" si="71"/>
        <v>0</v>
      </c>
      <c r="ND19" s="237">
        <f t="shared" si="72"/>
        <v>0</v>
      </c>
      <c r="NE19" s="237">
        <f t="shared" si="73"/>
        <v>0</v>
      </c>
      <c r="NF19" s="237">
        <f t="shared" si="74"/>
        <v>0</v>
      </c>
      <c r="NG19" s="237">
        <f t="shared" si="75"/>
        <v>0</v>
      </c>
      <c r="NH19" s="237">
        <f t="shared" si="76"/>
        <v>0</v>
      </c>
      <c r="NI19" s="237">
        <f t="shared" si="77"/>
        <v>0</v>
      </c>
      <c r="NJ19" s="237">
        <f t="shared" si="78"/>
        <v>0</v>
      </c>
      <c r="NK19" s="237">
        <f t="shared" si="79"/>
        <v>0</v>
      </c>
      <c r="NL19" s="237">
        <f t="shared" si="80"/>
        <v>0</v>
      </c>
      <c r="NM19" s="285">
        <f t="shared" si="81"/>
        <v>4</v>
      </c>
      <c r="NN19" s="280">
        <f t="shared" si="82"/>
        <v>228</v>
      </c>
      <c r="NP19" s="237">
        <f t="shared" si="83"/>
        <v>19</v>
      </c>
      <c r="NQ19" s="284">
        <f t="shared" si="84"/>
        <v>228</v>
      </c>
      <c r="NR19" s="237">
        <f t="shared" si="85"/>
        <v>33</v>
      </c>
      <c r="NS19" s="237">
        <f t="shared" si="86"/>
        <v>54</v>
      </c>
      <c r="NT19" s="237">
        <f t="shared" si="87"/>
        <v>54</v>
      </c>
      <c r="NU19" s="237">
        <f t="shared" si="88"/>
        <v>54</v>
      </c>
      <c r="NV19" s="237">
        <f t="shared" si="89"/>
        <v>33</v>
      </c>
      <c r="NW19" s="237">
        <f t="shared" si="90"/>
        <v>0</v>
      </c>
      <c r="NX19" s="237">
        <f t="shared" si="91"/>
        <v>0</v>
      </c>
      <c r="NY19" s="237">
        <f t="shared" si="92"/>
        <v>0</v>
      </c>
      <c r="NZ19" s="237">
        <f t="shared" si="93"/>
        <v>0</v>
      </c>
      <c r="OA19" s="237">
        <f t="shared" si="94"/>
        <v>0</v>
      </c>
      <c r="OB19" s="237">
        <f t="shared" si="95"/>
        <v>0</v>
      </c>
      <c r="OC19" s="237">
        <f t="shared" si="96"/>
        <v>0</v>
      </c>
      <c r="OD19" s="237">
        <f t="shared" si="97"/>
        <v>0</v>
      </c>
      <c r="OE19" s="237">
        <f t="shared" si="98"/>
        <v>0</v>
      </c>
      <c r="OF19" s="237">
        <f t="shared" si="99"/>
        <v>0</v>
      </c>
      <c r="OG19" s="237">
        <f t="shared" si="100"/>
        <v>0</v>
      </c>
      <c r="OH19" s="237">
        <f t="shared" si="101"/>
        <v>0</v>
      </c>
      <c r="OI19" s="285">
        <f t="shared" si="102"/>
        <v>4</v>
      </c>
      <c r="OJ19" s="280">
        <f t="shared" si="103"/>
        <v>228</v>
      </c>
    </row>
    <row r="20" spans="12:400" ht="15" thickBot="1" x14ac:dyDescent="0.35">
      <c r="L20" s="127" t="str">
        <f t="shared" si="5"/>
        <v>C8x11.5</v>
      </c>
      <c r="M20" s="138">
        <v>11.5</v>
      </c>
      <c r="N20" s="138">
        <v>3.38</v>
      </c>
      <c r="O20" s="138">
        <v>8</v>
      </c>
      <c r="P20" s="138">
        <v>0.22</v>
      </c>
      <c r="Q20" s="138">
        <v>2.2599999999999998</v>
      </c>
      <c r="R20" s="138">
        <v>0.39</v>
      </c>
      <c r="S20" s="138">
        <v>0.32</v>
      </c>
      <c r="T20" s="138">
        <v>0.13</v>
      </c>
      <c r="U20">
        <v>9.4629999999999992</v>
      </c>
      <c r="V20" s="138">
        <f t="shared" si="6"/>
        <v>0.10986239772232179</v>
      </c>
      <c r="W20" s="139">
        <f t="shared" si="7"/>
        <v>11.5</v>
      </c>
      <c r="X20" s="140" t="s">
        <v>73</v>
      </c>
      <c r="Y20" s="141">
        <v>0.9375</v>
      </c>
      <c r="Z20" s="141">
        <v>6.125</v>
      </c>
      <c r="AA20" s="133" t="s">
        <v>85</v>
      </c>
      <c r="AE20" s="127" t="str">
        <f t="shared" si="0"/>
        <v>L2x2.5x0.375</v>
      </c>
      <c r="AF20" s="138">
        <v>2</v>
      </c>
      <c r="AG20" s="138">
        <v>2.5</v>
      </c>
      <c r="AH20" s="138">
        <v>0.37500000000000006</v>
      </c>
      <c r="AI20" s="138">
        <v>0.18750000000000003</v>
      </c>
      <c r="AJ20" s="138">
        <v>0.18750000000000003</v>
      </c>
      <c r="AK20">
        <f t="shared" si="1"/>
        <v>0.18770000000000003</v>
      </c>
      <c r="AM20" s="133" t="s">
        <v>85</v>
      </c>
      <c r="AP20" s="127" t="str">
        <f t="shared" si="2"/>
        <v>S12x31.8</v>
      </c>
      <c r="AQ20">
        <v>12</v>
      </c>
      <c r="AR20" s="138">
        <v>31.8</v>
      </c>
      <c r="AS20" s="138">
        <v>12.000000000000002</v>
      </c>
      <c r="AT20" s="138">
        <v>0.35</v>
      </c>
      <c r="AU20" s="138">
        <v>5</v>
      </c>
      <c r="AV20" s="138">
        <v>0.54400000000000004</v>
      </c>
      <c r="AW20" s="138">
        <v>0.44999999999999996</v>
      </c>
      <c r="AX20" s="138">
        <v>0.21</v>
      </c>
      <c r="AY20">
        <v>9.4630000000000312</v>
      </c>
      <c r="AZ20" s="138">
        <f t="shared" si="3"/>
        <v>9.7620664958034169</v>
      </c>
      <c r="BA20" s="133" t="s">
        <v>85</v>
      </c>
      <c r="BD20" s="143" t="str">
        <f t="shared" si="4"/>
        <v>W8x31</v>
      </c>
      <c r="BE20">
        <v>8</v>
      </c>
      <c r="BF20" s="138">
        <v>31</v>
      </c>
      <c r="BG20" s="138">
        <v>8</v>
      </c>
      <c r="BH20" s="138">
        <v>0.28499999999999998</v>
      </c>
      <c r="BI20" s="138">
        <v>7.9950000000000001</v>
      </c>
      <c r="BJ20" s="138">
        <v>0.435</v>
      </c>
      <c r="BK20" s="138">
        <v>0.4</v>
      </c>
      <c r="BL20" t="s">
        <v>185</v>
      </c>
      <c r="BM20" s="133" t="s">
        <v>85</v>
      </c>
      <c r="BO20" s="150" t="s">
        <v>291</v>
      </c>
      <c r="BP20" s="138">
        <v>28.5</v>
      </c>
      <c r="BQ20" s="144">
        <v>10</v>
      </c>
      <c r="BR20" s="144">
        <v>0.42499999999999999</v>
      </c>
      <c r="BS20" s="144">
        <v>3.95</v>
      </c>
      <c r="BT20" s="144">
        <v>0.57499999999999996</v>
      </c>
      <c r="BU20" s="144">
        <v>0.57999999999999996</v>
      </c>
      <c r="BV20" s="144">
        <v>0.33080270425372194</v>
      </c>
      <c r="BW20" s="138">
        <v>9.4629999999999992</v>
      </c>
      <c r="BX20" s="138">
        <v>9.9999999999983435E-4</v>
      </c>
      <c r="BY20" s="138">
        <v>7.279801504262525</v>
      </c>
      <c r="BZ20" s="138">
        <v>1.3600992478687375</v>
      </c>
      <c r="CA20" t="s">
        <v>346</v>
      </c>
      <c r="CB20">
        <v>1.3125</v>
      </c>
      <c r="CC20">
        <v>7.375</v>
      </c>
      <c r="CD20" s="151" t="s">
        <v>85</v>
      </c>
      <c r="CF20" s="150" t="s">
        <v>291</v>
      </c>
      <c r="CG20">
        <v>1.3125</v>
      </c>
      <c r="CH20">
        <v>7.375</v>
      </c>
      <c r="CI20" s="151" t="s">
        <v>261</v>
      </c>
      <c r="DO20" s="197" t="s">
        <v>84</v>
      </c>
      <c r="DU20" s="220">
        <f t="shared" si="11"/>
        <v>408</v>
      </c>
      <c r="DV20" s="221">
        <v>34</v>
      </c>
      <c r="DW20" s="221">
        <v>5</v>
      </c>
      <c r="DX20" s="221">
        <v>68</v>
      </c>
      <c r="DY20" s="223">
        <f t="shared" si="104"/>
        <v>68</v>
      </c>
      <c r="DZ20" s="221">
        <v>272</v>
      </c>
      <c r="EA20" s="224" t="s">
        <v>261</v>
      </c>
      <c r="EH20" s="243">
        <v>20</v>
      </c>
      <c r="EI20" s="244">
        <v>240</v>
      </c>
      <c r="EJ20" s="90">
        <v>48</v>
      </c>
      <c r="EK20" s="90">
        <v>48</v>
      </c>
      <c r="EL20" s="90">
        <v>48</v>
      </c>
      <c r="EM20" s="90">
        <v>48</v>
      </c>
      <c r="EN20" s="90">
        <v>48</v>
      </c>
      <c r="EO20" s="90" t="s">
        <v>1137</v>
      </c>
      <c r="EP20" s="90" t="s">
        <v>1137</v>
      </c>
      <c r="EQ20" s="90" t="s">
        <v>1137</v>
      </c>
      <c r="ER20" s="90" t="s">
        <v>1137</v>
      </c>
      <c r="ES20" s="90" t="s">
        <v>1137</v>
      </c>
      <c r="ET20" s="90" t="s">
        <v>1137</v>
      </c>
      <c r="EU20" s="90" t="s">
        <v>1137</v>
      </c>
      <c r="EV20" s="90" t="s">
        <v>1137</v>
      </c>
      <c r="EW20" s="90" t="s">
        <v>1137</v>
      </c>
      <c r="EX20" s="90" t="s">
        <v>1137</v>
      </c>
      <c r="EY20" s="90" t="s">
        <v>1137</v>
      </c>
      <c r="EZ20" s="90"/>
      <c r="FA20" s="224">
        <v>4</v>
      </c>
      <c r="FB20" s="245">
        <f t="shared" si="12"/>
        <v>240</v>
      </c>
      <c r="FD20" s="237">
        <f t="shared" si="13"/>
        <v>20</v>
      </c>
      <c r="FE20" s="246">
        <f t="shared" si="13"/>
        <v>240</v>
      </c>
      <c r="FF20" s="247">
        <f t="shared" si="13"/>
        <v>48</v>
      </c>
      <c r="FG20" s="247">
        <f t="shared" si="13"/>
        <v>48</v>
      </c>
      <c r="FH20" s="247">
        <f t="shared" si="13"/>
        <v>48</v>
      </c>
      <c r="FI20" s="247">
        <f t="shared" si="13"/>
        <v>48</v>
      </c>
      <c r="FJ20" s="247">
        <f t="shared" si="13"/>
        <v>48</v>
      </c>
      <c r="FK20" s="247" t="str">
        <f t="shared" si="13"/>
        <v xml:space="preserve"> </v>
      </c>
      <c r="FL20" s="247" t="str">
        <f t="shared" si="13"/>
        <v xml:space="preserve"> </v>
      </c>
      <c r="FM20" s="247" t="str">
        <f t="shared" si="13"/>
        <v xml:space="preserve"> </v>
      </c>
      <c r="FN20" s="247" t="str">
        <f t="shared" si="13"/>
        <v xml:space="preserve"> </v>
      </c>
      <c r="FO20" s="247" t="str">
        <f t="shared" si="13"/>
        <v xml:space="preserve"> </v>
      </c>
      <c r="FP20" s="247" t="str">
        <f t="shared" si="13"/>
        <v xml:space="preserve"> </v>
      </c>
      <c r="FQ20" s="247" t="str">
        <f t="shared" si="13"/>
        <v xml:space="preserve"> </v>
      </c>
      <c r="FR20" s="247" t="str">
        <f t="shared" si="13"/>
        <v xml:space="preserve"> </v>
      </c>
      <c r="FS20" s="247" t="str">
        <f t="shared" si="13"/>
        <v xml:space="preserve"> </v>
      </c>
      <c r="FT20" s="247" t="str">
        <f t="shared" si="105"/>
        <v xml:space="preserve"> </v>
      </c>
      <c r="FU20" s="247" t="str">
        <f t="shared" si="105"/>
        <v xml:space="preserve"> </v>
      </c>
      <c r="FV20" s="247">
        <f t="shared" si="105"/>
        <v>0</v>
      </c>
      <c r="FW20" s="248">
        <f t="shared" si="105"/>
        <v>4</v>
      </c>
      <c r="FX20" s="241">
        <f t="shared" si="105"/>
        <v>240</v>
      </c>
      <c r="FZ20" s="249">
        <v>20</v>
      </c>
      <c r="GA20" s="244">
        <v>240</v>
      </c>
      <c r="GB20" s="90">
        <v>60</v>
      </c>
      <c r="GC20" s="90">
        <v>60</v>
      </c>
      <c r="GD20" s="90">
        <v>60</v>
      </c>
      <c r="GE20" s="90">
        <v>60</v>
      </c>
      <c r="GF20" s="90"/>
      <c r="GG20" s="90" t="s">
        <v>1137</v>
      </c>
      <c r="GH20" s="90" t="s">
        <v>1137</v>
      </c>
      <c r="GI20" s="90" t="s">
        <v>1137</v>
      </c>
      <c r="GJ20" s="90" t="s">
        <v>1137</v>
      </c>
      <c r="GK20" s="90" t="s">
        <v>1137</v>
      </c>
      <c r="GL20" s="90" t="s">
        <v>1137</v>
      </c>
      <c r="GM20" s="90" t="s">
        <v>1137</v>
      </c>
      <c r="GN20" s="90" t="s">
        <v>1137</v>
      </c>
      <c r="GO20" s="90" t="s">
        <v>1137</v>
      </c>
      <c r="GP20" s="90" t="s">
        <v>1137</v>
      </c>
      <c r="GQ20" s="90" t="s">
        <v>1137</v>
      </c>
      <c r="GR20" s="90"/>
      <c r="GS20" s="224">
        <v>3</v>
      </c>
      <c r="GT20" s="245">
        <f t="shared" si="14"/>
        <v>240</v>
      </c>
      <c r="GV20" s="237">
        <f t="shared" si="15"/>
        <v>20</v>
      </c>
      <c r="GW20" s="246">
        <f t="shared" si="9"/>
        <v>240</v>
      </c>
      <c r="GX20" s="247">
        <f t="shared" si="9"/>
        <v>60</v>
      </c>
      <c r="GY20" s="247">
        <f t="shared" si="9"/>
        <v>60</v>
      </c>
      <c r="GZ20" s="247">
        <f t="shared" si="9"/>
        <v>60</v>
      </c>
      <c r="HA20" s="247">
        <f t="shared" si="9"/>
        <v>60</v>
      </c>
      <c r="HB20" s="247">
        <f t="shared" si="9"/>
        <v>0</v>
      </c>
      <c r="HC20" s="247" t="str">
        <f t="shared" si="9"/>
        <v xml:space="preserve"> </v>
      </c>
      <c r="HD20" s="247" t="str">
        <f t="shared" si="9"/>
        <v xml:space="preserve"> </v>
      </c>
      <c r="HE20" s="247" t="str">
        <f t="shared" si="9"/>
        <v xml:space="preserve"> </v>
      </c>
      <c r="HF20" s="247" t="str">
        <f t="shared" si="9"/>
        <v xml:space="preserve"> </v>
      </c>
      <c r="HG20" s="247" t="str">
        <f t="shared" si="9"/>
        <v xml:space="preserve"> </v>
      </c>
      <c r="HH20" s="247" t="str">
        <f t="shared" si="9"/>
        <v xml:space="preserve"> </v>
      </c>
      <c r="HI20" s="247" t="str">
        <f t="shared" si="9"/>
        <v xml:space="preserve"> </v>
      </c>
      <c r="HJ20" s="247" t="str">
        <f t="shared" si="9"/>
        <v xml:space="preserve"> </v>
      </c>
      <c r="HK20" s="247" t="str">
        <f t="shared" si="9"/>
        <v xml:space="preserve"> </v>
      </c>
      <c r="HL20" s="247" t="str">
        <f t="shared" ref="HL20:HL65" si="106">GP20</f>
        <v xml:space="preserve"> </v>
      </c>
      <c r="HM20" s="247" t="str">
        <f t="shared" si="10"/>
        <v xml:space="preserve"> </v>
      </c>
      <c r="HN20" s="247">
        <f t="shared" si="10"/>
        <v>0</v>
      </c>
      <c r="HO20" s="248">
        <f t="shared" si="10"/>
        <v>3</v>
      </c>
      <c r="HP20" s="241">
        <f t="shared" si="10"/>
        <v>240</v>
      </c>
      <c r="HR20" s="243">
        <v>20</v>
      </c>
      <c r="HS20" s="244">
        <v>240</v>
      </c>
      <c r="HT20" s="90">
        <v>48</v>
      </c>
      <c r="HU20" s="90">
        <v>72</v>
      </c>
      <c r="HV20" s="90">
        <v>72</v>
      </c>
      <c r="HW20" s="90">
        <v>48</v>
      </c>
      <c r="HX20" s="90"/>
      <c r="HY20" s="90"/>
      <c r="HZ20" s="90"/>
      <c r="IA20" s="90"/>
      <c r="IB20" s="90"/>
      <c r="IC20" s="90"/>
      <c r="ID20" s="90"/>
      <c r="IE20" s="90"/>
      <c r="IF20" s="90"/>
      <c r="IG20" s="90"/>
      <c r="IH20" s="90"/>
      <c r="II20" s="90"/>
      <c r="IJ20" s="90"/>
      <c r="IK20" s="224">
        <v>3</v>
      </c>
      <c r="IL20" s="245">
        <f t="shared" si="16"/>
        <v>240</v>
      </c>
      <c r="IN20" s="243">
        <v>20</v>
      </c>
      <c r="IO20" s="244">
        <v>240</v>
      </c>
      <c r="IP20" s="90">
        <v>78</v>
      </c>
      <c r="IQ20" s="90">
        <v>84</v>
      </c>
      <c r="IR20" s="90">
        <v>78</v>
      </c>
      <c r="IS20" s="90"/>
      <c r="IT20" s="90"/>
      <c r="IU20" s="90"/>
      <c r="IV20" s="90"/>
      <c r="IW20" s="90"/>
      <c r="IX20" s="90"/>
      <c r="IY20" s="90"/>
      <c r="IZ20" s="90"/>
      <c r="JA20" s="90"/>
      <c r="JB20" s="90"/>
      <c r="JC20" s="90"/>
      <c r="JD20" s="90"/>
      <c r="JE20" s="90"/>
      <c r="JF20" s="90"/>
      <c r="JG20" s="224">
        <v>2</v>
      </c>
      <c r="JH20" s="245">
        <f t="shared" si="17"/>
        <v>240</v>
      </c>
      <c r="JJ20" s="249">
        <v>20</v>
      </c>
      <c r="JK20" s="244">
        <v>240</v>
      </c>
      <c r="JL20" s="90">
        <v>72</v>
      </c>
      <c r="JM20" s="90">
        <v>96</v>
      </c>
      <c r="JN20" s="90">
        <v>72</v>
      </c>
      <c r="JO20" s="90"/>
      <c r="JP20" s="90"/>
      <c r="JQ20" s="90"/>
      <c r="JR20" s="90"/>
      <c r="JS20" s="90"/>
      <c r="JT20" s="90"/>
      <c r="JU20" s="90"/>
      <c r="JV20" s="90"/>
      <c r="JW20" s="90"/>
      <c r="JX20" s="90"/>
      <c r="JY20" s="90"/>
      <c r="JZ20" s="90"/>
      <c r="KA20" s="90"/>
      <c r="KB20" s="90"/>
      <c r="KC20" s="224">
        <v>2</v>
      </c>
      <c r="KD20" s="245">
        <f t="shared" si="18"/>
        <v>240</v>
      </c>
      <c r="KF20" s="243">
        <v>20</v>
      </c>
      <c r="KG20" s="244">
        <v>240</v>
      </c>
      <c r="KH20" s="90">
        <v>39</v>
      </c>
      <c r="KI20" s="90">
        <v>54</v>
      </c>
      <c r="KJ20" s="90">
        <v>54</v>
      </c>
      <c r="KK20" s="90">
        <v>54</v>
      </c>
      <c r="KL20" s="90">
        <v>39</v>
      </c>
      <c r="KM20" s="90"/>
      <c r="KN20" s="90"/>
      <c r="KO20" s="90"/>
      <c r="KP20" s="90"/>
      <c r="KQ20" s="90"/>
      <c r="KR20" s="90"/>
      <c r="KS20" s="90"/>
      <c r="KT20" s="90"/>
      <c r="KU20" s="90"/>
      <c r="KV20" s="90"/>
      <c r="KW20" s="90"/>
      <c r="KX20" s="90"/>
      <c r="KY20" s="224">
        <v>4</v>
      </c>
      <c r="KZ20" s="245">
        <f t="shared" si="19"/>
        <v>240</v>
      </c>
      <c r="LB20" s="237">
        <f t="shared" si="20"/>
        <v>20</v>
      </c>
      <c r="LC20" s="284">
        <f t="shared" si="21"/>
        <v>240</v>
      </c>
      <c r="LD20" s="237">
        <f t="shared" si="22"/>
        <v>39</v>
      </c>
      <c r="LE20" s="237">
        <f t="shared" si="23"/>
        <v>54</v>
      </c>
      <c r="LF20" s="237">
        <f t="shared" si="24"/>
        <v>54</v>
      </c>
      <c r="LG20" s="237">
        <f t="shared" si="25"/>
        <v>54</v>
      </c>
      <c r="LH20" s="237">
        <f t="shared" si="26"/>
        <v>39</v>
      </c>
      <c r="LI20" s="237">
        <f t="shared" si="27"/>
        <v>0</v>
      </c>
      <c r="LJ20" s="237">
        <f t="shared" si="28"/>
        <v>0</v>
      </c>
      <c r="LK20" s="237">
        <f t="shared" si="29"/>
        <v>0</v>
      </c>
      <c r="LL20" s="237">
        <f t="shared" si="30"/>
        <v>0</v>
      </c>
      <c r="LM20" s="237">
        <f t="shared" si="31"/>
        <v>0</v>
      </c>
      <c r="LN20" s="237">
        <f t="shared" si="32"/>
        <v>0</v>
      </c>
      <c r="LO20" s="237">
        <f t="shared" si="33"/>
        <v>0</v>
      </c>
      <c r="LP20" s="237">
        <f t="shared" si="34"/>
        <v>0</v>
      </c>
      <c r="LQ20" s="237">
        <f t="shared" si="35"/>
        <v>0</v>
      </c>
      <c r="LR20" s="237">
        <f t="shared" si="36"/>
        <v>0</v>
      </c>
      <c r="LS20" s="237">
        <f t="shared" si="37"/>
        <v>0</v>
      </c>
      <c r="LT20" s="237">
        <f t="shared" si="38"/>
        <v>0</v>
      </c>
      <c r="LU20" s="285">
        <f t="shared" si="39"/>
        <v>4</v>
      </c>
      <c r="LV20" s="280">
        <f t="shared" si="40"/>
        <v>240</v>
      </c>
      <c r="LX20" s="237">
        <f t="shared" si="41"/>
        <v>20</v>
      </c>
      <c r="LY20" s="284">
        <f t="shared" si="42"/>
        <v>240</v>
      </c>
      <c r="LZ20" s="237">
        <f t="shared" si="43"/>
        <v>39</v>
      </c>
      <c r="MA20" s="237">
        <f t="shared" si="44"/>
        <v>54</v>
      </c>
      <c r="MB20" s="237">
        <f t="shared" si="45"/>
        <v>54</v>
      </c>
      <c r="MC20" s="237">
        <f t="shared" si="46"/>
        <v>54</v>
      </c>
      <c r="MD20" s="237">
        <f t="shared" si="47"/>
        <v>39</v>
      </c>
      <c r="ME20" s="237">
        <f t="shared" si="48"/>
        <v>0</v>
      </c>
      <c r="MF20" s="237">
        <f t="shared" si="49"/>
        <v>0</v>
      </c>
      <c r="MG20" s="237">
        <f t="shared" si="50"/>
        <v>0</v>
      </c>
      <c r="MH20" s="237">
        <f t="shared" si="51"/>
        <v>0</v>
      </c>
      <c r="MI20" s="237">
        <f t="shared" si="52"/>
        <v>0</v>
      </c>
      <c r="MJ20" s="237">
        <f t="shared" si="53"/>
        <v>0</v>
      </c>
      <c r="MK20" s="237">
        <f t="shared" si="54"/>
        <v>0</v>
      </c>
      <c r="ML20" s="237">
        <f t="shared" si="55"/>
        <v>0</v>
      </c>
      <c r="MM20" s="237">
        <f t="shared" si="56"/>
        <v>0</v>
      </c>
      <c r="MN20" s="237">
        <f t="shared" si="57"/>
        <v>0</v>
      </c>
      <c r="MO20" s="237">
        <f t="shared" si="58"/>
        <v>0</v>
      </c>
      <c r="MP20" s="237">
        <f t="shared" si="59"/>
        <v>0</v>
      </c>
      <c r="MQ20" s="285">
        <f t="shared" si="60"/>
        <v>4</v>
      </c>
      <c r="MR20" s="280">
        <f t="shared" si="61"/>
        <v>240</v>
      </c>
      <c r="MT20" s="237">
        <f t="shared" si="62"/>
        <v>20</v>
      </c>
      <c r="MU20" s="284">
        <f t="shared" si="63"/>
        <v>240</v>
      </c>
      <c r="MV20" s="237">
        <f t="shared" si="64"/>
        <v>39</v>
      </c>
      <c r="MW20" s="237">
        <f t="shared" si="65"/>
        <v>54</v>
      </c>
      <c r="MX20" s="237">
        <f t="shared" si="66"/>
        <v>54</v>
      </c>
      <c r="MY20" s="237">
        <f t="shared" si="67"/>
        <v>54</v>
      </c>
      <c r="MZ20" s="237">
        <f t="shared" si="68"/>
        <v>39</v>
      </c>
      <c r="NA20" s="237">
        <f t="shared" si="69"/>
        <v>0</v>
      </c>
      <c r="NB20" s="237">
        <f t="shared" si="70"/>
        <v>0</v>
      </c>
      <c r="NC20" s="237">
        <f t="shared" si="71"/>
        <v>0</v>
      </c>
      <c r="ND20" s="237">
        <f t="shared" si="72"/>
        <v>0</v>
      </c>
      <c r="NE20" s="237">
        <f t="shared" si="73"/>
        <v>0</v>
      </c>
      <c r="NF20" s="237">
        <f t="shared" si="74"/>
        <v>0</v>
      </c>
      <c r="NG20" s="237">
        <f t="shared" si="75"/>
        <v>0</v>
      </c>
      <c r="NH20" s="237">
        <f t="shared" si="76"/>
        <v>0</v>
      </c>
      <c r="NI20" s="237">
        <f t="shared" si="77"/>
        <v>0</v>
      </c>
      <c r="NJ20" s="237">
        <f t="shared" si="78"/>
        <v>0</v>
      </c>
      <c r="NK20" s="237">
        <f t="shared" si="79"/>
        <v>0</v>
      </c>
      <c r="NL20" s="237">
        <f t="shared" si="80"/>
        <v>0</v>
      </c>
      <c r="NM20" s="285">
        <f t="shared" si="81"/>
        <v>4</v>
      </c>
      <c r="NN20" s="280">
        <f t="shared" si="82"/>
        <v>240</v>
      </c>
      <c r="NP20" s="237">
        <f t="shared" si="83"/>
        <v>20</v>
      </c>
      <c r="NQ20" s="284">
        <f t="shared" si="84"/>
        <v>240</v>
      </c>
      <c r="NR20" s="237">
        <f t="shared" si="85"/>
        <v>39</v>
      </c>
      <c r="NS20" s="237">
        <f t="shared" si="86"/>
        <v>54</v>
      </c>
      <c r="NT20" s="237">
        <f t="shared" si="87"/>
        <v>54</v>
      </c>
      <c r="NU20" s="237">
        <f t="shared" si="88"/>
        <v>54</v>
      </c>
      <c r="NV20" s="237">
        <f t="shared" si="89"/>
        <v>39</v>
      </c>
      <c r="NW20" s="237">
        <f t="shared" si="90"/>
        <v>0</v>
      </c>
      <c r="NX20" s="237">
        <f t="shared" si="91"/>
        <v>0</v>
      </c>
      <c r="NY20" s="237">
        <f t="shared" si="92"/>
        <v>0</v>
      </c>
      <c r="NZ20" s="237">
        <f t="shared" si="93"/>
        <v>0</v>
      </c>
      <c r="OA20" s="237">
        <f t="shared" si="94"/>
        <v>0</v>
      </c>
      <c r="OB20" s="237">
        <f t="shared" si="95"/>
        <v>0</v>
      </c>
      <c r="OC20" s="237">
        <f t="shared" si="96"/>
        <v>0</v>
      </c>
      <c r="OD20" s="237">
        <f t="shared" si="97"/>
        <v>0</v>
      </c>
      <c r="OE20" s="237">
        <f t="shared" si="98"/>
        <v>0</v>
      </c>
      <c r="OF20" s="237">
        <f t="shared" si="99"/>
        <v>0</v>
      </c>
      <c r="OG20" s="237">
        <f t="shared" si="100"/>
        <v>0</v>
      </c>
      <c r="OH20" s="237">
        <f t="shared" si="101"/>
        <v>0</v>
      </c>
      <c r="OI20" s="285">
        <f t="shared" si="102"/>
        <v>4</v>
      </c>
      <c r="OJ20" s="280">
        <f t="shared" si="103"/>
        <v>240</v>
      </c>
    </row>
    <row r="21" spans="12:400" ht="15" thickTop="1" x14ac:dyDescent="0.3">
      <c r="L21" s="127" t="str">
        <f t="shared" si="5"/>
        <v>C7x14.75</v>
      </c>
      <c r="M21" s="138">
        <v>14.75</v>
      </c>
      <c r="N21" s="138">
        <v>4.33</v>
      </c>
      <c r="O21" s="138">
        <v>7</v>
      </c>
      <c r="P21" s="138">
        <v>0.41899999999999998</v>
      </c>
      <c r="Q21" s="138">
        <v>2.2989999999999999</v>
      </c>
      <c r="R21" s="138">
        <v>0.36599999999999999</v>
      </c>
      <c r="S21" s="138">
        <v>0.31</v>
      </c>
      <c r="T21" s="138">
        <v>0.13</v>
      </c>
      <c r="U21">
        <v>9.4629999999999992</v>
      </c>
      <c r="V21" s="138">
        <f t="shared" si="6"/>
        <v>9.9196703723699486E-2</v>
      </c>
      <c r="W21" s="139">
        <f t="shared" si="7"/>
        <v>14.75</v>
      </c>
      <c r="X21" s="140"/>
      <c r="Y21" s="141">
        <v>0.875</v>
      </c>
      <c r="Z21" s="141">
        <v>5.25</v>
      </c>
      <c r="AA21" s="133" t="s">
        <v>85</v>
      </c>
      <c r="AE21" s="127" t="str">
        <f t="shared" si="0"/>
        <v>L2x3x0.1875</v>
      </c>
      <c r="AF21" s="138">
        <v>2</v>
      </c>
      <c r="AG21" s="138">
        <v>3.0000000000000004</v>
      </c>
      <c r="AH21" s="138">
        <v>0.18750000000000003</v>
      </c>
      <c r="AI21" s="138">
        <v>0.3125</v>
      </c>
      <c r="AJ21" s="138">
        <v>0.18750000000000003</v>
      </c>
      <c r="AK21">
        <f t="shared" si="1"/>
        <v>2.0000000000000001E-4</v>
      </c>
      <c r="AL21" t="s">
        <v>115</v>
      </c>
      <c r="AM21" s="133" t="s">
        <v>85</v>
      </c>
      <c r="AP21" s="127" t="str">
        <f t="shared" si="2"/>
        <v>S10x35</v>
      </c>
      <c r="AQ21">
        <v>10</v>
      </c>
      <c r="AR21" s="138">
        <v>35</v>
      </c>
      <c r="AS21" s="138">
        <v>10</v>
      </c>
      <c r="AT21" s="138">
        <v>0.59399999999999997</v>
      </c>
      <c r="AU21" s="138">
        <v>4.9439999999999991</v>
      </c>
      <c r="AV21" s="138">
        <v>0.49099999999999999</v>
      </c>
      <c r="AW21" s="138">
        <v>0.41</v>
      </c>
      <c r="AX21" s="138">
        <v>0.18999999999999997</v>
      </c>
      <c r="AY21">
        <v>9.4630000000000312</v>
      </c>
      <c r="AZ21" s="138">
        <f t="shared" si="3"/>
        <v>7.9608376738699134</v>
      </c>
      <c r="BA21" s="133" t="s">
        <v>85</v>
      </c>
      <c r="BD21" s="143" t="str">
        <f t="shared" si="4"/>
        <v>W8x35</v>
      </c>
      <c r="BE21">
        <v>8</v>
      </c>
      <c r="BF21" s="138">
        <v>35</v>
      </c>
      <c r="BG21" s="138">
        <v>8.1199999999999992</v>
      </c>
      <c r="BH21" s="138">
        <v>0.31</v>
      </c>
      <c r="BI21" s="138">
        <v>8.02</v>
      </c>
      <c r="BJ21" s="138">
        <v>0.495</v>
      </c>
      <c r="BK21" s="138">
        <v>0.4</v>
      </c>
      <c r="BM21" s="133" t="s">
        <v>85</v>
      </c>
      <c r="BO21" s="150" t="s">
        <v>292</v>
      </c>
      <c r="BP21" s="138">
        <v>25</v>
      </c>
      <c r="BQ21" s="144">
        <v>10</v>
      </c>
      <c r="BR21" s="144">
        <v>0.37999999999999995</v>
      </c>
      <c r="BS21" s="144">
        <v>3.4049999999999998</v>
      </c>
      <c r="BT21" s="144">
        <v>0.57499999999999996</v>
      </c>
      <c r="BU21" s="144">
        <v>0.57999999999999996</v>
      </c>
      <c r="BV21" s="144">
        <v>0.37999273319959254</v>
      </c>
      <c r="BW21" s="138">
        <v>9.4629999999999992</v>
      </c>
      <c r="BX21" s="138">
        <v>9.9999999999997313E-4</v>
      </c>
      <c r="BY21" s="138">
        <v>7.3631409167711359</v>
      </c>
      <c r="BZ21" s="138">
        <v>1.318429541614432</v>
      </c>
      <c r="CB21">
        <v>1.3125</v>
      </c>
      <c r="CC21">
        <v>7.375</v>
      </c>
      <c r="CD21" s="151" t="s">
        <v>85</v>
      </c>
      <c r="CF21" s="150" t="s">
        <v>292</v>
      </c>
      <c r="CG21">
        <v>1.3125</v>
      </c>
      <c r="CH21">
        <v>7.375</v>
      </c>
      <c r="CI21" s="151" t="s">
        <v>261</v>
      </c>
      <c r="DU21" s="220">
        <f t="shared" si="11"/>
        <v>432</v>
      </c>
      <c r="DV21" s="221">
        <v>36</v>
      </c>
      <c r="DW21" s="221">
        <v>7</v>
      </c>
      <c r="DX21" s="221">
        <v>54</v>
      </c>
      <c r="DY21" s="223">
        <f t="shared" si="104"/>
        <v>54</v>
      </c>
      <c r="DZ21" s="221">
        <v>324</v>
      </c>
      <c r="EA21" s="224" t="s">
        <v>261</v>
      </c>
      <c r="EH21" s="232">
        <v>21</v>
      </c>
      <c r="EI21" s="256">
        <v>252</v>
      </c>
      <c r="EJ21" s="257">
        <v>30</v>
      </c>
      <c r="EK21" s="257">
        <v>48</v>
      </c>
      <c r="EL21" s="257">
        <v>48</v>
      </c>
      <c r="EM21" s="257">
        <v>48</v>
      </c>
      <c r="EN21" s="257">
        <v>48</v>
      </c>
      <c r="EO21" s="257">
        <v>30</v>
      </c>
      <c r="EP21" s="257" t="s">
        <v>1137</v>
      </c>
      <c r="EQ21" s="257" t="s">
        <v>1137</v>
      </c>
      <c r="ER21" s="257" t="s">
        <v>1137</v>
      </c>
      <c r="ES21" s="257" t="s">
        <v>1137</v>
      </c>
      <c r="ET21" s="257" t="s">
        <v>1137</v>
      </c>
      <c r="EU21" s="257" t="s">
        <v>1137</v>
      </c>
      <c r="EV21" s="257" t="s">
        <v>1137</v>
      </c>
      <c r="EW21" s="257" t="s">
        <v>1137</v>
      </c>
      <c r="EX21" s="257" t="s">
        <v>1137</v>
      </c>
      <c r="EY21" s="257" t="s">
        <v>1137</v>
      </c>
      <c r="EZ21" s="257"/>
      <c r="FA21" s="258">
        <v>5</v>
      </c>
      <c r="FB21" s="236">
        <f t="shared" si="12"/>
        <v>252</v>
      </c>
      <c r="FD21" s="237">
        <f t="shared" si="13"/>
        <v>21</v>
      </c>
      <c r="FE21" s="246">
        <f t="shared" si="13"/>
        <v>252</v>
      </c>
      <c r="FF21" s="247">
        <f t="shared" si="13"/>
        <v>30</v>
      </c>
      <c r="FG21" s="247">
        <f t="shared" si="13"/>
        <v>48</v>
      </c>
      <c r="FH21" s="247">
        <f t="shared" si="13"/>
        <v>48</v>
      </c>
      <c r="FI21" s="247">
        <f t="shared" si="13"/>
        <v>48</v>
      </c>
      <c r="FJ21" s="247">
        <f t="shared" si="13"/>
        <v>48</v>
      </c>
      <c r="FK21" s="247">
        <f t="shared" si="13"/>
        <v>30</v>
      </c>
      <c r="FL21" s="247" t="str">
        <f t="shared" si="13"/>
        <v xml:space="preserve"> </v>
      </c>
      <c r="FM21" s="247" t="str">
        <f t="shared" si="13"/>
        <v xml:space="preserve"> </v>
      </c>
      <c r="FN21" s="247" t="str">
        <f t="shared" si="13"/>
        <v xml:space="preserve"> </v>
      </c>
      <c r="FO21" s="247" t="str">
        <f t="shared" si="13"/>
        <v xml:space="preserve"> </v>
      </c>
      <c r="FP21" s="247" t="str">
        <f t="shared" si="13"/>
        <v xml:space="preserve"> </v>
      </c>
      <c r="FQ21" s="247" t="str">
        <f t="shared" si="13"/>
        <v xml:space="preserve"> </v>
      </c>
      <c r="FR21" s="247" t="str">
        <f t="shared" si="13"/>
        <v xml:space="preserve"> </v>
      </c>
      <c r="FS21" s="247" t="str">
        <f t="shared" si="13"/>
        <v xml:space="preserve"> </v>
      </c>
      <c r="FT21" s="247" t="str">
        <f t="shared" si="105"/>
        <v xml:space="preserve"> </v>
      </c>
      <c r="FU21" s="247" t="str">
        <f t="shared" si="105"/>
        <v xml:space="preserve"> </v>
      </c>
      <c r="FV21" s="247">
        <f t="shared" si="105"/>
        <v>0</v>
      </c>
      <c r="FW21" s="248">
        <f t="shared" si="105"/>
        <v>5</v>
      </c>
      <c r="FX21" s="241">
        <f t="shared" si="105"/>
        <v>252</v>
      </c>
      <c r="FZ21" s="242">
        <v>21</v>
      </c>
      <c r="GA21" s="256">
        <v>252</v>
      </c>
      <c r="GB21" s="257">
        <v>36</v>
      </c>
      <c r="GC21" s="257">
        <v>60</v>
      </c>
      <c r="GD21" s="257">
        <v>60</v>
      </c>
      <c r="GE21" s="257">
        <v>60</v>
      </c>
      <c r="GF21" s="257">
        <v>36</v>
      </c>
      <c r="GG21" s="257"/>
      <c r="GH21" s="257"/>
      <c r="GI21" s="257" t="s">
        <v>1137</v>
      </c>
      <c r="GJ21" s="257" t="s">
        <v>1137</v>
      </c>
      <c r="GK21" s="257" t="s">
        <v>1137</v>
      </c>
      <c r="GL21" s="257" t="s">
        <v>1137</v>
      </c>
      <c r="GM21" s="257" t="s">
        <v>1137</v>
      </c>
      <c r="GN21" s="257" t="s">
        <v>1137</v>
      </c>
      <c r="GO21" s="257" t="s">
        <v>1137</v>
      </c>
      <c r="GP21" s="257" t="s">
        <v>1137</v>
      </c>
      <c r="GQ21" s="257" t="s">
        <v>1137</v>
      </c>
      <c r="GR21" s="257"/>
      <c r="GS21" s="258">
        <v>4</v>
      </c>
      <c r="GT21" s="236">
        <f t="shared" si="14"/>
        <v>252</v>
      </c>
      <c r="GV21" s="237">
        <f t="shared" si="15"/>
        <v>21</v>
      </c>
      <c r="GW21" s="246">
        <f t="shared" si="15"/>
        <v>252</v>
      </c>
      <c r="GX21" s="247">
        <f t="shared" si="15"/>
        <v>36</v>
      </c>
      <c r="GY21" s="247">
        <f t="shared" si="15"/>
        <v>60</v>
      </c>
      <c r="GZ21" s="247">
        <f t="shared" si="15"/>
        <v>60</v>
      </c>
      <c r="HA21" s="247">
        <f t="shared" si="15"/>
        <v>60</v>
      </c>
      <c r="HB21" s="247">
        <f t="shared" si="15"/>
        <v>36</v>
      </c>
      <c r="HC21" s="247">
        <f t="shared" si="15"/>
        <v>0</v>
      </c>
      <c r="HD21" s="247">
        <f t="shared" si="15"/>
        <v>0</v>
      </c>
      <c r="HE21" s="247" t="str">
        <f t="shared" si="15"/>
        <v xml:space="preserve"> </v>
      </c>
      <c r="HF21" s="247" t="str">
        <f t="shared" si="15"/>
        <v xml:space="preserve"> </v>
      </c>
      <c r="HG21" s="247" t="str">
        <f t="shared" si="15"/>
        <v xml:space="preserve"> </v>
      </c>
      <c r="HH21" s="247" t="str">
        <f t="shared" si="15"/>
        <v xml:space="preserve"> </v>
      </c>
      <c r="HI21" s="247" t="str">
        <f t="shared" si="15"/>
        <v xml:space="preserve"> </v>
      </c>
      <c r="HJ21" s="247" t="str">
        <f t="shared" si="15"/>
        <v xml:space="preserve"> </v>
      </c>
      <c r="HK21" s="247" t="str">
        <f t="shared" si="15"/>
        <v xml:space="preserve"> </v>
      </c>
      <c r="HL21" s="247" t="str">
        <f t="shared" si="106"/>
        <v xml:space="preserve"> </v>
      </c>
      <c r="HM21" s="247" t="str">
        <f t="shared" si="10"/>
        <v xml:space="preserve"> </v>
      </c>
      <c r="HN21" s="247">
        <f t="shared" si="10"/>
        <v>0</v>
      </c>
      <c r="HO21" s="248">
        <f t="shared" si="10"/>
        <v>4</v>
      </c>
      <c r="HP21" s="241">
        <f t="shared" si="10"/>
        <v>252</v>
      </c>
      <c r="HR21" s="232">
        <v>21</v>
      </c>
      <c r="HS21" s="256">
        <v>252</v>
      </c>
      <c r="HT21" s="257">
        <v>54</v>
      </c>
      <c r="HU21" s="257">
        <v>72</v>
      </c>
      <c r="HV21" s="257">
        <v>72</v>
      </c>
      <c r="HW21" s="257">
        <v>54</v>
      </c>
      <c r="HX21" s="257"/>
      <c r="HY21" s="257"/>
      <c r="HZ21" s="257"/>
      <c r="IA21" s="257"/>
      <c r="IB21" s="257"/>
      <c r="IC21" s="257"/>
      <c r="ID21" s="257"/>
      <c r="IE21" s="257"/>
      <c r="IF21" s="257"/>
      <c r="IG21" s="257"/>
      <c r="IH21" s="257"/>
      <c r="II21" s="257"/>
      <c r="IJ21" s="257"/>
      <c r="IK21" s="258">
        <v>3</v>
      </c>
      <c r="IL21" s="236">
        <f t="shared" si="16"/>
        <v>252</v>
      </c>
      <c r="IN21" s="232">
        <v>21</v>
      </c>
      <c r="IO21" s="256">
        <v>252</v>
      </c>
      <c r="IP21" s="257">
        <v>84</v>
      </c>
      <c r="IQ21" s="257">
        <v>84</v>
      </c>
      <c r="IR21" s="257">
        <v>84</v>
      </c>
      <c r="IS21" s="257"/>
      <c r="IT21" s="257"/>
      <c r="IU21" s="257"/>
      <c r="IV21" s="257"/>
      <c r="IW21" s="257"/>
      <c r="IX21" s="257"/>
      <c r="IY21" s="257"/>
      <c r="IZ21" s="257"/>
      <c r="JA21" s="257"/>
      <c r="JB21" s="257"/>
      <c r="JC21" s="257"/>
      <c r="JD21" s="257"/>
      <c r="JE21" s="257"/>
      <c r="JF21" s="257"/>
      <c r="JG21" s="258">
        <v>2</v>
      </c>
      <c r="JH21" s="236">
        <f t="shared" si="17"/>
        <v>252</v>
      </c>
      <c r="JJ21" s="242">
        <v>21</v>
      </c>
      <c r="JK21" s="256">
        <v>252</v>
      </c>
      <c r="JL21" s="257">
        <v>78</v>
      </c>
      <c r="JM21" s="257">
        <v>96</v>
      </c>
      <c r="JN21" s="257">
        <v>78</v>
      </c>
      <c r="JO21" s="257"/>
      <c r="JP21" s="257"/>
      <c r="JQ21" s="257"/>
      <c r="JR21" s="257"/>
      <c r="JS21" s="257"/>
      <c r="JT21" s="257"/>
      <c r="JU21" s="257"/>
      <c r="JV21" s="257"/>
      <c r="JW21" s="257"/>
      <c r="JX21" s="257"/>
      <c r="JY21" s="257"/>
      <c r="JZ21" s="257"/>
      <c r="KA21" s="257"/>
      <c r="KB21" s="257"/>
      <c r="KC21" s="258">
        <v>2</v>
      </c>
      <c r="KD21" s="236">
        <f t="shared" si="18"/>
        <v>252</v>
      </c>
      <c r="KF21" s="232">
        <v>21</v>
      </c>
      <c r="KG21" s="256">
        <v>252</v>
      </c>
      <c r="KH21" s="257">
        <v>45</v>
      </c>
      <c r="KI21" s="257">
        <v>54</v>
      </c>
      <c r="KJ21" s="257">
        <v>54</v>
      </c>
      <c r="KK21" s="257">
        <v>54</v>
      </c>
      <c r="KL21" s="257">
        <v>45</v>
      </c>
      <c r="KM21" s="257"/>
      <c r="KN21" s="257"/>
      <c r="KO21" s="257"/>
      <c r="KP21" s="257"/>
      <c r="KQ21" s="257"/>
      <c r="KR21" s="257"/>
      <c r="KS21" s="257"/>
      <c r="KT21" s="257"/>
      <c r="KU21" s="257"/>
      <c r="KV21" s="257"/>
      <c r="KW21" s="257"/>
      <c r="KX21" s="257"/>
      <c r="KY21" s="258">
        <v>4</v>
      </c>
      <c r="KZ21" s="236">
        <f t="shared" si="19"/>
        <v>252</v>
      </c>
      <c r="LB21" s="237">
        <f t="shared" si="20"/>
        <v>21</v>
      </c>
      <c r="LC21" s="284">
        <f t="shared" si="21"/>
        <v>252</v>
      </c>
      <c r="LD21" s="237">
        <f t="shared" si="22"/>
        <v>45</v>
      </c>
      <c r="LE21" s="237">
        <f t="shared" si="23"/>
        <v>54</v>
      </c>
      <c r="LF21" s="237">
        <f t="shared" si="24"/>
        <v>54</v>
      </c>
      <c r="LG21" s="237">
        <f t="shared" si="25"/>
        <v>54</v>
      </c>
      <c r="LH21" s="237">
        <f t="shared" si="26"/>
        <v>45</v>
      </c>
      <c r="LI21" s="237">
        <f t="shared" si="27"/>
        <v>0</v>
      </c>
      <c r="LJ21" s="237">
        <f t="shared" si="28"/>
        <v>0</v>
      </c>
      <c r="LK21" s="237">
        <f t="shared" si="29"/>
        <v>0</v>
      </c>
      <c r="LL21" s="237">
        <f t="shared" si="30"/>
        <v>0</v>
      </c>
      <c r="LM21" s="237">
        <f t="shared" si="31"/>
        <v>0</v>
      </c>
      <c r="LN21" s="237">
        <f t="shared" si="32"/>
        <v>0</v>
      </c>
      <c r="LO21" s="237">
        <f t="shared" si="33"/>
        <v>0</v>
      </c>
      <c r="LP21" s="237">
        <f t="shared" si="34"/>
        <v>0</v>
      </c>
      <c r="LQ21" s="237">
        <f t="shared" si="35"/>
        <v>0</v>
      </c>
      <c r="LR21" s="237">
        <f t="shared" si="36"/>
        <v>0</v>
      </c>
      <c r="LS21" s="237">
        <f t="shared" si="37"/>
        <v>0</v>
      </c>
      <c r="LT21" s="237">
        <f t="shared" si="38"/>
        <v>0</v>
      </c>
      <c r="LU21" s="285">
        <f t="shared" si="39"/>
        <v>4</v>
      </c>
      <c r="LV21" s="280">
        <f t="shared" si="40"/>
        <v>252</v>
      </c>
      <c r="LX21" s="237">
        <f t="shared" si="41"/>
        <v>21</v>
      </c>
      <c r="LY21" s="284">
        <f t="shared" si="42"/>
        <v>252</v>
      </c>
      <c r="LZ21" s="237">
        <f t="shared" si="43"/>
        <v>45</v>
      </c>
      <c r="MA21" s="237">
        <f t="shared" si="44"/>
        <v>54</v>
      </c>
      <c r="MB21" s="237">
        <f t="shared" si="45"/>
        <v>54</v>
      </c>
      <c r="MC21" s="237">
        <f t="shared" si="46"/>
        <v>54</v>
      </c>
      <c r="MD21" s="237">
        <f t="shared" si="47"/>
        <v>45</v>
      </c>
      <c r="ME21" s="237">
        <f t="shared" si="48"/>
        <v>0</v>
      </c>
      <c r="MF21" s="237">
        <f t="shared" si="49"/>
        <v>0</v>
      </c>
      <c r="MG21" s="237">
        <f t="shared" si="50"/>
        <v>0</v>
      </c>
      <c r="MH21" s="237">
        <f t="shared" si="51"/>
        <v>0</v>
      </c>
      <c r="MI21" s="237">
        <f t="shared" si="52"/>
        <v>0</v>
      </c>
      <c r="MJ21" s="237">
        <f t="shared" si="53"/>
        <v>0</v>
      </c>
      <c r="MK21" s="237">
        <f t="shared" si="54"/>
        <v>0</v>
      </c>
      <c r="ML21" s="237">
        <f t="shared" si="55"/>
        <v>0</v>
      </c>
      <c r="MM21" s="237">
        <f t="shared" si="56"/>
        <v>0</v>
      </c>
      <c r="MN21" s="237">
        <f t="shared" si="57"/>
        <v>0</v>
      </c>
      <c r="MO21" s="237">
        <f t="shared" si="58"/>
        <v>0</v>
      </c>
      <c r="MP21" s="237">
        <f t="shared" si="59"/>
        <v>0</v>
      </c>
      <c r="MQ21" s="285">
        <f t="shared" si="60"/>
        <v>4</v>
      </c>
      <c r="MR21" s="280">
        <f t="shared" si="61"/>
        <v>252</v>
      </c>
      <c r="MT21" s="237">
        <f t="shared" si="62"/>
        <v>21</v>
      </c>
      <c r="MU21" s="284">
        <f t="shared" si="63"/>
        <v>252</v>
      </c>
      <c r="MV21" s="237">
        <f t="shared" si="64"/>
        <v>45</v>
      </c>
      <c r="MW21" s="237">
        <f t="shared" si="65"/>
        <v>54</v>
      </c>
      <c r="MX21" s="237">
        <f t="shared" si="66"/>
        <v>54</v>
      </c>
      <c r="MY21" s="237">
        <f t="shared" si="67"/>
        <v>54</v>
      </c>
      <c r="MZ21" s="237">
        <f t="shared" si="68"/>
        <v>45</v>
      </c>
      <c r="NA21" s="237">
        <f t="shared" si="69"/>
        <v>0</v>
      </c>
      <c r="NB21" s="237">
        <f t="shared" si="70"/>
        <v>0</v>
      </c>
      <c r="NC21" s="237">
        <f t="shared" si="71"/>
        <v>0</v>
      </c>
      <c r="ND21" s="237">
        <f t="shared" si="72"/>
        <v>0</v>
      </c>
      <c r="NE21" s="237">
        <f t="shared" si="73"/>
        <v>0</v>
      </c>
      <c r="NF21" s="237">
        <f t="shared" si="74"/>
        <v>0</v>
      </c>
      <c r="NG21" s="237">
        <f t="shared" si="75"/>
        <v>0</v>
      </c>
      <c r="NH21" s="237">
        <f t="shared" si="76"/>
        <v>0</v>
      </c>
      <c r="NI21" s="237">
        <f t="shared" si="77"/>
        <v>0</v>
      </c>
      <c r="NJ21" s="237">
        <f t="shared" si="78"/>
        <v>0</v>
      </c>
      <c r="NK21" s="237">
        <f t="shared" si="79"/>
        <v>0</v>
      </c>
      <c r="NL21" s="237">
        <f t="shared" si="80"/>
        <v>0</v>
      </c>
      <c r="NM21" s="285">
        <f t="shared" si="81"/>
        <v>4</v>
      </c>
      <c r="NN21" s="280">
        <f t="shared" si="82"/>
        <v>252</v>
      </c>
      <c r="NP21" s="237">
        <f t="shared" si="83"/>
        <v>21</v>
      </c>
      <c r="NQ21" s="284">
        <f t="shared" si="84"/>
        <v>252</v>
      </c>
      <c r="NR21" s="237">
        <f t="shared" si="85"/>
        <v>45</v>
      </c>
      <c r="NS21" s="237">
        <f t="shared" si="86"/>
        <v>54</v>
      </c>
      <c r="NT21" s="237">
        <f t="shared" si="87"/>
        <v>54</v>
      </c>
      <c r="NU21" s="237">
        <f t="shared" si="88"/>
        <v>54</v>
      </c>
      <c r="NV21" s="237">
        <f t="shared" si="89"/>
        <v>45</v>
      </c>
      <c r="NW21" s="237">
        <f t="shared" si="90"/>
        <v>0</v>
      </c>
      <c r="NX21" s="237">
        <f t="shared" si="91"/>
        <v>0</v>
      </c>
      <c r="NY21" s="237">
        <f t="shared" si="92"/>
        <v>0</v>
      </c>
      <c r="NZ21" s="237">
        <f t="shared" si="93"/>
        <v>0</v>
      </c>
      <c r="OA21" s="237">
        <f t="shared" si="94"/>
        <v>0</v>
      </c>
      <c r="OB21" s="237">
        <f t="shared" si="95"/>
        <v>0</v>
      </c>
      <c r="OC21" s="237">
        <f t="shared" si="96"/>
        <v>0</v>
      </c>
      <c r="OD21" s="237">
        <f t="shared" si="97"/>
        <v>0</v>
      </c>
      <c r="OE21" s="237">
        <f t="shared" si="98"/>
        <v>0</v>
      </c>
      <c r="OF21" s="237">
        <f t="shared" si="99"/>
        <v>0</v>
      </c>
      <c r="OG21" s="237">
        <f t="shared" si="100"/>
        <v>0</v>
      </c>
      <c r="OH21" s="237">
        <f t="shared" si="101"/>
        <v>0</v>
      </c>
      <c r="OI21" s="285">
        <f t="shared" si="102"/>
        <v>4</v>
      </c>
      <c r="OJ21" s="280">
        <f t="shared" si="103"/>
        <v>252</v>
      </c>
    </row>
    <row r="22" spans="12:400" x14ac:dyDescent="0.3">
      <c r="L22" s="127" t="str">
        <f t="shared" si="5"/>
        <v>C7x12.25</v>
      </c>
      <c r="M22" s="138">
        <v>12.25</v>
      </c>
      <c r="N22" s="138">
        <v>3.6</v>
      </c>
      <c r="O22" s="138">
        <v>7</v>
      </c>
      <c r="P22" s="138">
        <v>0.314</v>
      </c>
      <c r="Q22" s="138">
        <v>2.194</v>
      </c>
      <c r="R22" s="138">
        <v>0.36599999999999999</v>
      </c>
      <c r="S22" s="138">
        <v>0.31</v>
      </c>
      <c r="T22" s="138">
        <v>0.13</v>
      </c>
      <c r="U22">
        <v>9.4629999999999992</v>
      </c>
      <c r="V22" s="138">
        <f t="shared" si="6"/>
        <v>9.9196703723699486E-2</v>
      </c>
      <c r="W22" s="139">
        <f t="shared" si="7"/>
        <v>12.25</v>
      </c>
      <c r="X22" s="140"/>
      <c r="Y22" s="141">
        <v>0.875</v>
      </c>
      <c r="Z22" s="141">
        <v>5.25</v>
      </c>
      <c r="AA22" s="133" t="s">
        <v>85</v>
      </c>
      <c r="AE22" s="127" t="str">
        <f t="shared" si="0"/>
        <v>L2x3x0.25</v>
      </c>
      <c r="AF22" s="138">
        <v>2</v>
      </c>
      <c r="AG22" s="138">
        <v>3.0000000000000004</v>
      </c>
      <c r="AH22" s="138">
        <v>0.25</v>
      </c>
      <c r="AI22" s="138">
        <v>0.3125</v>
      </c>
      <c r="AJ22" s="138">
        <v>0.25</v>
      </c>
      <c r="AK22">
        <f t="shared" si="1"/>
        <v>2.0000000000000001E-4</v>
      </c>
      <c r="AL22" t="s">
        <v>114</v>
      </c>
      <c r="AM22" s="133" t="s">
        <v>85</v>
      </c>
      <c r="AP22" s="127" t="str">
        <f t="shared" si="2"/>
        <v>S10x25.4</v>
      </c>
      <c r="AQ22">
        <v>10</v>
      </c>
      <c r="AR22" s="138">
        <v>25.4</v>
      </c>
      <c r="AS22" s="138">
        <v>10</v>
      </c>
      <c r="AT22" s="138">
        <v>0.311</v>
      </c>
      <c r="AU22" s="138">
        <v>4.6609999999999996</v>
      </c>
      <c r="AV22" s="138">
        <v>0.49099999999999999</v>
      </c>
      <c r="AW22" s="138">
        <v>0.41</v>
      </c>
      <c r="AX22" s="138">
        <v>0.18999999999999997</v>
      </c>
      <c r="AY22">
        <v>9.4630000000000312</v>
      </c>
      <c r="AZ22" s="138">
        <f t="shared" si="3"/>
        <v>7.9608376738699134</v>
      </c>
      <c r="BA22" s="133" t="s">
        <v>85</v>
      </c>
      <c r="BD22" s="143" t="str">
        <f t="shared" si="4"/>
        <v>W8x40</v>
      </c>
      <c r="BE22">
        <v>8</v>
      </c>
      <c r="BF22" s="138">
        <v>40</v>
      </c>
      <c r="BG22" s="138">
        <v>8.25</v>
      </c>
      <c r="BH22" s="138">
        <v>0.36</v>
      </c>
      <c r="BI22" s="138">
        <v>8.07</v>
      </c>
      <c r="BJ22" s="138">
        <v>0.56000000000000005</v>
      </c>
      <c r="BK22" s="138">
        <v>0.4</v>
      </c>
      <c r="BM22" s="133" t="s">
        <v>85</v>
      </c>
      <c r="BO22" s="150" t="s">
        <v>293</v>
      </c>
      <c r="BP22" s="138">
        <v>22</v>
      </c>
      <c r="BQ22" s="144">
        <v>10</v>
      </c>
      <c r="BR22" s="144">
        <v>0.28999999999999998</v>
      </c>
      <c r="BS22" s="144">
        <v>3.3149999999999999</v>
      </c>
      <c r="BT22" s="144">
        <v>0.57499999999999996</v>
      </c>
      <c r="BU22" s="144">
        <v>0.57999999999999996</v>
      </c>
      <c r="BV22" s="144">
        <v>0.37999273319959254</v>
      </c>
      <c r="BW22" s="138">
        <v>9.4629999999999992</v>
      </c>
      <c r="BX22" s="138">
        <v>9.9999999999997313E-4</v>
      </c>
      <c r="BY22" s="138">
        <v>7.3631409167711359</v>
      </c>
      <c r="BZ22" s="138">
        <v>1.318429541614432</v>
      </c>
      <c r="CA22" t="s">
        <v>347</v>
      </c>
      <c r="CB22">
        <v>1.3125</v>
      </c>
      <c r="CC22">
        <v>7.375</v>
      </c>
      <c r="CD22" s="151" t="s">
        <v>85</v>
      </c>
      <c r="CF22" s="150" t="s">
        <v>293</v>
      </c>
      <c r="CG22">
        <v>1.3125</v>
      </c>
      <c r="CH22">
        <v>7.375</v>
      </c>
      <c r="CI22" s="151" t="s">
        <v>261</v>
      </c>
      <c r="DU22" s="220">
        <f t="shared" si="11"/>
        <v>444</v>
      </c>
      <c r="DV22" s="228">
        <v>37</v>
      </c>
      <c r="DW22" s="228">
        <v>6</v>
      </c>
      <c r="DX22" s="228">
        <v>64</v>
      </c>
      <c r="DY22" s="228">
        <f t="shared" si="104"/>
        <v>62</v>
      </c>
      <c r="DZ22" s="228">
        <v>320</v>
      </c>
      <c r="EA22" s="229" t="s">
        <v>261</v>
      </c>
      <c r="EB22" t="s">
        <v>1120</v>
      </c>
      <c r="EH22" s="243">
        <v>22</v>
      </c>
      <c r="EI22" s="244">
        <v>264</v>
      </c>
      <c r="EJ22" s="90">
        <v>36</v>
      </c>
      <c r="EK22" s="90">
        <v>48</v>
      </c>
      <c r="EL22" s="90">
        <v>48</v>
      </c>
      <c r="EM22" s="90">
        <v>48</v>
      </c>
      <c r="EN22" s="90">
        <v>48</v>
      </c>
      <c r="EO22" s="90">
        <v>36</v>
      </c>
      <c r="EP22" s="90" t="s">
        <v>1137</v>
      </c>
      <c r="EQ22" s="90" t="s">
        <v>1137</v>
      </c>
      <c r="ER22" s="90" t="s">
        <v>1137</v>
      </c>
      <c r="ES22" s="90" t="s">
        <v>1137</v>
      </c>
      <c r="ET22" s="90" t="s">
        <v>1137</v>
      </c>
      <c r="EU22" s="90" t="s">
        <v>1137</v>
      </c>
      <c r="EV22" s="90" t="s">
        <v>1137</v>
      </c>
      <c r="EW22" s="90" t="s">
        <v>1137</v>
      </c>
      <c r="EX22" s="90" t="s">
        <v>1137</v>
      </c>
      <c r="EY22" s="90" t="s">
        <v>1137</v>
      </c>
      <c r="EZ22" s="90"/>
      <c r="FA22" s="224">
        <v>5</v>
      </c>
      <c r="FB22" s="245">
        <f t="shared" si="12"/>
        <v>264</v>
      </c>
      <c r="FD22" s="237">
        <f t="shared" si="13"/>
        <v>22</v>
      </c>
      <c r="FE22" s="246">
        <f t="shared" si="13"/>
        <v>264</v>
      </c>
      <c r="FF22" s="247">
        <f t="shared" si="13"/>
        <v>36</v>
      </c>
      <c r="FG22" s="247">
        <f t="shared" si="13"/>
        <v>48</v>
      </c>
      <c r="FH22" s="247">
        <f t="shared" si="13"/>
        <v>48</v>
      </c>
      <c r="FI22" s="247">
        <f t="shared" si="13"/>
        <v>48</v>
      </c>
      <c r="FJ22" s="247">
        <f t="shared" si="13"/>
        <v>48</v>
      </c>
      <c r="FK22" s="247">
        <f t="shared" si="13"/>
        <v>36</v>
      </c>
      <c r="FL22" s="247" t="str">
        <f t="shared" si="13"/>
        <v xml:space="preserve"> </v>
      </c>
      <c r="FM22" s="247" t="str">
        <f t="shared" si="13"/>
        <v xml:space="preserve"> </v>
      </c>
      <c r="FN22" s="247" t="str">
        <f t="shared" si="13"/>
        <v xml:space="preserve"> </v>
      </c>
      <c r="FO22" s="247" t="str">
        <f t="shared" si="13"/>
        <v xml:space="preserve"> </v>
      </c>
      <c r="FP22" s="247" t="str">
        <f t="shared" si="13"/>
        <v xml:space="preserve"> </v>
      </c>
      <c r="FQ22" s="247" t="str">
        <f t="shared" si="13"/>
        <v xml:space="preserve"> </v>
      </c>
      <c r="FR22" s="247" t="str">
        <f t="shared" si="13"/>
        <v xml:space="preserve"> </v>
      </c>
      <c r="FS22" s="247" t="str">
        <f t="shared" si="13"/>
        <v xml:space="preserve"> </v>
      </c>
      <c r="FT22" s="247" t="str">
        <f t="shared" si="105"/>
        <v xml:space="preserve"> </v>
      </c>
      <c r="FU22" s="247" t="str">
        <f t="shared" si="105"/>
        <v xml:space="preserve"> </v>
      </c>
      <c r="FV22" s="247">
        <f t="shared" si="105"/>
        <v>0</v>
      </c>
      <c r="FW22" s="248">
        <f t="shared" si="105"/>
        <v>5</v>
      </c>
      <c r="FX22" s="241">
        <f t="shared" si="105"/>
        <v>264</v>
      </c>
      <c r="FZ22" s="249">
        <v>22</v>
      </c>
      <c r="GA22" s="244">
        <v>264</v>
      </c>
      <c r="GB22" s="90">
        <v>42</v>
      </c>
      <c r="GC22" s="90">
        <v>60</v>
      </c>
      <c r="GD22" s="90">
        <v>60</v>
      </c>
      <c r="GE22" s="90">
        <v>60</v>
      </c>
      <c r="GF22" s="90">
        <v>42</v>
      </c>
      <c r="GG22" s="90"/>
      <c r="GH22" s="90"/>
      <c r="GI22" s="90" t="s">
        <v>1137</v>
      </c>
      <c r="GJ22" s="90" t="s">
        <v>1137</v>
      </c>
      <c r="GK22" s="90" t="s">
        <v>1137</v>
      </c>
      <c r="GL22" s="90" t="s">
        <v>1137</v>
      </c>
      <c r="GM22" s="90" t="s">
        <v>1137</v>
      </c>
      <c r="GN22" s="90" t="s">
        <v>1137</v>
      </c>
      <c r="GO22" s="90" t="s">
        <v>1137</v>
      </c>
      <c r="GP22" s="90" t="s">
        <v>1137</v>
      </c>
      <c r="GQ22" s="90" t="s">
        <v>1137</v>
      </c>
      <c r="GR22" s="90"/>
      <c r="GS22" s="224">
        <v>4</v>
      </c>
      <c r="GT22" s="245">
        <f t="shared" si="14"/>
        <v>264</v>
      </c>
      <c r="GV22" s="237">
        <f t="shared" si="15"/>
        <v>22</v>
      </c>
      <c r="GW22" s="246">
        <f t="shared" si="15"/>
        <v>264</v>
      </c>
      <c r="GX22" s="247">
        <f t="shared" si="15"/>
        <v>42</v>
      </c>
      <c r="GY22" s="247">
        <f t="shared" si="15"/>
        <v>60</v>
      </c>
      <c r="GZ22" s="247">
        <f t="shared" si="15"/>
        <v>60</v>
      </c>
      <c r="HA22" s="247">
        <f t="shared" si="15"/>
        <v>60</v>
      </c>
      <c r="HB22" s="247">
        <f t="shared" si="15"/>
        <v>42</v>
      </c>
      <c r="HC22" s="247">
        <f t="shared" si="15"/>
        <v>0</v>
      </c>
      <c r="HD22" s="247">
        <f t="shared" si="15"/>
        <v>0</v>
      </c>
      <c r="HE22" s="247" t="str">
        <f t="shared" si="15"/>
        <v xml:space="preserve"> </v>
      </c>
      <c r="HF22" s="247" t="str">
        <f t="shared" si="15"/>
        <v xml:space="preserve"> </v>
      </c>
      <c r="HG22" s="247" t="str">
        <f t="shared" si="15"/>
        <v xml:space="preserve"> </v>
      </c>
      <c r="HH22" s="247" t="str">
        <f t="shared" si="15"/>
        <v xml:space="preserve"> </v>
      </c>
      <c r="HI22" s="247" t="str">
        <f t="shared" si="15"/>
        <v xml:space="preserve"> </v>
      </c>
      <c r="HJ22" s="247" t="str">
        <f t="shared" si="15"/>
        <v xml:space="preserve"> </v>
      </c>
      <c r="HK22" s="247" t="str">
        <f t="shared" si="15"/>
        <v xml:space="preserve"> </v>
      </c>
      <c r="HL22" s="247" t="str">
        <f t="shared" si="106"/>
        <v xml:space="preserve"> </v>
      </c>
      <c r="HM22" s="247" t="str">
        <f t="shared" si="10"/>
        <v xml:space="preserve"> </v>
      </c>
      <c r="HN22" s="247">
        <f t="shared" si="10"/>
        <v>0</v>
      </c>
      <c r="HO22" s="248">
        <f t="shared" si="10"/>
        <v>4</v>
      </c>
      <c r="HP22" s="241">
        <f t="shared" si="10"/>
        <v>264</v>
      </c>
      <c r="HR22" s="243">
        <v>22</v>
      </c>
      <c r="HS22" s="244">
        <v>264</v>
      </c>
      <c r="HT22" s="90">
        <v>60</v>
      </c>
      <c r="HU22" s="90">
        <v>72</v>
      </c>
      <c r="HV22" s="90">
        <v>72</v>
      </c>
      <c r="HW22" s="90">
        <v>60</v>
      </c>
      <c r="HX22" s="90"/>
      <c r="HY22" s="90"/>
      <c r="HZ22" s="90"/>
      <c r="IA22" s="90"/>
      <c r="IB22" s="90"/>
      <c r="IC22" s="90"/>
      <c r="ID22" s="90"/>
      <c r="IE22" s="90"/>
      <c r="IF22" s="90"/>
      <c r="IG22" s="90"/>
      <c r="IH22" s="90"/>
      <c r="II22" s="90"/>
      <c r="IJ22" s="90"/>
      <c r="IK22" s="224">
        <v>3</v>
      </c>
      <c r="IL22" s="245">
        <f t="shared" si="16"/>
        <v>264</v>
      </c>
      <c r="IN22" s="243">
        <v>22</v>
      </c>
      <c r="IO22" s="244">
        <v>264</v>
      </c>
      <c r="IP22" s="90">
        <v>48</v>
      </c>
      <c r="IQ22" s="90">
        <v>84</v>
      </c>
      <c r="IR22" s="90">
        <v>84</v>
      </c>
      <c r="IS22" s="90">
        <v>48</v>
      </c>
      <c r="IT22" s="90"/>
      <c r="IU22" s="90"/>
      <c r="IV22" s="90"/>
      <c r="IW22" s="90"/>
      <c r="IX22" s="90"/>
      <c r="IY22" s="90"/>
      <c r="IZ22" s="90"/>
      <c r="JA22" s="90"/>
      <c r="JB22" s="90"/>
      <c r="JC22" s="90"/>
      <c r="JD22" s="90"/>
      <c r="JE22" s="90"/>
      <c r="JF22" s="90"/>
      <c r="JG22" s="224">
        <v>3</v>
      </c>
      <c r="JH22" s="245">
        <f t="shared" si="17"/>
        <v>264</v>
      </c>
      <c r="JJ22" s="249">
        <v>22</v>
      </c>
      <c r="JK22" s="244">
        <v>264</v>
      </c>
      <c r="JL22" s="90">
        <v>84</v>
      </c>
      <c r="JM22" s="90">
        <v>96</v>
      </c>
      <c r="JN22" s="90">
        <v>84</v>
      </c>
      <c r="JO22" s="90"/>
      <c r="JP22" s="90"/>
      <c r="JQ22" s="90"/>
      <c r="JR22" s="90"/>
      <c r="JS22" s="90"/>
      <c r="JT22" s="90"/>
      <c r="JU22" s="90"/>
      <c r="JV22" s="90"/>
      <c r="JW22" s="90"/>
      <c r="JX22" s="90"/>
      <c r="JY22" s="90"/>
      <c r="JZ22" s="90"/>
      <c r="KA22" s="90"/>
      <c r="KB22" s="90"/>
      <c r="KC22" s="224">
        <v>2</v>
      </c>
      <c r="KD22" s="245">
        <f t="shared" si="18"/>
        <v>264</v>
      </c>
      <c r="KF22" s="243">
        <v>22</v>
      </c>
      <c r="KG22" s="244">
        <v>264</v>
      </c>
      <c r="KH22" s="90">
        <v>51</v>
      </c>
      <c r="KI22" s="90">
        <v>54</v>
      </c>
      <c r="KJ22" s="90">
        <v>54</v>
      </c>
      <c r="KK22" s="90">
        <v>54</v>
      </c>
      <c r="KL22" s="90">
        <v>51</v>
      </c>
      <c r="KM22" s="90"/>
      <c r="KN22" s="90"/>
      <c r="KO22" s="90"/>
      <c r="KP22" s="90"/>
      <c r="KQ22" s="90"/>
      <c r="KR22" s="90"/>
      <c r="KS22" s="90"/>
      <c r="KT22" s="90"/>
      <c r="KU22" s="90"/>
      <c r="KV22" s="90"/>
      <c r="KW22" s="90"/>
      <c r="KX22" s="90"/>
      <c r="KY22" s="224">
        <v>4</v>
      </c>
      <c r="KZ22" s="245">
        <f t="shared" si="19"/>
        <v>264</v>
      </c>
      <c r="LB22" s="237">
        <f t="shared" si="20"/>
        <v>22</v>
      </c>
      <c r="LC22" s="284">
        <f t="shared" si="21"/>
        <v>264</v>
      </c>
      <c r="LD22" s="237">
        <f t="shared" si="22"/>
        <v>51</v>
      </c>
      <c r="LE22" s="237">
        <f t="shared" si="23"/>
        <v>54</v>
      </c>
      <c r="LF22" s="237">
        <f t="shared" si="24"/>
        <v>54</v>
      </c>
      <c r="LG22" s="237">
        <f t="shared" si="25"/>
        <v>54</v>
      </c>
      <c r="LH22" s="237">
        <f t="shared" si="26"/>
        <v>51</v>
      </c>
      <c r="LI22" s="237">
        <f t="shared" si="27"/>
        <v>0</v>
      </c>
      <c r="LJ22" s="237">
        <f t="shared" si="28"/>
        <v>0</v>
      </c>
      <c r="LK22" s="237">
        <f t="shared" si="29"/>
        <v>0</v>
      </c>
      <c r="LL22" s="237">
        <f t="shared" si="30"/>
        <v>0</v>
      </c>
      <c r="LM22" s="237">
        <f t="shared" si="31"/>
        <v>0</v>
      </c>
      <c r="LN22" s="237">
        <f t="shared" si="32"/>
        <v>0</v>
      </c>
      <c r="LO22" s="237">
        <f t="shared" si="33"/>
        <v>0</v>
      </c>
      <c r="LP22" s="237">
        <f t="shared" si="34"/>
        <v>0</v>
      </c>
      <c r="LQ22" s="237">
        <f t="shared" si="35"/>
        <v>0</v>
      </c>
      <c r="LR22" s="237">
        <f t="shared" si="36"/>
        <v>0</v>
      </c>
      <c r="LS22" s="237">
        <f t="shared" si="37"/>
        <v>0</v>
      </c>
      <c r="LT22" s="237">
        <f t="shared" si="38"/>
        <v>0</v>
      </c>
      <c r="LU22" s="285">
        <f t="shared" si="39"/>
        <v>4</v>
      </c>
      <c r="LV22" s="280">
        <f t="shared" si="40"/>
        <v>264</v>
      </c>
      <c r="LX22" s="237">
        <f t="shared" si="41"/>
        <v>22</v>
      </c>
      <c r="LY22" s="284">
        <f t="shared" si="42"/>
        <v>264</v>
      </c>
      <c r="LZ22" s="237">
        <f t="shared" si="43"/>
        <v>51</v>
      </c>
      <c r="MA22" s="237">
        <f t="shared" si="44"/>
        <v>54</v>
      </c>
      <c r="MB22" s="237">
        <f t="shared" si="45"/>
        <v>54</v>
      </c>
      <c r="MC22" s="237">
        <f t="shared" si="46"/>
        <v>54</v>
      </c>
      <c r="MD22" s="237">
        <f t="shared" si="47"/>
        <v>51</v>
      </c>
      <c r="ME22" s="237">
        <f t="shared" si="48"/>
        <v>0</v>
      </c>
      <c r="MF22" s="237">
        <f t="shared" si="49"/>
        <v>0</v>
      </c>
      <c r="MG22" s="237">
        <f t="shared" si="50"/>
        <v>0</v>
      </c>
      <c r="MH22" s="237">
        <f t="shared" si="51"/>
        <v>0</v>
      </c>
      <c r="MI22" s="237">
        <f t="shared" si="52"/>
        <v>0</v>
      </c>
      <c r="MJ22" s="237">
        <f t="shared" si="53"/>
        <v>0</v>
      </c>
      <c r="MK22" s="237">
        <f t="shared" si="54"/>
        <v>0</v>
      </c>
      <c r="ML22" s="237">
        <f t="shared" si="55"/>
        <v>0</v>
      </c>
      <c r="MM22" s="237">
        <f t="shared" si="56"/>
        <v>0</v>
      </c>
      <c r="MN22" s="237">
        <f t="shared" si="57"/>
        <v>0</v>
      </c>
      <c r="MO22" s="237">
        <f t="shared" si="58"/>
        <v>0</v>
      </c>
      <c r="MP22" s="237">
        <f t="shared" si="59"/>
        <v>0</v>
      </c>
      <c r="MQ22" s="285">
        <f t="shared" si="60"/>
        <v>4</v>
      </c>
      <c r="MR22" s="280">
        <f t="shared" si="61"/>
        <v>264</v>
      </c>
      <c r="MT22" s="237">
        <f t="shared" si="62"/>
        <v>22</v>
      </c>
      <c r="MU22" s="284">
        <f t="shared" si="63"/>
        <v>264</v>
      </c>
      <c r="MV22" s="237">
        <f t="shared" si="64"/>
        <v>51</v>
      </c>
      <c r="MW22" s="237">
        <f t="shared" si="65"/>
        <v>54</v>
      </c>
      <c r="MX22" s="237">
        <f t="shared" si="66"/>
        <v>54</v>
      </c>
      <c r="MY22" s="237">
        <f t="shared" si="67"/>
        <v>54</v>
      </c>
      <c r="MZ22" s="237">
        <f t="shared" si="68"/>
        <v>51</v>
      </c>
      <c r="NA22" s="237">
        <f t="shared" si="69"/>
        <v>0</v>
      </c>
      <c r="NB22" s="237">
        <f t="shared" si="70"/>
        <v>0</v>
      </c>
      <c r="NC22" s="237">
        <f t="shared" si="71"/>
        <v>0</v>
      </c>
      <c r="ND22" s="237">
        <f t="shared" si="72"/>
        <v>0</v>
      </c>
      <c r="NE22" s="237">
        <f t="shared" si="73"/>
        <v>0</v>
      </c>
      <c r="NF22" s="237">
        <f t="shared" si="74"/>
        <v>0</v>
      </c>
      <c r="NG22" s="237">
        <f t="shared" si="75"/>
        <v>0</v>
      </c>
      <c r="NH22" s="237">
        <f t="shared" si="76"/>
        <v>0</v>
      </c>
      <c r="NI22" s="237">
        <f t="shared" si="77"/>
        <v>0</v>
      </c>
      <c r="NJ22" s="237">
        <f t="shared" si="78"/>
        <v>0</v>
      </c>
      <c r="NK22" s="237">
        <f t="shared" si="79"/>
        <v>0</v>
      </c>
      <c r="NL22" s="237">
        <f t="shared" si="80"/>
        <v>0</v>
      </c>
      <c r="NM22" s="285">
        <f t="shared" si="81"/>
        <v>4</v>
      </c>
      <c r="NN22" s="280">
        <f t="shared" si="82"/>
        <v>264</v>
      </c>
      <c r="NP22" s="237">
        <f t="shared" si="83"/>
        <v>22</v>
      </c>
      <c r="NQ22" s="284">
        <f t="shared" si="84"/>
        <v>264</v>
      </c>
      <c r="NR22" s="237">
        <f t="shared" si="85"/>
        <v>51</v>
      </c>
      <c r="NS22" s="237">
        <f t="shared" si="86"/>
        <v>54</v>
      </c>
      <c r="NT22" s="237">
        <f t="shared" si="87"/>
        <v>54</v>
      </c>
      <c r="NU22" s="237">
        <f t="shared" si="88"/>
        <v>54</v>
      </c>
      <c r="NV22" s="237">
        <f t="shared" si="89"/>
        <v>51</v>
      </c>
      <c r="NW22" s="237">
        <f t="shared" si="90"/>
        <v>0</v>
      </c>
      <c r="NX22" s="237">
        <f t="shared" si="91"/>
        <v>0</v>
      </c>
      <c r="NY22" s="237">
        <f t="shared" si="92"/>
        <v>0</v>
      </c>
      <c r="NZ22" s="237">
        <f t="shared" si="93"/>
        <v>0</v>
      </c>
      <c r="OA22" s="237">
        <f t="shared" si="94"/>
        <v>0</v>
      </c>
      <c r="OB22" s="237">
        <f t="shared" si="95"/>
        <v>0</v>
      </c>
      <c r="OC22" s="237">
        <f t="shared" si="96"/>
        <v>0</v>
      </c>
      <c r="OD22" s="237">
        <f t="shared" si="97"/>
        <v>0</v>
      </c>
      <c r="OE22" s="237">
        <f t="shared" si="98"/>
        <v>0</v>
      </c>
      <c r="OF22" s="237">
        <f t="shared" si="99"/>
        <v>0</v>
      </c>
      <c r="OG22" s="237">
        <f t="shared" si="100"/>
        <v>0</v>
      </c>
      <c r="OH22" s="237">
        <f t="shared" si="101"/>
        <v>0</v>
      </c>
      <c r="OI22" s="285">
        <f t="shared" si="102"/>
        <v>4</v>
      </c>
      <c r="OJ22" s="280">
        <f t="shared" si="103"/>
        <v>264</v>
      </c>
    </row>
    <row r="23" spans="12:400" x14ac:dyDescent="0.3">
      <c r="L23" s="127" t="str">
        <f t="shared" si="5"/>
        <v>C7x9.8</v>
      </c>
      <c r="M23" s="138">
        <v>9.8000000000000007</v>
      </c>
      <c r="N23" s="138">
        <v>2.87</v>
      </c>
      <c r="O23" s="138">
        <v>7</v>
      </c>
      <c r="P23" s="138">
        <v>0.21</v>
      </c>
      <c r="Q23" s="138">
        <v>2.09</v>
      </c>
      <c r="R23" s="138">
        <v>0.36599999999999999</v>
      </c>
      <c r="S23" s="138">
        <v>0.31</v>
      </c>
      <c r="T23" s="138">
        <v>0.13</v>
      </c>
      <c r="U23">
        <v>9.4629999999999992</v>
      </c>
      <c r="V23" s="138">
        <f t="shared" si="6"/>
        <v>9.9196703723699486E-2</v>
      </c>
      <c r="W23" s="139">
        <f t="shared" si="7"/>
        <v>9.8000000000000007</v>
      </c>
      <c r="X23" s="140" t="s">
        <v>74</v>
      </c>
      <c r="Y23" s="141">
        <v>0.875</v>
      </c>
      <c r="Z23" s="141">
        <v>5.25</v>
      </c>
      <c r="AA23" s="133" t="s">
        <v>85</v>
      </c>
      <c r="AE23" s="127" t="str">
        <f t="shared" si="0"/>
        <v>L2x3x0.3125</v>
      </c>
      <c r="AF23" s="138">
        <v>2</v>
      </c>
      <c r="AG23" s="138">
        <v>3.0000000000000004</v>
      </c>
      <c r="AH23" s="138">
        <v>0.3125</v>
      </c>
      <c r="AI23" s="138">
        <v>0.3125</v>
      </c>
      <c r="AJ23" s="138">
        <v>0.3125</v>
      </c>
      <c r="AK23">
        <f t="shared" si="1"/>
        <v>2.0000000000000001E-4</v>
      </c>
      <c r="AM23" s="133" t="s">
        <v>85</v>
      </c>
      <c r="AP23" s="127" t="str">
        <f t="shared" si="2"/>
        <v>S8x23</v>
      </c>
      <c r="AQ23">
        <v>8</v>
      </c>
      <c r="AR23" s="138">
        <v>23</v>
      </c>
      <c r="AS23" s="138">
        <v>8</v>
      </c>
      <c r="AT23" s="138">
        <v>0.441</v>
      </c>
      <c r="AU23" s="138">
        <v>4.1710000000000003</v>
      </c>
      <c r="AV23" s="138">
        <v>0.42599999999999999</v>
      </c>
      <c r="AW23" s="138">
        <v>0.37</v>
      </c>
      <c r="AX23" s="138">
        <v>0.16</v>
      </c>
      <c r="AY23">
        <v>9.4630000000000312</v>
      </c>
      <c r="AZ23" s="138">
        <f t="shared" si="3"/>
        <v>6.2102774639391667</v>
      </c>
      <c r="BA23" s="133" t="s">
        <v>85</v>
      </c>
      <c r="BD23" s="143" t="str">
        <f t="shared" si="4"/>
        <v>W8x48</v>
      </c>
      <c r="BE23">
        <v>8</v>
      </c>
      <c r="BF23" s="138">
        <v>48.000000000000007</v>
      </c>
      <c r="BG23" s="138">
        <v>8.5</v>
      </c>
      <c r="BH23" s="138">
        <v>0.4</v>
      </c>
      <c r="BI23" s="138">
        <v>8.11</v>
      </c>
      <c r="BJ23" s="138">
        <v>0.68500000000000005</v>
      </c>
      <c r="BK23" s="138">
        <v>0.4</v>
      </c>
      <c r="BL23" t="s">
        <v>184</v>
      </c>
      <c r="BM23" s="133" t="s">
        <v>85</v>
      </c>
      <c r="BO23" s="150" t="s">
        <v>265</v>
      </c>
      <c r="BP23" s="138">
        <v>8.4</v>
      </c>
      <c r="BQ23" s="144">
        <v>10</v>
      </c>
      <c r="BR23" s="144">
        <v>0.16999999999999998</v>
      </c>
      <c r="BS23" s="144">
        <v>1.5000000000000002</v>
      </c>
      <c r="BT23" s="144">
        <v>0.28000000000000003</v>
      </c>
      <c r="BU23" s="144">
        <v>0.25</v>
      </c>
      <c r="BV23" s="144">
        <v>0.13</v>
      </c>
      <c r="BW23" s="138">
        <v>9.4629999999999992</v>
      </c>
      <c r="BX23" s="138">
        <v>5.9033380603435562E-2</v>
      </c>
      <c r="BY23" s="138">
        <v>8.7947586982651256</v>
      </c>
      <c r="BZ23" s="138">
        <v>0.60262065086743721</v>
      </c>
      <c r="CA23" t="s">
        <v>348</v>
      </c>
      <c r="CB23">
        <v>0.75</v>
      </c>
      <c r="CC23">
        <v>8.5</v>
      </c>
      <c r="CD23" s="151" t="s">
        <v>85</v>
      </c>
      <c r="CF23" s="150" t="s">
        <v>265</v>
      </c>
      <c r="CG23">
        <v>0.75</v>
      </c>
      <c r="CH23">
        <v>8.5</v>
      </c>
      <c r="CI23" s="151" t="s">
        <v>261</v>
      </c>
      <c r="DU23" s="220">
        <f t="shared" si="11"/>
        <v>456</v>
      </c>
      <c r="DV23" s="221">
        <v>38</v>
      </c>
      <c r="DW23" s="221">
        <v>6</v>
      </c>
      <c r="DX23" s="221">
        <v>64</v>
      </c>
      <c r="DY23" s="223">
        <f t="shared" si="104"/>
        <v>68</v>
      </c>
      <c r="DZ23" s="221">
        <v>320</v>
      </c>
      <c r="EA23" s="224" t="s">
        <v>261</v>
      </c>
      <c r="EH23" s="250">
        <v>23</v>
      </c>
      <c r="EI23" s="251">
        <v>276</v>
      </c>
      <c r="EJ23" s="252">
        <v>42</v>
      </c>
      <c r="EK23" s="252">
        <v>48</v>
      </c>
      <c r="EL23" s="252">
        <v>48</v>
      </c>
      <c r="EM23" s="252">
        <v>48</v>
      </c>
      <c r="EN23" s="252">
        <v>48</v>
      </c>
      <c r="EO23" s="252">
        <v>42</v>
      </c>
      <c r="EP23" s="252" t="s">
        <v>1137</v>
      </c>
      <c r="EQ23" s="252" t="s">
        <v>1137</v>
      </c>
      <c r="ER23" s="252" t="s">
        <v>1137</v>
      </c>
      <c r="ES23" s="252" t="s">
        <v>1137</v>
      </c>
      <c r="ET23" s="252" t="s">
        <v>1137</v>
      </c>
      <c r="EU23" s="252" t="s">
        <v>1137</v>
      </c>
      <c r="EV23" s="252" t="s">
        <v>1137</v>
      </c>
      <c r="EW23" s="252" t="s">
        <v>1137</v>
      </c>
      <c r="EX23" s="252" t="s">
        <v>1137</v>
      </c>
      <c r="EY23" s="252" t="s">
        <v>1137</v>
      </c>
      <c r="EZ23" s="252"/>
      <c r="FA23" s="253">
        <v>5</v>
      </c>
      <c r="FB23" s="254">
        <f t="shared" si="12"/>
        <v>276</v>
      </c>
      <c r="FD23" s="237">
        <f t="shared" si="13"/>
        <v>23</v>
      </c>
      <c r="FE23" s="246">
        <f t="shared" si="13"/>
        <v>276</v>
      </c>
      <c r="FF23" s="247">
        <f t="shared" si="13"/>
        <v>42</v>
      </c>
      <c r="FG23" s="247">
        <f t="shared" si="13"/>
        <v>48</v>
      </c>
      <c r="FH23" s="247">
        <f t="shared" si="13"/>
        <v>48</v>
      </c>
      <c r="FI23" s="247">
        <f t="shared" si="13"/>
        <v>48</v>
      </c>
      <c r="FJ23" s="247">
        <f t="shared" si="13"/>
        <v>48</v>
      </c>
      <c r="FK23" s="247">
        <f t="shared" si="13"/>
        <v>42</v>
      </c>
      <c r="FL23" s="247" t="str">
        <f t="shared" si="13"/>
        <v xml:space="preserve"> </v>
      </c>
      <c r="FM23" s="247" t="str">
        <f t="shared" si="13"/>
        <v xml:space="preserve"> </v>
      </c>
      <c r="FN23" s="247" t="str">
        <f t="shared" si="13"/>
        <v xml:space="preserve"> </v>
      </c>
      <c r="FO23" s="247" t="str">
        <f t="shared" si="13"/>
        <v xml:space="preserve"> </v>
      </c>
      <c r="FP23" s="247" t="str">
        <f t="shared" si="13"/>
        <v xml:space="preserve"> </v>
      </c>
      <c r="FQ23" s="247" t="str">
        <f t="shared" si="13"/>
        <v xml:space="preserve"> </v>
      </c>
      <c r="FR23" s="247" t="str">
        <f t="shared" si="13"/>
        <v xml:space="preserve"> </v>
      </c>
      <c r="FS23" s="247" t="str">
        <f t="shared" si="13"/>
        <v xml:space="preserve"> </v>
      </c>
      <c r="FT23" s="247" t="str">
        <f t="shared" si="105"/>
        <v xml:space="preserve"> </v>
      </c>
      <c r="FU23" s="247" t="str">
        <f t="shared" si="105"/>
        <v xml:space="preserve"> </v>
      </c>
      <c r="FV23" s="247">
        <f t="shared" si="105"/>
        <v>0</v>
      </c>
      <c r="FW23" s="248">
        <f t="shared" si="105"/>
        <v>5</v>
      </c>
      <c r="FX23" s="241">
        <f t="shared" si="105"/>
        <v>276</v>
      </c>
      <c r="FZ23" s="255">
        <v>23</v>
      </c>
      <c r="GA23" s="251">
        <v>276</v>
      </c>
      <c r="GB23" s="252">
        <v>48</v>
      </c>
      <c r="GC23" s="252">
        <v>60</v>
      </c>
      <c r="GD23" s="252">
        <v>60</v>
      </c>
      <c r="GE23" s="252">
        <v>60</v>
      </c>
      <c r="GF23" s="252">
        <v>48</v>
      </c>
      <c r="GG23" s="252"/>
      <c r="GH23" s="252"/>
      <c r="GI23" s="252" t="s">
        <v>1137</v>
      </c>
      <c r="GJ23" s="252" t="s">
        <v>1137</v>
      </c>
      <c r="GK23" s="252" t="s">
        <v>1137</v>
      </c>
      <c r="GL23" s="252" t="s">
        <v>1137</v>
      </c>
      <c r="GM23" s="252" t="s">
        <v>1137</v>
      </c>
      <c r="GN23" s="252" t="s">
        <v>1137</v>
      </c>
      <c r="GO23" s="252" t="s">
        <v>1137</v>
      </c>
      <c r="GP23" s="252" t="s">
        <v>1137</v>
      </c>
      <c r="GQ23" s="252" t="s">
        <v>1137</v>
      </c>
      <c r="GR23" s="252"/>
      <c r="GS23" s="253">
        <v>4</v>
      </c>
      <c r="GT23" s="254">
        <f t="shared" si="14"/>
        <v>276</v>
      </c>
      <c r="GV23" s="237">
        <f t="shared" si="15"/>
        <v>23</v>
      </c>
      <c r="GW23" s="246">
        <f t="shared" si="15"/>
        <v>276</v>
      </c>
      <c r="GX23" s="247">
        <f t="shared" si="15"/>
        <v>48</v>
      </c>
      <c r="GY23" s="247">
        <f t="shared" si="15"/>
        <v>60</v>
      </c>
      <c r="GZ23" s="247">
        <f t="shared" si="15"/>
        <v>60</v>
      </c>
      <c r="HA23" s="247">
        <f t="shared" si="15"/>
        <v>60</v>
      </c>
      <c r="HB23" s="247">
        <f t="shared" si="15"/>
        <v>48</v>
      </c>
      <c r="HC23" s="247">
        <f t="shared" si="15"/>
        <v>0</v>
      </c>
      <c r="HD23" s="247">
        <f t="shared" si="15"/>
        <v>0</v>
      </c>
      <c r="HE23" s="247" t="str">
        <f t="shared" si="15"/>
        <v xml:space="preserve"> </v>
      </c>
      <c r="HF23" s="247" t="str">
        <f t="shared" si="15"/>
        <v xml:space="preserve"> </v>
      </c>
      <c r="HG23" s="247" t="str">
        <f t="shared" si="15"/>
        <v xml:space="preserve"> </v>
      </c>
      <c r="HH23" s="247" t="str">
        <f t="shared" si="15"/>
        <v xml:space="preserve"> </v>
      </c>
      <c r="HI23" s="247" t="str">
        <f t="shared" si="15"/>
        <v xml:space="preserve"> </v>
      </c>
      <c r="HJ23" s="247" t="str">
        <f t="shared" si="15"/>
        <v xml:space="preserve"> </v>
      </c>
      <c r="HK23" s="247" t="str">
        <f t="shared" si="15"/>
        <v xml:space="preserve"> </v>
      </c>
      <c r="HL23" s="247" t="str">
        <f t="shared" si="106"/>
        <v xml:space="preserve"> </v>
      </c>
      <c r="HM23" s="247" t="str">
        <f t="shared" si="10"/>
        <v xml:space="preserve"> </v>
      </c>
      <c r="HN23" s="247">
        <f t="shared" si="10"/>
        <v>0</v>
      </c>
      <c r="HO23" s="248">
        <f t="shared" si="10"/>
        <v>4</v>
      </c>
      <c r="HP23" s="241">
        <f t="shared" si="10"/>
        <v>276</v>
      </c>
      <c r="HR23" s="250">
        <v>23</v>
      </c>
      <c r="HS23" s="251">
        <v>276</v>
      </c>
      <c r="HT23" s="252">
        <v>66</v>
      </c>
      <c r="HU23" s="252">
        <v>72</v>
      </c>
      <c r="HV23" s="252">
        <v>72</v>
      </c>
      <c r="HW23" s="252">
        <v>66</v>
      </c>
      <c r="HX23" s="252"/>
      <c r="HY23" s="252"/>
      <c r="HZ23" s="252"/>
      <c r="IA23" s="252"/>
      <c r="IB23" s="252"/>
      <c r="IC23" s="252"/>
      <c r="ID23" s="252"/>
      <c r="IE23" s="252"/>
      <c r="IF23" s="252"/>
      <c r="IG23" s="252"/>
      <c r="IH23" s="252"/>
      <c r="II23" s="252"/>
      <c r="IJ23" s="252"/>
      <c r="IK23" s="253">
        <v>3</v>
      </c>
      <c r="IL23" s="254">
        <f t="shared" si="16"/>
        <v>276</v>
      </c>
      <c r="IN23" s="250">
        <v>23</v>
      </c>
      <c r="IO23" s="251">
        <v>276</v>
      </c>
      <c r="IP23" s="252">
        <v>54</v>
      </c>
      <c r="IQ23" s="252">
        <v>84</v>
      </c>
      <c r="IR23" s="252">
        <v>84</v>
      </c>
      <c r="IS23" s="252">
        <v>54</v>
      </c>
      <c r="IT23" s="252"/>
      <c r="IU23" s="252"/>
      <c r="IV23" s="252"/>
      <c r="IW23" s="252"/>
      <c r="IX23" s="252"/>
      <c r="IY23" s="252"/>
      <c r="IZ23" s="252"/>
      <c r="JA23" s="252"/>
      <c r="JB23" s="252"/>
      <c r="JC23" s="252"/>
      <c r="JD23" s="252"/>
      <c r="JE23" s="252"/>
      <c r="JF23" s="252"/>
      <c r="JG23" s="253">
        <v>3</v>
      </c>
      <c r="JH23" s="254">
        <f t="shared" si="17"/>
        <v>276</v>
      </c>
      <c r="JJ23" s="255">
        <v>23</v>
      </c>
      <c r="JK23" s="251">
        <v>276</v>
      </c>
      <c r="JL23" s="252">
        <v>90</v>
      </c>
      <c r="JM23" s="252">
        <v>96</v>
      </c>
      <c r="JN23" s="252">
        <v>90</v>
      </c>
      <c r="JO23" s="252"/>
      <c r="JP23" s="252"/>
      <c r="JQ23" s="252"/>
      <c r="JR23" s="252"/>
      <c r="JS23" s="252"/>
      <c r="JT23" s="252"/>
      <c r="JU23" s="252"/>
      <c r="JV23" s="252"/>
      <c r="JW23" s="252"/>
      <c r="JX23" s="252"/>
      <c r="JY23" s="252"/>
      <c r="JZ23" s="252"/>
      <c r="KA23" s="252"/>
      <c r="KB23" s="252"/>
      <c r="KC23" s="253">
        <v>2</v>
      </c>
      <c r="KD23" s="254">
        <f t="shared" si="18"/>
        <v>276</v>
      </c>
      <c r="KF23" s="250">
        <v>23</v>
      </c>
      <c r="KG23" s="251">
        <v>276</v>
      </c>
      <c r="KH23" s="252">
        <v>30</v>
      </c>
      <c r="KI23" s="252">
        <v>54</v>
      </c>
      <c r="KJ23" s="252">
        <v>54</v>
      </c>
      <c r="KK23" s="252">
        <v>54</v>
      </c>
      <c r="KL23" s="252">
        <v>54</v>
      </c>
      <c r="KM23" s="252">
        <v>30</v>
      </c>
      <c r="KN23" s="252"/>
      <c r="KO23" s="252"/>
      <c r="KP23" s="252"/>
      <c r="KQ23" s="252"/>
      <c r="KR23" s="252"/>
      <c r="KS23" s="252"/>
      <c r="KT23" s="252"/>
      <c r="KU23" s="252"/>
      <c r="KV23" s="252"/>
      <c r="KW23" s="252"/>
      <c r="KX23" s="252"/>
      <c r="KY23" s="253">
        <v>5</v>
      </c>
      <c r="KZ23" s="254">
        <f t="shared" si="19"/>
        <v>276</v>
      </c>
      <c r="LB23" s="237">
        <f t="shared" si="20"/>
        <v>23</v>
      </c>
      <c r="LC23" s="284">
        <f t="shared" si="21"/>
        <v>276</v>
      </c>
      <c r="LD23" s="237">
        <f t="shared" si="22"/>
        <v>30</v>
      </c>
      <c r="LE23" s="237">
        <f t="shared" si="23"/>
        <v>54</v>
      </c>
      <c r="LF23" s="237">
        <f t="shared" si="24"/>
        <v>54</v>
      </c>
      <c r="LG23" s="237">
        <f t="shared" si="25"/>
        <v>54</v>
      </c>
      <c r="LH23" s="237">
        <f t="shared" si="26"/>
        <v>54</v>
      </c>
      <c r="LI23" s="237">
        <f t="shared" si="27"/>
        <v>30</v>
      </c>
      <c r="LJ23" s="237">
        <f t="shared" si="28"/>
        <v>0</v>
      </c>
      <c r="LK23" s="237">
        <f t="shared" si="29"/>
        <v>0</v>
      </c>
      <c r="LL23" s="237">
        <f t="shared" si="30"/>
        <v>0</v>
      </c>
      <c r="LM23" s="237">
        <f t="shared" si="31"/>
        <v>0</v>
      </c>
      <c r="LN23" s="237">
        <f t="shared" si="32"/>
        <v>0</v>
      </c>
      <c r="LO23" s="237">
        <f t="shared" si="33"/>
        <v>0</v>
      </c>
      <c r="LP23" s="237">
        <f t="shared" si="34"/>
        <v>0</v>
      </c>
      <c r="LQ23" s="237">
        <f t="shared" si="35"/>
        <v>0</v>
      </c>
      <c r="LR23" s="237">
        <f t="shared" si="36"/>
        <v>0</v>
      </c>
      <c r="LS23" s="237">
        <f t="shared" si="37"/>
        <v>0</v>
      </c>
      <c r="LT23" s="237">
        <f t="shared" si="38"/>
        <v>0</v>
      </c>
      <c r="LU23" s="285">
        <f t="shared" si="39"/>
        <v>5</v>
      </c>
      <c r="LV23" s="280">
        <f t="shared" si="40"/>
        <v>276</v>
      </c>
      <c r="LX23" s="237">
        <f t="shared" si="41"/>
        <v>23</v>
      </c>
      <c r="LY23" s="284">
        <f t="shared" si="42"/>
        <v>276</v>
      </c>
      <c r="LZ23" s="237">
        <f t="shared" si="43"/>
        <v>30</v>
      </c>
      <c r="MA23" s="237">
        <f t="shared" si="44"/>
        <v>54</v>
      </c>
      <c r="MB23" s="237">
        <f t="shared" si="45"/>
        <v>54</v>
      </c>
      <c r="MC23" s="237">
        <f t="shared" si="46"/>
        <v>54</v>
      </c>
      <c r="MD23" s="237">
        <f t="shared" si="47"/>
        <v>54</v>
      </c>
      <c r="ME23" s="237">
        <f t="shared" si="48"/>
        <v>30</v>
      </c>
      <c r="MF23" s="237">
        <f t="shared" si="49"/>
        <v>0</v>
      </c>
      <c r="MG23" s="237">
        <f t="shared" si="50"/>
        <v>0</v>
      </c>
      <c r="MH23" s="237">
        <f t="shared" si="51"/>
        <v>0</v>
      </c>
      <c r="MI23" s="237">
        <f t="shared" si="52"/>
        <v>0</v>
      </c>
      <c r="MJ23" s="237">
        <f t="shared" si="53"/>
        <v>0</v>
      </c>
      <c r="MK23" s="237">
        <f t="shared" si="54"/>
        <v>0</v>
      </c>
      <c r="ML23" s="237">
        <f t="shared" si="55"/>
        <v>0</v>
      </c>
      <c r="MM23" s="237">
        <f t="shared" si="56"/>
        <v>0</v>
      </c>
      <c r="MN23" s="237">
        <f t="shared" si="57"/>
        <v>0</v>
      </c>
      <c r="MO23" s="237">
        <f t="shared" si="58"/>
        <v>0</v>
      </c>
      <c r="MP23" s="237">
        <f t="shared" si="59"/>
        <v>0</v>
      </c>
      <c r="MQ23" s="285">
        <f t="shared" si="60"/>
        <v>5</v>
      </c>
      <c r="MR23" s="280">
        <f t="shared" si="61"/>
        <v>276</v>
      </c>
      <c r="MT23" s="237">
        <f t="shared" si="62"/>
        <v>23</v>
      </c>
      <c r="MU23" s="284">
        <f t="shared" si="63"/>
        <v>276</v>
      </c>
      <c r="MV23" s="237">
        <f t="shared" si="64"/>
        <v>30</v>
      </c>
      <c r="MW23" s="237">
        <f t="shared" si="65"/>
        <v>54</v>
      </c>
      <c r="MX23" s="237">
        <f t="shared" si="66"/>
        <v>54</v>
      </c>
      <c r="MY23" s="237">
        <f t="shared" si="67"/>
        <v>54</v>
      </c>
      <c r="MZ23" s="237">
        <f t="shared" si="68"/>
        <v>54</v>
      </c>
      <c r="NA23" s="237">
        <f t="shared" si="69"/>
        <v>30</v>
      </c>
      <c r="NB23" s="237">
        <f t="shared" si="70"/>
        <v>0</v>
      </c>
      <c r="NC23" s="237">
        <f t="shared" si="71"/>
        <v>0</v>
      </c>
      <c r="ND23" s="237">
        <f t="shared" si="72"/>
        <v>0</v>
      </c>
      <c r="NE23" s="237">
        <f t="shared" si="73"/>
        <v>0</v>
      </c>
      <c r="NF23" s="237">
        <f t="shared" si="74"/>
        <v>0</v>
      </c>
      <c r="NG23" s="237">
        <f t="shared" si="75"/>
        <v>0</v>
      </c>
      <c r="NH23" s="237">
        <f t="shared" si="76"/>
        <v>0</v>
      </c>
      <c r="NI23" s="237">
        <f t="shared" si="77"/>
        <v>0</v>
      </c>
      <c r="NJ23" s="237">
        <f t="shared" si="78"/>
        <v>0</v>
      </c>
      <c r="NK23" s="237">
        <f t="shared" si="79"/>
        <v>0</v>
      </c>
      <c r="NL23" s="237">
        <f t="shared" si="80"/>
        <v>0</v>
      </c>
      <c r="NM23" s="285">
        <f t="shared" si="81"/>
        <v>5</v>
      </c>
      <c r="NN23" s="280">
        <f t="shared" si="82"/>
        <v>276</v>
      </c>
      <c r="NP23" s="237">
        <f t="shared" si="83"/>
        <v>23</v>
      </c>
      <c r="NQ23" s="284">
        <f t="shared" si="84"/>
        <v>276</v>
      </c>
      <c r="NR23" s="237">
        <f t="shared" si="85"/>
        <v>30</v>
      </c>
      <c r="NS23" s="237">
        <f t="shared" si="86"/>
        <v>54</v>
      </c>
      <c r="NT23" s="237">
        <f t="shared" si="87"/>
        <v>54</v>
      </c>
      <c r="NU23" s="237">
        <f t="shared" si="88"/>
        <v>54</v>
      </c>
      <c r="NV23" s="237">
        <f t="shared" si="89"/>
        <v>54</v>
      </c>
      <c r="NW23" s="237">
        <f t="shared" si="90"/>
        <v>30</v>
      </c>
      <c r="NX23" s="237">
        <f t="shared" si="91"/>
        <v>0</v>
      </c>
      <c r="NY23" s="237">
        <f t="shared" si="92"/>
        <v>0</v>
      </c>
      <c r="NZ23" s="237">
        <f t="shared" si="93"/>
        <v>0</v>
      </c>
      <c r="OA23" s="237">
        <f t="shared" si="94"/>
        <v>0</v>
      </c>
      <c r="OB23" s="237">
        <f t="shared" si="95"/>
        <v>0</v>
      </c>
      <c r="OC23" s="237">
        <f t="shared" si="96"/>
        <v>0</v>
      </c>
      <c r="OD23" s="237">
        <f t="shared" si="97"/>
        <v>0</v>
      </c>
      <c r="OE23" s="237">
        <f t="shared" si="98"/>
        <v>0</v>
      </c>
      <c r="OF23" s="237">
        <f t="shared" si="99"/>
        <v>0</v>
      </c>
      <c r="OG23" s="237">
        <f t="shared" si="100"/>
        <v>0</v>
      </c>
      <c r="OH23" s="237">
        <f t="shared" si="101"/>
        <v>0</v>
      </c>
      <c r="OI23" s="285">
        <f t="shared" si="102"/>
        <v>5</v>
      </c>
      <c r="OJ23" s="280">
        <f t="shared" si="103"/>
        <v>276</v>
      </c>
    </row>
    <row r="24" spans="12:400" x14ac:dyDescent="0.3">
      <c r="L24" s="127" t="str">
        <f t="shared" si="5"/>
        <v>C6x13</v>
      </c>
      <c r="M24" s="138">
        <v>13</v>
      </c>
      <c r="N24" s="138">
        <v>3.83</v>
      </c>
      <c r="O24" s="138">
        <v>6.0000000000000009</v>
      </c>
      <c r="P24" s="138">
        <v>0.437</v>
      </c>
      <c r="Q24" s="138">
        <v>2.157</v>
      </c>
      <c r="R24" s="138">
        <v>0.34300000000000003</v>
      </c>
      <c r="S24" s="138">
        <v>0.3</v>
      </c>
      <c r="T24" s="138">
        <v>0.12</v>
      </c>
      <c r="U24">
        <v>9.4629999999999992</v>
      </c>
      <c r="V24" s="138">
        <f t="shared" si="6"/>
        <v>9.8002179014316654E-2</v>
      </c>
      <c r="W24" s="139">
        <f t="shared" si="7"/>
        <v>13</v>
      </c>
      <c r="X24" s="140"/>
      <c r="Y24" s="141">
        <v>0.8125</v>
      </c>
      <c r="Z24" s="141">
        <v>4.375</v>
      </c>
      <c r="AA24" s="133" t="s">
        <v>85</v>
      </c>
      <c r="AE24" s="127" t="str">
        <f t="shared" si="0"/>
        <v>L2x3x0.375</v>
      </c>
      <c r="AF24" s="138">
        <v>2</v>
      </c>
      <c r="AG24" s="138">
        <v>3.0000000000000004</v>
      </c>
      <c r="AH24" s="138">
        <v>0.37500000000000006</v>
      </c>
      <c r="AI24" s="138">
        <v>0.3125</v>
      </c>
      <c r="AJ24" s="138">
        <v>0.3125</v>
      </c>
      <c r="AK24">
        <f t="shared" si="1"/>
        <v>6.2700000000000061E-2</v>
      </c>
      <c r="AL24" t="s">
        <v>113</v>
      </c>
      <c r="AM24" s="133" t="s">
        <v>85</v>
      </c>
      <c r="AP24" s="127" t="str">
        <f t="shared" si="2"/>
        <v>S8x18.4</v>
      </c>
      <c r="AQ24">
        <v>8</v>
      </c>
      <c r="AR24" s="138">
        <v>18.399999999999999</v>
      </c>
      <c r="AS24" s="138">
        <v>8</v>
      </c>
      <c r="AT24" s="138">
        <v>0.27100000000000002</v>
      </c>
      <c r="AU24" s="138">
        <v>4.0010000000000003</v>
      </c>
      <c r="AV24" s="138">
        <v>0.42599999999999999</v>
      </c>
      <c r="AW24" s="138">
        <v>0.37</v>
      </c>
      <c r="AX24" s="138">
        <v>0.16</v>
      </c>
      <c r="AY24">
        <v>9.4630000000000312</v>
      </c>
      <c r="AZ24" s="138">
        <f t="shared" si="3"/>
        <v>6.2102774639391667</v>
      </c>
      <c r="BA24" s="133" t="s">
        <v>85</v>
      </c>
      <c r="BD24" s="143" t="str">
        <f t="shared" si="4"/>
        <v>W8x58</v>
      </c>
      <c r="BE24">
        <v>8</v>
      </c>
      <c r="BF24" s="138">
        <v>58.000000000000007</v>
      </c>
      <c r="BG24" s="138">
        <v>8.75</v>
      </c>
      <c r="BH24" s="138">
        <v>0.51</v>
      </c>
      <c r="BI24" s="138">
        <v>8.2200000000000006</v>
      </c>
      <c r="BJ24" s="138">
        <v>0.81</v>
      </c>
      <c r="BK24" s="138">
        <v>0.4</v>
      </c>
      <c r="BM24" s="133" t="s">
        <v>85</v>
      </c>
      <c r="BO24" s="152" t="s">
        <v>294</v>
      </c>
      <c r="BP24" s="10">
        <v>6.5</v>
      </c>
      <c r="BQ24" s="11">
        <v>10</v>
      </c>
      <c r="BR24" s="11">
        <v>0.152</v>
      </c>
      <c r="BS24" s="11">
        <v>1.127</v>
      </c>
      <c r="BT24" s="11">
        <v>0.20200000000000001</v>
      </c>
      <c r="BU24" s="11">
        <v>0.25</v>
      </c>
      <c r="BV24" s="11">
        <v>0.13</v>
      </c>
      <c r="BW24" s="10">
        <v>9.4629999999999992</v>
      </c>
      <c r="BX24" s="10">
        <v>1.0618872043992506E-2</v>
      </c>
      <c r="BY24" s="10">
        <v>9.0099296811462413</v>
      </c>
      <c r="BZ24" s="10">
        <v>0.49503515942687937</v>
      </c>
      <c r="CA24" s="12"/>
      <c r="CB24" s="12">
        <v>0.5625</v>
      </c>
      <c r="CC24" s="12">
        <v>8.875</v>
      </c>
      <c r="CD24" s="151" t="s">
        <v>85</v>
      </c>
      <c r="CF24" s="150" t="s">
        <v>294</v>
      </c>
      <c r="CG24">
        <v>0.5625</v>
      </c>
      <c r="CH24">
        <v>8.875</v>
      </c>
      <c r="CI24" s="151" t="s">
        <v>261</v>
      </c>
      <c r="DU24" s="220">
        <f t="shared" si="11"/>
        <v>468</v>
      </c>
      <c r="DV24" s="228">
        <v>39</v>
      </c>
      <c r="DW24" s="228">
        <v>7</v>
      </c>
      <c r="DX24" s="228">
        <v>60</v>
      </c>
      <c r="DY24" s="228">
        <f t="shared" si="104"/>
        <v>54</v>
      </c>
      <c r="DZ24" s="228">
        <v>240</v>
      </c>
      <c r="EA24" s="229" t="s">
        <v>261</v>
      </c>
      <c r="EB24" t="s">
        <v>1121</v>
      </c>
      <c r="EH24" s="243">
        <v>24</v>
      </c>
      <c r="EI24" s="244">
        <v>288</v>
      </c>
      <c r="EJ24" s="90">
        <v>48</v>
      </c>
      <c r="EK24" s="90">
        <v>48</v>
      </c>
      <c r="EL24" s="90">
        <v>48</v>
      </c>
      <c r="EM24" s="90">
        <v>48</v>
      </c>
      <c r="EN24" s="90">
        <v>48</v>
      </c>
      <c r="EO24" s="90">
        <v>48</v>
      </c>
      <c r="EP24" s="90" t="s">
        <v>1137</v>
      </c>
      <c r="EQ24" s="90" t="s">
        <v>1137</v>
      </c>
      <c r="ER24" s="90" t="s">
        <v>1137</v>
      </c>
      <c r="ES24" s="90" t="s">
        <v>1137</v>
      </c>
      <c r="ET24" s="90" t="s">
        <v>1137</v>
      </c>
      <c r="EU24" s="90" t="s">
        <v>1137</v>
      </c>
      <c r="EV24" s="90" t="s">
        <v>1137</v>
      </c>
      <c r="EW24" s="90" t="s">
        <v>1137</v>
      </c>
      <c r="EX24" s="90" t="s">
        <v>1137</v>
      </c>
      <c r="EY24" s="90" t="s">
        <v>1137</v>
      </c>
      <c r="EZ24" s="90"/>
      <c r="FA24" s="224">
        <v>5</v>
      </c>
      <c r="FB24" s="245">
        <f t="shared" si="12"/>
        <v>288</v>
      </c>
      <c r="FD24" s="237">
        <f t="shared" si="13"/>
        <v>24</v>
      </c>
      <c r="FE24" s="246">
        <f t="shared" si="13"/>
        <v>288</v>
      </c>
      <c r="FF24" s="247">
        <f t="shared" si="13"/>
        <v>48</v>
      </c>
      <c r="FG24" s="247">
        <f t="shared" si="13"/>
        <v>48</v>
      </c>
      <c r="FH24" s="247">
        <f t="shared" si="13"/>
        <v>48</v>
      </c>
      <c r="FI24" s="247">
        <f t="shared" si="13"/>
        <v>48</v>
      </c>
      <c r="FJ24" s="247">
        <f t="shared" si="13"/>
        <v>48</v>
      </c>
      <c r="FK24" s="247">
        <f t="shared" si="13"/>
        <v>48</v>
      </c>
      <c r="FL24" s="247" t="str">
        <f t="shared" si="13"/>
        <v xml:space="preserve"> </v>
      </c>
      <c r="FM24" s="247" t="str">
        <f t="shared" si="13"/>
        <v xml:space="preserve"> </v>
      </c>
      <c r="FN24" s="247" t="str">
        <f t="shared" si="13"/>
        <v xml:space="preserve"> </v>
      </c>
      <c r="FO24" s="247" t="str">
        <f t="shared" si="13"/>
        <v xml:space="preserve"> </v>
      </c>
      <c r="FP24" s="247" t="str">
        <f t="shared" si="13"/>
        <v xml:space="preserve"> </v>
      </c>
      <c r="FQ24" s="247" t="str">
        <f t="shared" si="13"/>
        <v xml:space="preserve"> </v>
      </c>
      <c r="FR24" s="247" t="str">
        <f t="shared" si="13"/>
        <v xml:space="preserve"> </v>
      </c>
      <c r="FS24" s="247" t="str">
        <f t="shared" si="13"/>
        <v xml:space="preserve"> </v>
      </c>
      <c r="FT24" s="247" t="str">
        <f t="shared" si="105"/>
        <v xml:space="preserve"> </v>
      </c>
      <c r="FU24" s="247" t="str">
        <f t="shared" si="105"/>
        <v xml:space="preserve"> </v>
      </c>
      <c r="FV24" s="247">
        <f t="shared" si="105"/>
        <v>0</v>
      </c>
      <c r="FW24" s="248">
        <f t="shared" si="105"/>
        <v>5</v>
      </c>
      <c r="FX24" s="241">
        <f t="shared" si="105"/>
        <v>288</v>
      </c>
      <c r="FZ24" s="249">
        <v>24</v>
      </c>
      <c r="GA24" s="244">
        <v>288</v>
      </c>
      <c r="GB24" s="90">
        <v>54</v>
      </c>
      <c r="GC24" s="90">
        <v>60</v>
      </c>
      <c r="GD24" s="90">
        <v>60</v>
      </c>
      <c r="GE24" s="90">
        <v>60</v>
      </c>
      <c r="GF24" s="90">
        <v>54</v>
      </c>
      <c r="GG24" s="90"/>
      <c r="GH24" s="90"/>
      <c r="GI24" s="90" t="s">
        <v>1137</v>
      </c>
      <c r="GJ24" s="90" t="s">
        <v>1137</v>
      </c>
      <c r="GK24" s="90" t="s">
        <v>1137</v>
      </c>
      <c r="GL24" s="90" t="s">
        <v>1137</v>
      </c>
      <c r="GM24" s="90" t="s">
        <v>1137</v>
      </c>
      <c r="GN24" s="90" t="s">
        <v>1137</v>
      </c>
      <c r="GO24" s="90" t="s">
        <v>1137</v>
      </c>
      <c r="GP24" s="90" t="s">
        <v>1137</v>
      </c>
      <c r="GQ24" s="90" t="s">
        <v>1137</v>
      </c>
      <c r="GR24" s="90"/>
      <c r="GS24" s="224">
        <v>4</v>
      </c>
      <c r="GT24" s="245">
        <f t="shared" si="14"/>
        <v>288</v>
      </c>
      <c r="GV24" s="237">
        <f t="shared" si="15"/>
        <v>24</v>
      </c>
      <c r="GW24" s="246">
        <f t="shared" si="15"/>
        <v>288</v>
      </c>
      <c r="GX24" s="247">
        <f t="shared" si="15"/>
        <v>54</v>
      </c>
      <c r="GY24" s="247">
        <f t="shared" si="15"/>
        <v>60</v>
      </c>
      <c r="GZ24" s="247">
        <f t="shared" si="15"/>
        <v>60</v>
      </c>
      <c r="HA24" s="247">
        <f t="shared" si="15"/>
        <v>60</v>
      </c>
      <c r="HB24" s="247">
        <f t="shared" si="15"/>
        <v>54</v>
      </c>
      <c r="HC24" s="247">
        <f t="shared" si="15"/>
        <v>0</v>
      </c>
      <c r="HD24" s="247">
        <f t="shared" si="15"/>
        <v>0</v>
      </c>
      <c r="HE24" s="247" t="str">
        <f t="shared" si="15"/>
        <v xml:space="preserve"> </v>
      </c>
      <c r="HF24" s="247" t="str">
        <f t="shared" si="15"/>
        <v xml:space="preserve"> </v>
      </c>
      <c r="HG24" s="247" t="str">
        <f t="shared" si="15"/>
        <v xml:space="preserve"> </v>
      </c>
      <c r="HH24" s="247" t="str">
        <f t="shared" si="15"/>
        <v xml:space="preserve"> </v>
      </c>
      <c r="HI24" s="247" t="str">
        <f t="shared" si="15"/>
        <v xml:space="preserve"> </v>
      </c>
      <c r="HJ24" s="247" t="str">
        <f t="shared" si="15"/>
        <v xml:space="preserve"> </v>
      </c>
      <c r="HK24" s="247" t="str">
        <f t="shared" si="15"/>
        <v xml:space="preserve"> </v>
      </c>
      <c r="HL24" s="247" t="str">
        <f t="shared" si="106"/>
        <v xml:space="preserve"> </v>
      </c>
      <c r="HM24" s="247" t="str">
        <f t="shared" si="10"/>
        <v xml:space="preserve"> </v>
      </c>
      <c r="HN24" s="247">
        <f t="shared" si="10"/>
        <v>0</v>
      </c>
      <c r="HO24" s="248">
        <f t="shared" si="10"/>
        <v>4</v>
      </c>
      <c r="HP24" s="241">
        <f t="shared" si="10"/>
        <v>288</v>
      </c>
      <c r="HR24" s="243">
        <v>24</v>
      </c>
      <c r="HS24" s="244">
        <v>288</v>
      </c>
      <c r="HT24" s="90">
        <v>72</v>
      </c>
      <c r="HU24" s="90">
        <v>72</v>
      </c>
      <c r="HV24" s="90">
        <v>72</v>
      </c>
      <c r="HW24" s="90">
        <v>72</v>
      </c>
      <c r="HX24" s="90"/>
      <c r="HY24" s="90"/>
      <c r="HZ24" s="90"/>
      <c r="IA24" s="90"/>
      <c r="IB24" s="90"/>
      <c r="IC24" s="90"/>
      <c r="ID24" s="90"/>
      <c r="IE24" s="90"/>
      <c r="IF24" s="90"/>
      <c r="IG24" s="90"/>
      <c r="IH24" s="90"/>
      <c r="II24" s="90"/>
      <c r="IJ24" s="90"/>
      <c r="IK24" s="224">
        <v>3</v>
      </c>
      <c r="IL24" s="245">
        <f t="shared" si="16"/>
        <v>288</v>
      </c>
      <c r="IN24" s="243">
        <v>24</v>
      </c>
      <c r="IO24" s="244">
        <v>288</v>
      </c>
      <c r="IP24" s="90">
        <v>60</v>
      </c>
      <c r="IQ24" s="90">
        <v>84</v>
      </c>
      <c r="IR24" s="90">
        <v>84</v>
      </c>
      <c r="IS24" s="90">
        <v>60</v>
      </c>
      <c r="IT24" s="90"/>
      <c r="IU24" s="90"/>
      <c r="IV24" s="90"/>
      <c r="IW24" s="90"/>
      <c r="IX24" s="90"/>
      <c r="IY24" s="90"/>
      <c r="IZ24" s="90"/>
      <c r="JA24" s="90"/>
      <c r="JB24" s="90"/>
      <c r="JC24" s="90"/>
      <c r="JD24" s="90"/>
      <c r="JE24" s="90"/>
      <c r="JF24" s="90"/>
      <c r="JG24" s="224">
        <v>3</v>
      </c>
      <c r="JH24" s="245">
        <f t="shared" si="17"/>
        <v>288</v>
      </c>
      <c r="JJ24" s="249">
        <v>24</v>
      </c>
      <c r="JK24" s="244">
        <v>288</v>
      </c>
      <c r="JL24" s="90">
        <v>96</v>
      </c>
      <c r="JM24" s="90">
        <v>96</v>
      </c>
      <c r="JN24" s="90">
        <v>96</v>
      </c>
      <c r="JO24" s="90"/>
      <c r="JP24" s="90"/>
      <c r="JQ24" s="90"/>
      <c r="JR24" s="90"/>
      <c r="JS24" s="90"/>
      <c r="JT24" s="90"/>
      <c r="JU24" s="90"/>
      <c r="JV24" s="90"/>
      <c r="JW24" s="90"/>
      <c r="JX24" s="90"/>
      <c r="JY24" s="90"/>
      <c r="JZ24" s="90"/>
      <c r="KA24" s="90"/>
      <c r="KB24" s="90"/>
      <c r="KC24" s="224">
        <v>2</v>
      </c>
      <c r="KD24" s="245">
        <f t="shared" si="18"/>
        <v>288</v>
      </c>
      <c r="KF24" s="243">
        <v>24</v>
      </c>
      <c r="KG24" s="244">
        <v>288</v>
      </c>
      <c r="KH24" s="90">
        <v>36</v>
      </c>
      <c r="KI24" s="90">
        <v>54</v>
      </c>
      <c r="KJ24" s="90">
        <v>54</v>
      </c>
      <c r="KK24" s="90">
        <v>54</v>
      </c>
      <c r="KL24" s="90">
        <v>54</v>
      </c>
      <c r="KM24" s="90">
        <v>36</v>
      </c>
      <c r="KN24" s="90"/>
      <c r="KO24" s="90"/>
      <c r="KP24" s="90"/>
      <c r="KQ24" s="90"/>
      <c r="KR24" s="90"/>
      <c r="KS24" s="90"/>
      <c r="KT24" s="90"/>
      <c r="KU24" s="90"/>
      <c r="KV24" s="90"/>
      <c r="KW24" s="90"/>
      <c r="KX24" s="90"/>
      <c r="KY24" s="224">
        <v>5</v>
      </c>
      <c r="KZ24" s="245">
        <f t="shared" si="19"/>
        <v>288</v>
      </c>
      <c r="LB24" s="237">
        <f t="shared" si="20"/>
        <v>24</v>
      </c>
      <c r="LC24" s="284">
        <f t="shared" si="21"/>
        <v>288</v>
      </c>
      <c r="LD24" s="237">
        <f t="shared" si="22"/>
        <v>36</v>
      </c>
      <c r="LE24" s="237">
        <f t="shared" si="23"/>
        <v>54</v>
      </c>
      <c r="LF24" s="237">
        <f t="shared" si="24"/>
        <v>54</v>
      </c>
      <c r="LG24" s="237">
        <f t="shared" si="25"/>
        <v>54</v>
      </c>
      <c r="LH24" s="237">
        <f t="shared" si="26"/>
        <v>54</v>
      </c>
      <c r="LI24" s="237">
        <f t="shared" si="27"/>
        <v>36</v>
      </c>
      <c r="LJ24" s="237">
        <f t="shared" si="28"/>
        <v>0</v>
      </c>
      <c r="LK24" s="237">
        <f t="shared" si="29"/>
        <v>0</v>
      </c>
      <c r="LL24" s="237">
        <f t="shared" si="30"/>
        <v>0</v>
      </c>
      <c r="LM24" s="237">
        <f t="shared" si="31"/>
        <v>0</v>
      </c>
      <c r="LN24" s="237">
        <f t="shared" si="32"/>
        <v>0</v>
      </c>
      <c r="LO24" s="237">
        <f t="shared" si="33"/>
        <v>0</v>
      </c>
      <c r="LP24" s="237">
        <f t="shared" si="34"/>
        <v>0</v>
      </c>
      <c r="LQ24" s="237">
        <f t="shared" si="35"/>
        <v>0</v>
      </c>
      <c r="LR24" s="237">
        <f t="shared" si="36"/>
        <v>0</v>
      </c>
      <c r="LS24" s="237">
        <f t="shared" si="37"/>
        <v>0</v>
      </c>
      <c r="LT24" s="237">
        <f t="shared" si="38"/>
        <v>0</v>
      </c>
      <c r="LU24" s="285">
        <f t="shared" si="39"/>
        <v>5</v>
      </c>
      <c r="LV24" s="280">
        <f t="shared" si="40"/>
        <v>288</v>
      </c>
      <c r="LX24" s="237">
        <f t="shared" si="41"/>
        <v>24</v>
      </c>
      <c r="LY24" s="284">
        <f t="shared" si="42"/>
        <v>288</v>
      </c>
      <c r="LZ24" s="237">
        <f t="shared" si="43"/>
        <v>36</v>
      </c>
      <c r="MA24" s="237">
        <f t="shared" si="44"/>
        <v>54</v>
      </c>
      <c r="MB24" s="237">
        <f t="shared" si="45"/>
        <v>54</v>
      </c>
      <c r="MC24" s="237">
        <f t="shared" si="46"/>
        <v>54</v>
      </c>
      <c r="MD24" s="237">
        <f t="shared" si="47"/>
        <v>54</v>
      </c>
      <c r="ME24" s="237">
        <f t="shared" si="48"/>
        <v>36</v>
      </c>
      <c r="MF24" s="237">
        <f t="shared" si="49"/>
        <v>0</v>
      </c>
      <c r="MG24" s="237">
        <f t="shared" si="50"/>
        <v>0</v>
      </c>
      <c r="MH24" s="237">
        <f t="shared" si="51"/>
        <v>0</v>
      </c>
      <c r="MI24" s="237">
        <f t="shared" si="52"/>
        <v>0</v>
      </c>
      <c r="MJ24" s="237">
        <f t="shared" si="53"/>
        <v>0</v>
      </c>
      <c r="MK24" s="237">
        <f t="shared" si="54"/>
        <v>0</v>
      </c>
      <c r="ML24" s="237">
        <f t="shared" si="55"/>
        <v>0</v>
      </c>
      <c r="MM24" s="237">
        <f t="shared" si="56"/>
        <v>0</v>
      </c>
      <c r="MN24" s="237">
        <f t="shared" si="57"/>
        <v>0</v>
      </c>
      <c r="MO24" s="237">
        <f t="shared" si="58"/>
        <v>0</v>
      </c>
      <c r="MP24" s="237">
        <f t="shared" si="59"/>
        <v>0</v>
      </c>
      <c r="MQ24" s="285">
        <f t="shared" si="60"/>
        <v>5</v>
      </c>
      <c r="MR24" s="280">
        <f t="shared" si="61"/>
        <v>288</v>
      </c>
      <c r="MT24" s="237">
        <f t="shared" si="62"/>
        <v>24</v>
      </c>
      <c r="MU24" s="284">
        <f t="shared" si="63"/>
        <v>288</v>
      </c>
      <c r="MV24" s="237">
        <f t="shared" si="64"/>
        <v>36</v>
      </c>
      <c r="MW24" s="237">
        <f t="shared" si="65"/>
        <v>54</v>
      </c>
      <c r="MX24" s="237">
        <f t="shared" si="66"/>
        <v>54</v>
      </c>
      <c r="MY24" s="237">
        <f t="shared" si="67"/>
        <v>54</v>
      </c>
      <c r="MZ24" s="237">
        <f t="shared" si="68"/>
        <v>54</v>
      </c>
      <c r="NA24" s="237">
        <f t="shared" si="69"/>
        <v>36</v>
      </c>
      <c r="NB24" s="237">
        <f t="shared" si="70"/>
        <v>0</v>
      </c>
      <c r="NC24" s="237">
        <f t="shared" si="71"/>
        <v>0</v>
      </c>
      <c r="ND24" s="237">
        <f t="shared" si="72"/>
        <v>0</v>
      </c>
      <c r="NE24" s="237">
        <f t="shared" si="73"/>
        <v>0</v>
      </c>
      <c r="NF24" s="237">
        <f t="shared" si="74"/>
        <v>0</v>
      </c>
      <c r="NG24" s="237">
        <f t="shared" si="75"/>
        <v>0</v>
      </c>
      <c r="NH24" s="237">
        <f t="shared" si="76"/>
        <v>0</v>
      </c>
      <c r="NI24" s="237">
        <f t="shared" si="77"/>
        <v>0</v>
      </c>
      <c r="NJ24" s="237">
        <f t="shared" si="78"/>
        <v>0</v>
      </c>
      <c r="NK24" s="237">
        <f t="shared" si="79"/>
        <v>0</v>
      </c>
      <c r="NL24" s="237">
        <f t="shared" si="80"/>
        <v>0</v>
      </c>
      <c r="NM24" s="285">
        <f t="shared" si="81"/>
        <v>5</v>
      </c>
      <c r="NN24" s="280">
        <f t="shared" si="82"/>
        <v>288</v>
      </c>
      <c r="NP24" s="237">
        <f t="shared" si="83"/>
        <v>24</v>
      </c>
      <c r="NQ24" s="284">
        <f t="shared" si="84"/>
        <v>288</v>
      </c>
      <c r="NR24" s="237">
        <f t="shared" si="85"/>
        <v>36</v>
      </c>
      <c r="NS24" s="237">
        <f t="shared" si="86"/>
        <v>54</v>
      </c>
      <c r="NT24" s="237">
        <f t="shared" si="87"/>
        <v>54</v>
      </c>
      <c r="NU24" s="237">
        <f t="shared" si="88"/>
        <v>54</v>
      </c>
      <c r="NV24" s="237">
        <f t="shared" si="89"/>
        <v>54</v>
      </c>
      <c r="NW24" s="237">
        <f t="shared" si="90"/>
        <v>36</v>
      </c>
      <c r="NX24" s="237">
        <f t="shared" si="91"/>
        <v>0</v>
      </c>
      <c r="NY24" s="237">
        <f t="shared" si="92"/>
        <v>0</v>
      </c>
      <c r="NZ24" s="237">
        <f t="shared" si="93"/>
        <v>0</v>
      </c>
      <c r="OA24" s="237">
        <f t="shared" si="94"/>
        <v>0</v>
      </c>
      <c r="OB24" s="237">
        <f t="shared" si="95"/>
        <v>0</v>
      </c>
      <c r="OC24" s="237">
        <f t="shared" si="96"/>
        <v>0</v>
      </c>
      <c r="OD24" s="237">
        <f t="shared" si="97"/>
        <v>0</v>
      </c>
      <c r="OE24" s="237">
        <f t="shared" si="98"/>
        <v>0</v>
      </c>
      <c r="OF24" s="237">
        <f t="shared" si="99"/>
        <v>0</v>
      </c>
      <c r="OG24" s="237">
        <f t="shared" si="100"/>
        <v>0</v>
      </c>
      <c r="OH24" s="237">
        <f t="shared" si="101"/>
        <v>0</v>
      </c>
      <c r="OI24" s="285">
        <f t="shared" si="102"/>
        <v>5</v>
      </c>
      <c r="OJ24" s="280">
        <f t="shared" si="103"/>
        <v>288</v>
      </c>
    </row>
    <row r="25" spans="12:400" x14ac:dyDescent="0.3">
      <c r="L25" s="127" t="str">
        <f t="shared" si="5"/>
        <v>C6x10.5</v>
      </c>
      <c r="M25" s="138">
        <v>10.5</v>
      </c>
      <c r="N25" s="138">
        <v>3.09</v>
      </c>
      <c r="O25" s="138">
        <v>6.0000000000000009</v>
      </c>
      <c r="P25" s="138">
        <v>0.314</v>
      </c>
      <c r="Q25" s="138">
        <v>2.0339999999999998</v>
      </c>
      <c r="R25" s="138">
        <v>0.34300000000000003</v>
      </c>
      <c r="S25" s="138">
        <v>0.3</v>
      </c>
      <c r="T25" s="138">
        <v>0.12</v>
      </c>
      <c r="U25">
        <v>9.4629999999999992</v>
      </c>
      <c r="V25" s="138">
        <f t="shared" si="6"/>
        <v>9.8002179014316682E-2</v>
      </c>
      <c r="W25" s="139">
        <f t="shared" si="7"/>
        <v>10.5</v>
      </c>
      <c r="X25" s="140" t="s">
        <v>75</v>
      </c>
      <c r="Y25" s="141">
        <v>0.8125</v>
      </c>
      <c r="Z25" s="141">
        <v>4.375</v>
      </c>
      <c r="AA25" s="133" t="s">
        <v>85</v>
      </c>
      <c r="AE25" s="127" t="str">
        <f t="shared" si="0"/>
        <v>L2x3x0.4375</v>
      </c>
      <c r="AF25" s="138">
        <v>2</v>
      </c>
      <c r="AG25" s="138">
        <v>3.0000000000000004</v>
      </c>
      <c r="AH25" s="138">
        <v>0.4375</v>
      </c>
      <c r="AI25" s="138">
        <v>0.3125</v>
      </c>
      <c r="AJ25" s="138">
        <v>0.3125</v>
      </c>
      <c r="AK25">
        <f t="shared" si="1"/>
        <v>0.12520000000000001</v>
      </c>
      <c r="AM25" s="133" t="s">
        <v>85</v>
      </c>
      <c r="AP25" s="127" t="str">
        <f t="shared" si="2"/>
        <v>S7x20</v>
      </c>
      <c r="AQ25">
        <v>7</v>
      </c>
      <c r="AR25" s="138">
        <v>20</v>
      </c>
      <c r="AS25" s="138">
        <v>7</v>
      </c>
      <c r="AT25" s="138">
        <v>0.44999999999999996</v>
      </c>
      <c r="AU25" s="138">
        <v>3.86</v>
      </c>
      <c r="AV25" s="138">
        <v>0.39200000000000002</v>
      </c>
      <c r="AW25" s="138">
        <v>0.35</v>
      </c>
      <c r="AX25" s="138">
        <v>0.15</v>
      </c>
      <c r="AY25">
        <v>9.4630000000000312</v>
      </c>
      <c r="AZ25" s="138">
        <f t="shared" si="3"/>
        <v>5.3388307530988808</v>
      </c>
      <c r="BA25" s="133" t="s">
        <v>85</v>
      </c>
      <c r="BD25" s="143" t="str">
        <f t="shared" si="4"/>
        <v>W8x67</v>
      </c>
      <c r="BE25">
        <v>8</v>
      </c>
      <c r="BF25" s="138">
        <v>67</v>
      </c>
      <c r="BG25" s="138">
        <v>9</v>
      </c>
      <c r="BH25" s="138">
        <v>0.56999999999999995</v>
      </c>
      <c r="BI25" s="138">
        <v>8.2799999999999994</v>
      </c>
      <c r="BJ25" s="138">
        <v>0.93500000000000005</v>
      </c>
      <c r="BK25" s="138">
        <v>0.4</v>
      </c>
      <c r="BM25" s="133" t="s">
        <v>85</v>
      </c>
      <c r="BO25" s="150" t="s">
        <v>295</v>
      </c>
      <c r="BP25" s="138">
        <v>25.4</v>
      </c>
      <c r="BQ25" s="144">
        <v>9</v>
      </c>
      <c r="BR25" s="144">
        <v>0.44999999999999996</v>
      </c>
      <c r="BS25" s="144">
        <v>3.5</v>
      </c>
      <c r="BT25" s="144">
        <v>0.55000000000000004</v>
      </c>
      <c r="BU25" s="144">
        <v>0.55000000000000004</v>
      </c>
      <c r="BV25" s="144">
        <v>0.34802136727833949</v>
      </c>
      <c r="BW25" s="138">
        <v>9.4629999999999992</v>
      </c>
      <c r="BX25" s="138">
        <v>1.0000000000000842E-3</v>
      </c>
      <c r="BY25" s="138">
        <v>6.4598009618811432</v>
      </c>
      <c r="BZ25" s="138">
        <v>1.2700995190594284</v>
      </c>
      <c r="CB25">
        <v>1.25</v>
      </c>
      <c r="CC25">
        <v>6.5</v>
      </c>
      <c r="CD25" s="151" t="s">
        <v>85</v>
      </c>
      <c r="CF25" s="150" t="s">
        <v>295</v>
      </c>
      <c r="CG25">
        <v>1.25</v>
      </c>
      <c r="CH25">
        <v>6.5</v>
      </c>
      <c r="CI25" s="151" t="s">
        <v>261</v>
      </c>
      <c r="DU25" s="220">
        <f t="shared" si="11"/>
        <v>480</v>
      </c>
      <c r="DV25" s="221">
        <v>40</v>
      </c>
      <c r="DW25" s="221">
        <v>7</v>
      </c>
      <c r="DX25" s="221">
        <v>60</v>
      </c>
      <c r="DY25" s="223">
        <f t="shared" si="104"/>
        <v>60</v>
      </c>
      <c r="DZ25" s="221">
        <v>240</v>
      </c>
      <c r="EA25" s="224" t="s">
        <v>261</v>
      </c>
      <c r="EH25" s="232">
        <v>25</v>
      </c>
      <c r="EI25" s="256">
        <v>300</v>
      </c>
      <c r="EJ25" s="257">
        <v>30</v>
      </c>
      <c r="EK25" s="257">
        <v>48</v>
      </c>
      <c r="EL25" s="257">
        <v>48</v>
      </c>
      <c r="EM25" s="257">
        <v>48</v>
      </c>
      <c r="EN25" s="257">
        <v>48</v>
      </c>
      <c r="EO25" s="257">
        <v>48</v>
      </c>
      <c r="EP25" s="257">
        <v>30</v>
      </c>
      <c r="EQ25" s="257" t="s">
        <v>1137</v>
      </c>
      <c r="ER25" s="257" t="s">
        <v>1137</v>
      </c>
      <c r="ES25" s="257" t="s">
        <v>1137</v>
      </c>
      <c r="ET25" s="257" t="s">
        <v>1137</v>
      </c>
      <c r="EU25" s="257" t="s">
        <v>1137</v>
      </c>
      <c r="EV25" s="257" t="s">
        <v>1137</v>
      </c>
      <c r="EW25" s="257" t="s">
        <v>1137</v>
      </c>
      <c r="EX25" s="257" t="s">
        <v>1137</v>
      </c>
      <c r="EY25" s="257" t="s">
        <v>1137</v>
      </c>
      <c r="EZ25" s="257"/>
      <c r="FA25" s="258">
        <v>6</v>
      </c>
      <c r="FB25" s="236">
        <f t="shared" si="12"/>
        <v>300</v>
      </c>
      <c r="FD25" s="237">
        <f t="shared" si="13"/>
        <v>25</v>
      </c>
      <c r="FE25" s="246">
        <f t="shared" si="13"/>
        <v>300</v>
      </c>
      <c r="FF25" s="247">
        <f t="shared" si="13"/>
        <v>30</v>
      </c>
      <c r="FG25" s="247">
        <f t="shared" si="13"/>
        <v>48</v>
      </c>
      <c r="FH25" s="247">
        <f t="shared" si="13"/>
        <v>48</v>
      </c>
      <c r="FI25" s="247">
        <f t="shared" si="13"/>
        <v>48</v>
      </c>
      <c r="FJ25" s="247">
        <f t="shared" si="13"/>
        <v>48</v>
      </c>
      <c r="FK25" s="247">
        <f t="shared" si="13"/>
        <v>48</v>
      </c>
      <c r="FL25" s="247">
        <f t="shared" si="13"/>
        <v>30</v>
      </c>
      <c r="FM25" s="247" t="str">
        <f t="shared" si="13"/>
        <v xml:space="preserve"> </v>
      </c>
      <c r="FN25" s="247" t="str">
        <f t="shared" si="13"/>
        <v xml:space="preserve"> </v>
      </c>
      <c r="FO25" s="247" t="str">
        <f t="shared" si="13"/>
        <v xml:space="preserve"> </v>
      </c>
      <c r="FP25" s="247" t="str">
        <f t="shared" si="13"/>
        <v xml:space="preserve"> </v>
      </c>
      <c r="FQ25" s="247" t="str">
        <f t="shared" si="13"/>
        <v xml:space="preserve"> </v>
      </c>
      <c r="FR25" s="247" t="str">
        <f t="shared" si="13"/>
        <v xml:space="preserve"> </v>
      </c>
      <c r="FS25" s="247" t="str">
        <f t="shared" si="13"/>
        <v xml:space="preserve"> </v>
      </c>
      <c r="FT25" s="247" t="str">
        <f t="shared" si="105"/>
        <v xml:space="preserve"> </v>
      </c>
      <c r="FU25" s="247" t="str">
        <f t="shared" si="105"/>
        <v xml:space="preserve"> </v>
      </c>
      <c r="FV25" s="247">
        <f t="shared" si="105"/>
        <v>0</v>
      </c>
      <c r="FW25" s="248">
        <f t="shared" si="105"/>
        <v>6</v>
      </c>
      <c r="FX25" s="241">
        <f t="shared" si="105"/>
        <v>300</v>
      </c>
      <c r="FZ25" s="242">
        <v>25</v>
      </c>
      <c r="GA25" s="256">
        <v>300</v>
      </c>
      <c r="GB25" s="257">
        <v>60</v>
      </c>
      <c r="GC25" s="257">
        <v>60</v>
      </c>
      <c r="GD25" s="257">
        <v>60</v>
      </c>
      <c r="GE25" s="257">
        <v>60</v>
      </c>
      <c r="GF25" s="257">
        <v>60</v>
      </c>
      <c r="GG25" s="257"/>
      <c r="GH25" s="257"/>
      <c r="GI25" s="257" t="s">
        <v>1137</v>
      </c>
      <c r="GJ25" s="257" t="s">
        <v>1137</v>
      </c>
      <c r="GK25" s="257" t="s">
        <v>1137</v>
      </c>
      <c r="GL25" s="257" t="s">
        <v>1137</v>
      </c>
      <c r="GM25" s="257" t="s">
        <v>1137</v>
      </c>
      <c r="GN25" s="257" t="s">
        <v>1137</v>
      </c>
      <c r="GO25" s="257" t="s">
        <v>1137</v>
      </c>
      <c r="GP25" s="257" t="s">
        <v>1137</v>
      </c>
      <c r="GQ25" s="257" t="s">
        <v>1137</v>
      </c>
      <c r="GR25" s="257"/>
      <c r="GS25" s="258">
        <v>4</v>
      </c>
      <c r="GT25" s="236">
        <f t="shared" si="14"/>
        <v>300</v>
      </c>
      <c r="GV25" s="237">
        <f t="shared" si="15"/>
        <v>25</v>
      </c>
      <c r="GW25" s="246">
        <f t="shared" si="15"/>
        <v>300</v>
      </c>
      <c r="GX25" s="247">
        <f t="shared" si="15"/>
        <v>60</v>
      </c>
      <c r="GY25" s="247">
        <f t="shared" si="15"/>
        <v>60</v>
      </c>
      <c r="GZ25" s="247">
        <f t="shared" si="15"/>
        <v>60</v>
      </c>
      <c r="HA25" s="247">
        <f t="shared" si="15"/>
        <v>60</v>
      </c>
      <c r="HB25" s="247">
        <f t="shared" si="15"/>
        <v>60</v>
      </c>
      <c r="HC25" s="247">
        <f t="shared" si="15"/>
        <v>0</v>
      </c>
      <c r="HD25" s="247">
        <f t="shared" si="15"/>
        <v>0</v>
      </c>
      <c r="HE25" s="247" t="str">
        <f t="shared" si="15"/>
        <v xml:space="preserve"> </v>
      </c>
      <c r="HF25" s="247" t="str">
        <f t="shared" si="15"/>
        <v xml:space="preserve"> </v>
      </c>
      <c r="HG25" s="247" t="str">
        <f t="shared" si="15"/>
        <v xml:space="preserve"> </v>
      </c>
      <c r="HH25" s="247" t="str">
        <f t="shared" si="15"/>
        <v xml:space="preserve"> </v>
      </c>
      <c r="HI25" s="247" t="str">
        <f t="shared" si="15"/>
        <v xml:space="preserve"> </v>
      </c>
      <c r="HJ25" s="247" t="str">
        <f t="shared" si="15"/>
        <v xml:space="preserve"> </v>
      </c>
      <c r="HK25" s="247" t="str">
        <f t="shared" si="15"/>
        <v xml:space="preserve"> </v>
      </c>
      <c r="HL25" s="247" t="str">
        <f t="shared" si="106"/>
        <v xml:space="preserve"> </v>
      </c>
      <c r="HM25" s="247" t="str">
        <f t="shared" si="10"/>
        <v xml:space="preserve"> </v>
      </c>
      <c r="HN25" s="247">
        <f t="shared" si="10"/>
        <v>0</v>
      </c>
      <c r="HO25" s="248">
        <f t="shared" si="10"/>
        <v>4</v>
      </c>
      <c r="HP25" s="241">
        <f t="shared" si="10"/>
        <v>300</v>
      </c>
      <c r="HR25" s="232">
        <v>25</v>
      </c>
      <c r="HS25" s="256">
        <v>300</v>
      </c>
      <c r="HT25" s="257">
        <v>42</v>
      </c>
      <c r="HU25" s="257">
        <v>72</v>
      </c>
      <c r="HV25" s="257">
        <v>72</v>
      </c>
      <c r="HW25" s="257">
        <v>72</v>
      </c>
      <c r="HX25" s="257">
        <v>42</v>
      </c>
      <c r="HY25" s="257"/>
      <c r="HZ25" s="257"/>
      <c r="IA25" s="257"/>
      <c r="IB25" s="257"/>
      <c r="IC25" s="257"/>
      <c r="ID25" s="257"/>
      <c r="IE25" s="257"/>
      <c r="IF25" s="257"/>
      <c r="IG25" s="257"/>
      <c r="IH25" s="257"/>
      <c r="II25" s="257"/>
      <c r="IJ25" s="257"/>
      <c r="IK25" s="258">
        <v>4</v>
      </c>
      <c r="IL25" s="236">
        <f t="shared" si="16"/>
        <v>300</v>
      </c>
      <c r="IN25" s="232">
        <v>25</v>
      </c>
      <c r="IO25" s="256">
        <v>300</v>
      </c>
      <c r="IP25" s="257">
        <v>66</v>
      </c>
      <c r="IQ25" s="257">
        <v>84</v>
      </c>
      <c r="IR25" s="257">
        <v>84</v>
      </c>
      <c r="IS25" s="257">
        <v>66</v>
      </c>
      <c r="IT25" s="257"/>
      <c r="IU25" s="257"/>
      <c r="IV25" s="257"/>
      <c r="IW25" s="257"/>
      <c r="IX25" s="257"/>
      <c r="IY25" s="257"/>
      <c r="IZ25" s="257"/>
      <c r="JA25" s="257"/>
      <c r="JB25" s="257"/>
      <c r="JC25" s="257"/>
      <c r="JD25" s="257"/>
      <c r="JE25" s="257"/>
      <c r="JF25" s="257"/>
      <c r="JG25" s="258">
        <v>3</v>
      </c>
      <c r="JH25" s="236">
        <f t="shared" si="17"/>
        <v>300</v>
      </c>
      <c r="JJ25" s="242">
        <v>25</v>
      </c>
      <c r="JK25" s="256">
        <v>300</v>
      </c>
      <c r="JL25" s="257">
        <v>54</v>
      </c>
      <c r="JM25" s="257">
        <v>96</v>
      </c>
      <c r="JN25" s="257">
        <v>96</v>
      </c>
      <c r="JO25" s="257">
        <v>54</v>
      </c>
      <c r="JP25" s="257"/>
      <c r="JQ25" s="257"/>
      <c r="JR25" s="257"/>
      <c r="JS25" s="257"/>
      <c r="JT25" s="257"/>
      <c r="JU25" s="257"/>
      <c r="JV25" s="257"/>
      <c r="JW25" s="257"/>
      <c r="JX25" s="257"/>
      <c r="JY25" s="257"/>
      <c r="JZ25" s="257"/>
      <c r="KA25" s="257"/>
      <c r="KB25" s="257"/>
      <c r="KC25" s="258">
        <v>3</v>
      </c>
      <c r="KD25" s="236">
        <f t="shared" si="18"/>
        <v>300</v>
      </c>
      <c r="KF25" s="232">
        <v>25</v>
      </c>
      <c r="KG25" s="256">
        <v>300</v>
      </c>
      <c r="KH25" s="257">
        <v>42</v>
      </c>
      <c r="KI25" s="257">
        <v>54</v>
      </c>
      <c r="KJ25" s="257">
        <v>54</v>
      </c>
      <c r="KK25" s="257">
        <v>54</v>
      </c>
      <c r="KL25" s="257">
        <v>54</v>
      </c>
      <c r="KM25" s="257">
        <v>42</v>
      </c>
      <c r="KN25" s="257"/>
      <c r="KO25" s="257"/>
      <c r="KP25" s="257"/>
      <c r="KQ25" s="257"/>
      <c r="KR25" s="257"/>
      <c r="KS25" s="257"/>
      <c r="KT25" s="257"/>
      <c r="KU25" s="257"/>
      <c r="KV25" s="257"/>
      <c r="KW25" s="257"/>
      <c r="KX25" s="257"/>
      <c r="KY25" s="258">
        <v>5</v>
      </c>
      <c r="KZ25" s="236">
        <f t="shared" si="19"/>
        <v>300</v>
      </c>
      <c r="LB25" s="237">
        <f t="shared" si="20"/>
        <v>25</v>
      </c>
      <c r="LC25" s="284">
        <f t="shared" si="21"/>
        <v>300</v>
      </c>
      <c r="LD25" s="237">
        <f t="shared" si="22"/>
        <v>42</v>
      </c>
      <c r="LE25" s="237">
        <f t="shared" si="23"/>
        <v>54</v>
      </c>
      <c r="LF25" s="237">
        <f t="shared" si="24"/>
        <v>54</v>
      </c>
      <c r="LG25" s="237">
        <f t="shared" si="25"/>
        <v>54</v>
      </c>
      <c r="LH25" s="237">
        <f t="shared" si="26"/>
        <v>54</v>
      </c>
      <c r="LI25" s="237">
        <f t="shared" si="27"/>
        <v>42</v>
      </c>
      <c r="LJ25" s="237">
        <f t="shared" si="28"/>
        <v>0</v>
      </c>
      <c r="LK25" s="237">
        <f t="shared" si="29"/>
        <v>0</v>
      </c>
      <c r="LL25" s="237">
        <f t="shared" si="30"/>
        <v>0</v>
      </c>
      <c r="LM25" s="237">
        <f t="shared" si="31"/>
        <v>0</v>
      </c>
      <c r="LN25" s="237">
        <f t="shared" si="32"/>
        <v>0</v>
      </c>
      <c r="LO25" s="237">
        <f t="shared" si="33"/>
        <v>0</v>
      </c>
      <c r="LP25" s="237">
        <f t="shared" si="34"/>
        <v>0</v>
      </c>
      <c r="LQ25" s="237">
        <f t="shared" si="35"/>
        <v>0</v>
      </c>
      <c r="LR25" s="237">
        <f t="shared" si="36"/>
        <v>0</v>
      </c>
      <c r="LS25" s="237">
        <f t="shared" si="37"/>
        <v>0</v>
      </c>
      <c r="LT25" s="237">
        <f t="shared" si="38"/>
        <v>0</v>
      </c>
      <c r="LU25" s="285">
        <f t="shared" si="39"/>
        <v>5</v>
      </c>
      <c r="LV25" s="280">
        <f t="shared" si="40"/>
        <v>300</v>
      </c>
      <c r="LX25" s="237">
        <f t="shared" si="41"/>
        <v>25</v>
      </c>
      <c r="LY25" s="284">
        <f t="shared" si="42"/>
        <v>300</v>
      </c>
      <c r="LZ25" s="237">
        <f t="shared" si="43"/>
        <v>42</v>
      </c>
      <c r="MA25" s="237">
        <f t="shared" si="44"/>
        <v>54</v>
      </c>
      <c r="MB25" s="237">
        <f t="shared" si="45"/>
        <v>54</v>
      </c>
      <c r="MC25" s="237">
        <f t="shared" si="46"/>
        <v>54</v>
      </c>
      <c r="MD25" s="237">
        <f t="shared" si="47"/>
        <v>54</v>
      </c>
      <c r="ME25" s="237">
        <f t="shared" si="48"/>
        <v>42</v>
      </c>
      <c r="MF25" s="237">
        <f t="shared" si="49"/>
        <v>0</v>
      </c>
      <c r="MG25" s="237">
        <f t="shared" si="50"/>
        <v>0</v>
      </c>
      <c r="MH25" s="237">
        <f t="shared" si="51"/>
        <v>0</v>
      </c>
      <c r="MI25" s="237">
        <f t="shared" si="52"/>
        <v>0</v>
      </c>
      <c r="MJ25" s="237">
        <f t="shared" si="53"/>
        <v>0</v>
      </c>
      <c r="MK25" s="237">
        <f t="shared" si="54"/>
        <v>0</v>
      </c>
      <c r="ML25" s="237">
        <f t="shared" si="55"/>
        <v>0</v>
      </c>
      <c r="MM25" s="237">
        <f t="shared" si="56"/>
        <v>0</v>
      </c>
      <c r="MN25" s="237">
        <f t="shared" si="57"/>
        <v>0</v>
      </c>
      <c r="MO25" s="237">
        <f t="shared" si="58"/>
        <v>0</v>
      </c>
      <c r="MP25" s="237">
        <f t="shared" si="59"/>
        <v>0</v>
      </c>
      <c r="MQ25" s="285">
        <f t="shared" si="60"/>
        <v>5</v>
      </c>
      <c r="MR25" s="280">
        <f t="shared" si="61"/>
        <v>300</v>
      </c>
      <c r="MT25" s="237">
        <f t="shared" si="62"/>
        <v>25</v>
      </c>
      <c r="MU25" s="284">
        <f t="shared" si="63"/>
        <v>300</v>
      </c>
      <c r="MV25" s="237">
        <f t="shared" si="64"/>
        <v>42</v>
      </c>
      <c r="MW25" s="237">
        <f t="shared" si="65"/>
        <v>54</v>
      </c>
      <c r="MX25" s="237">
        <f t="shared" si="66"/>
        <v>54</v>
      </c>
      <c r="MY25" s="237">
        <f t="shared" si="67"/>
        <v>54</v>
      </c>
      <c r="MZ25" s="237">
        <f t="shared" si="68"/>
        <v>54</v>
      </c>
      <c r="NA25" s="237">
        <f t="shared" si="69"/>
        <v>42</v>
      </c>
      <c r="NB25" s="237">
        <f t="shared" si="70"/>
        <v>0</v>
      </c>
      <c r="NC25" s="237">
        <f t="shared" si="71"/>
        <v>0</v>
      </c>
      <c r="ND25" s="237">
        <f t="shared" si="72"/>
        <v>0</v>
      </c>
      <c r="NE25" s="237">
        <f t="shared" si="73"/>
        <v>0</v>
      </c>
      <c r="NF25" s="237">
        <f t="shared" si="74"/>
        <v>0</v>
      </c>
      <c r="NG25" s="237">
        <f t="shared" si="75"/>
        <v>0</v>
      </c>
      <c r="NH25" s="237">
        <f t="shared" si="76"/>
        <v>0</v>
      </c>
      <c r="NI25" s="237">
        <f t="shared" si="77"/>
        <v>0</v>
      </c>
      <c r="NJ25" s="237">
        <f t="shared" si="78"/>
        <v>0</v>
      </c>
      <c r="NK25" s="237">
        <f t="shared" si="79"/>
        <v>0</v>
      </c>
      <c r="NL25" s="237">
        <f t="shared" si="80"/>
        <v>0</v>
      </c>
      <c r="NM25" s="285">
        <f t="shared" si="81"/>
        <v>5</v>
      </c>
      <c r="NN25" s="280">
        <f t="shared" si="82"/>
        <v>300</v>
      </c>
      <c r="NP25" s="237">
        <f t="shared" si="83"/>
        <v>25</v>
      </c>
      <c r="NQ25" s="284">
        <f t="shared" si="84"/>
        <v>300</v>
      </c>
      <c r="NR25" s="237">
        <f t="shared" si="85"/>
        <v>42</v>
      </c>
      <c r="NS25" s="237">
        <f t="shared" si="86"/>
        <v>54</v>
      </c>
      <c r="NT25" s="237">
        <f t="shared" si="87"/>
        <v>54</v>
      </c>
      <c r="NU25" s="237">
        <f t="shared" si="88"/>
        <v>54</v>
      </c>
      <c r="NV25" s="237">
        <f t="shared" si="89"/>
        <v>54</v>
      </c>
      <c r="NW25" s="237">
        <f t="shared" si="90"/>
        <v>42</v>
      </c>
      <c r="NX25" s="237">
        <f t="shared" si="91"/>
        <v>0</v>
      </c>
      <c r="NY25" s="237">
        <f t="shared" si="92"/>
        <v>0</v>
      </c>
      <c r="NZ25" s="237">
        <f t="shared" si="93"/>
        <v>0</v>
      </c>
      <c r="OA25" s="237">
        <f t="shared" si="94"/>
        <v>0</v>
      </c>
      <c r="OB25" s="237">
        <f t="shared" si="95"/>
        <v>0</v>
      </c>
      <c r="OC25" s="237">
        <f t="shared" si="96"/>
        <v>0</v>
      </c>
      <c r="OD25" s="237">
        <f t="shared" si="97"/>
        <v>0</v>
      </c>
      <c r="OE25" s="237">
        <f t="shared" si="98"/>
        <v>0</v>
      </c>
      <c r="OF25" s="237">
        <f t="shared" si="99"/>
        <v>0</v>
      </c>
      <c r="OG25" s="237">
        <f t="shared" si="100"/>
        <v>0</v>
      </c>
      <c r="OH25" s="237">
        <f t="shared" si="101"/>
        <v>0</v>
      </c>
      <c r="OI25" s="285">
        <f t="shared" si="102"/>
        <v>5</v>
      </c>
      <c r="OJ25" s="280">
        <f t="shared" si="103"/>
        <v>300</v>
      </c>
    </row>
    <row r="26" spans="12:400" x14ac:dyDescent="0.3">
      <c r="L26" s="127" t="str">
        <f t="shared" si="5"/>
        <v>C6x8.2</v>
      </c>
      <c r="M26" s="138">
        <v>8.1999999999999993</v>
      </c>
      <c r="N26" s="138">
        <v>2.4</v>
      </c>
      <c r="O26" s="138">
        <v>6.0000000000000009</v>
      </c>
      <c r="P26" s="138">
        <v>0.2</v>
      </c>
      <c r="Q26" s="138">
        <v>1.92</v>
      </c>
      <c r="R26" s="138">
        <v>0.34300000000000003</v>
      </c>
      <c r="S26" s="138">
        <v>0.3</v>
      </c>
      <c r="T26" s="138">
        <v>0.12</v>
      </c>
      <c r="U26">
        <v>9.4629999999999992</v>
      </c>
      <c r="V26" s="138">
        <f t="shared" si="6"/>
        <v>9.8002179014316654E-2</v>
      </c>
      <c r="W26" s="139">
        <f t="shared" si="7"/>
        <v>8.1999999999999993</v>
      </c>
      <c r="X26" s="140" t="s">
        <v>76</v>
      </c>
      <c r="Y26" s="141">
        <v>0.8125</v>
      </c>
      <c r="Z26" s="141">
        <v>4.375</v>
      </c>
      <c r="AA26" s="133" t="s">
        <v>85</v>
      </c>
      <c r="AE26" s="127" t="str">
        <f t="shared" si="0"/>
        <v>L2x3x0.5</v>
      </c>
      <c r="AF26" s="138">
        <v>2</v>
      </c>
      <c r="AG26" s="138">
        <v>3.0000000000000004</v>
      </c>
      <c r="AH26" s="138">
        <v>0.5</v>
      </c>
      <c r="AI26" s="138">
        <v>0.3125</v>
      </c>
      <c r="AJ26" s="138">
        <v>0.3125</v>
      </c>
      <c r="AK26">
        <f t="shared" si="1"/>
        <v>0.18770000000000001</v>
      </c>
      <c r="AM26" s="133" t="s">
        <v>85</v>
      </c>
      <c r="AP26" s="127" t="str">
        <f t="shared" si="2"/>
        <v>S7x15.3</v>
      </c>
      <c r="AQ26">
        <v>7</v>
      </c>
      <c r="AR26" s="138">
        <v>15.3</v>
      </c>
      <c r="AS26" s="138">
        <v>7</v>
      </c>
      <c r="AT26" s="138">
        <v>0.252</v>
      </c>
      <c r="AU26" s="138">
        <v>3.6619999999999999</v>
      </c>
      <c r="AV26" s="138">
        <v>0.39200000000000002</v>
      </c>
      <c r="AW26" s="138">
        <v>0.35</v>
      </c>
      <c r="AX26" s="138">
        <v>0.15</v>
      </c>
      <c r="AY26">
        <v>9.4630000000000312</v>
      </c>
      <c r="AZ26" s="138">
        <f t="shared" si="3"/>
        <v>5.3388307530988808</v>
      </c>
      <c r="BA26" s="133" t="s">
        <v>85</v>
      </c>
      <c r="BD26" s="143" t="str">
        <f t="shared" si="4"/>
        <v>W10x12</v>
      </c>
      <c r="BE26">
        <v>10</v>
      </c>
      <c r="BF26" s="138">
        <v>12.000000000000002</v>
      </c>
      <c r="BG26" s="138">
        <v>9.8699999999999992</v>
      </c>
      <c r="BH26" s="138">
        <v>0.18999999999999997</v>
      </c>
      <c r="BI26" s="138">
        <v>3.96</v>
      </c>
      <c r="BJ26" s="138">
        <v>0.21</v>
      </c>
      <c r="BK26" s="138">
        <v>0.3</v>
      </c>
      <c r="BM26" s="133" t="s">
        <v>85</v>
      </c>
      <c r="BO26" s="152" t="s">
        <v>296</v>
      </c>
      <c r="BP26" s="10">
        <v>23.9</v>
      </c>
      <c r="BQ26" s="11">
        <v>9</v>
      </c>
      <c r="BR26" s="11">
        <v>0.4</v>
      </c>
      <c r="BS26" s="11">
        <v>3.45</v>
      </c>
      <c r="BT26" s="11">
        <v>0.55000000000000004</v>
      </c>
      <c r="BU26" s="11">
        <v>0.55000000000000004</v>
      </c>
      <c r="BV26" s="11">
        <v>0.34802136727833949</v>
      </c>
      <c r="BW26" s="10">
        <v>9.4629999999999992</v>
      </c>
      <c r="BX26" s="10">
        <v>1.0000000000000842E-3</v>
      </c>
      <c r="BY26" s="10">
        <v>6.4598009618811432</v>
      </c>
      <c r="BZ26" s="10">
        <v>1.2700995190594284</v>
      </c>
      <c r="CA26" s="12"/>
      <c r="CB26" s="12">
        <v>2.25</v>
      </c>
      <c r="CC26" s="12">
        <v>4.5</v>
      </c>
      <c r="CD26" s="151" t="s">
        <v>85</v>
      </c>
      <c r="CF26" s="150" t="s">
        <v>296</v>
      </c>
      <c r="CG26">
        <v>2.25</v>
      </c>
      <c r="CH26">
        <v>4.5</v>
      </c>
      <c r="CI26" s="151" t="s">
        <v>261</v>
      </c>
      <c r="DU26" s="220">
        <f t="shared" si="11"/>
        <v>504</v>
      </c>
      <c r="DV26" s="221">
        <v>42</v>
      </c>
      <c r="DW26" s="221">
        <v>7</v>
      </c>
      <c r="DX26" s="221">
        <v>63</v>
      </c>
      <c r="DY26" s="223">
        <f t="shared" si="104"/>
        <v>63</v>
      </c>
      <c r="DZ26" s="221">
        <v>252</v>
      </c>
      <c r="EA26" s="224" t="s">
        <v>261</v>
      </c>
      <c r="EH26" s="243">
        <v>26</v>
      </c>
      <c r="EI26" s="244">
        <v>312</v>
      </c>
      <c r="EJ26" s="90">
        <v>36</v>
      </c>
      <c r="EK26" s="90">
        <v>48</v>
      </c>
      <c r="EL26" s="90">
        <v>48</v>
      </c>
      <c r="EM26" s="90">
        <v>48</v>
      </c>
      <c r="EN26" s="90">
        <v>48</v>
      </c>
      <c r="EO26" s="90">
        <v>48</v>
      </c>
      <c r="EP26" s="90">
        <v>36</v>
      </c>
      <c r="EQ26" s="90" t="s">
        <v>1137</v>
      </c>
      <c r="ER26" s="90" t="s">
        <v>1137</v>
      </c>
      <c r="ES26" s="90" t="s">
        <v>1137</v>
      </c>
      <c r="ET26" s="90" t="s">
        <v>1137</v>
      </c>
      <c r="EU26" s="90" t="s">
        <v>1137</v>
      </c>
      <c r="EV26" s="90" t="s">
        <v>1137</v>
      </c>
      <c r="EW26" s="90" t="s">
        <v>1137</v>
      </c>
      <c r="EX26" s="90" t="s">
        <v>1137</v>
      </c>
      <c r="EY26" s="90" t="s">
        <v>1137</v>
      </c>
      <c r="EZ26" s="90"/>
      <c r="FA26" s="224">
        <v>6</v>
      </c>
      <c r="FB26" s="245">
        <f t="shared" si="12"/>
        <v>312</v>
      </c>
      <c r="FD26" s="237">
        <f t="shared" si="13"/>
        <v>26</v>
      </c>
      <c r="FE26" s="246">
        <f t="shared" si="13"/>
        <v>312</v>
      </c>
      <c r="FF26" s="247">
        <f t="shared" si="13"/>
        <v>36</v>
      </c>
      <c r="FG26" s="247">
        <f t="shared" si="13"/>
        <v>48</v>
      </c>
      <c r="FH26" s="247">
        <f t="shared" si="13"/>
        <v>48</v>
      </c>
      <c r="FI26" s="247">
        <f t="shared" si="13"/>
        <v>48</v>
      </c>
      <c r="FJ26" s="247">
        <f t="shared" si="13"/>
        <v>48</v>
      </c>
      <c r="FK26" s="247">
        <f t="shared" si="13"/>
        <v>48</v>
      </c>
      <c r="FL26" s="247">
        <f t="shared" si="13"/>
        <v>36</v>
      </c>
      <c r="FM26" s="247" t="str">
        <f t="shared" si="13"/>
        <v xml:space="preserve"> </v>
      </c>
      <c r="FN26" s="247" t="str">
        <f t="shared" si="13"/>
        <v xml:space="preserve"> </v>
      </c>
      <c r="FO26" s="247" t="str">
        <f t="shared" si="13"/>
        <v xml:space="preserve"> </v>
      </c>
      <c r="FP26" s="247" t="str">
        <f t="shared" si="13"/>
        <v xml:space="preserve"> </v>
      </c>
      <c r="FQ26" s="247" t="str">
        <f t="shared" si="13"/>
        <v xml:space="preserve"> </v>
      </c>
      <c r="FR26" s="247" t="str">
        <f t="shared" si="13"/>
        <v xml:space="preserve"> </v>
      </c>
      <c r="FS26" s="247" t="str">
        <f t="shared" si="13"/>
        <v xml:space="preserve"> </v>
      </c>
      <c r="FT26" s="247" t="str">
        <f t="shared" si="105"/>
        <v xml:space="preserve"> </v>
      </c>
      <c r="FU26" s="247" t="str">
        <f t="shared" si="105"/>
        <v xml:space="preserve"> </v>
      </c>
      <c r="FV26" s="247">
        <f t="shared" si="105"/>
        <v>0</v>
      </c>
      <c r="FW26" s="248">
        <f t="shared" si="105"/>
        <v>6</v>
      </c>
      <c r="FX26" s="241">
        <f t="shared" si="105"/>
        <v>312</v>
      </c>
      <c r="FZ26" s="249">
        <v>26</v>
      </c>
      <c r="GA26" s="244">
        <v>312</v>
      </c>
      <c r="GB26" s="90">
        <v>36</v>
      </c>
      <c r="GC26" s="90">
        <v>60</v>
      </c>
      <c r="GD26" s="90">
        <v>60</v>
      </c>
      <c r="GE26" s="90">
        <v>60</v>
      </c>
      <c r="GF26" s="90">
        <v>60</v>
      </c>
      <c r="GG26" s="90">
        <v>36</v>
      </c>
      <c r="GH26" s="90"/>
      <c r="GI26" s="90"/>
      <c r="GJ26" s="90"/>
      <c r="GK26" s="90" t="s">
        <v>1137</v>
      </c>
      <c r="GL26" s="90" t="s">
        <v>1137</v>
      </c>
      <c r="GM26" s="90" t="s">
        <v>1137</v>
      </c>
      <c r="GN26" s="90" t="s">
        <v>1137</v>
      </c>
      <c r="GO26" s="90" t="s">
        <v>1137</v>
      </c>
      <c r="GP26" s="90" t="s">
        <v>1137</v>
      </c>
      <c r="GQ26" s="90" t="s">
        <v>1137</v>
      </c>
      <c r="GR26" s="90"/>
      <c r="GS26" s="224">
        <v>5</v>
      </c>
      <c r="GT26" s="245">
        <f t="shared" si="14"/>
        <v>312</v>
      </c>
      <c r="GV26" s="237">
        <f t="shared" si="15"/>
        <v>26</v>
      </c>
      <c r="GW26" s="246">
        <f t="shared" si="15"/>
        <v>312</v>
      </c>
      <c r="GX26" s="247">
        <f t="shared" si="15"/>
        <v>36</v>
      </c>
      <c r="GY26" s="247">
        <f t="shared" si="15"/>
        <v>60</v>
      </c>
      <c r="GZ26" s="247">
        <f t="shared" si="15"/>
        <v>60</v>
      </c>
      <c r="HA26" s="247">
        <f t="shared" si="15"/>
        <v>60</v>
      </c>
      <c r="HB26" s="247">
        <f t="shared" si="15"/>
        <v>60</v>
      </c>
      <c r="HC26" s="247">
        <f t="shared" si="15"/>
        <v>36</v>
      </c>
      <c r="HD26" s="247">
        <f t="shared" si="15"/>
        <v>0</v>
      </c>
      <c r="HE26" s="247">
        <f t="shared" si="15"/>
        <v>0</v>
      </c>
      <c r="HF26" s="247">
        <f t="shared" si="15"/>
        <v>0</v>
      </c>
      <c r="HG26" s="247" t="str">
        <f t="shared" si="15"/>
        <v xml:space="preserve"> </v>
      </c>
      <c r="HH26" s="247" t="str">
        <f t="shared" si="15"/>
        <v xml:space="preserve"> </v>
      </c>
      <c r="HI26" s="247" t="str">
        <f t="shared" si="15"/>
        <v xml:space="preserve"> </v>
      </c>
      <c r="HJ26" s="247" t="str">
        <f t="shared" si="15"/>
        <v xml:space="preserve"> </v>
      </c>
      <c r="HK26" s="247" t="str">
        <f t="shared" si="15"/>
        <v xml:space="preserve"> </v>
      </c>
      <c r="HL26" s="247" t="str">
        <f t="shared" si="106"/>
        <v xml:space="preserve"> </v>
      </c>
      <c r="HM26" s="247" t="str">
        <f t="shared" si="10"/>
        <v xml:space="preserve"> </v>
      </c>
      <c r="HN26" s="247">
        <f t="shared" si="10"/>
        <v>0</v>
      </c>
      <c r="HO26" s="248">
        <f t="shared" si="10"/>
        <v>5</v>
      </c>
      <c r="HP26" s="241">
        <f t="shared" si="10"/>
        <v>312</v>
      </c>
      <c r="HR26" s="243">
        <v>26</v>
      </c>
      <c r="HS26" s="244">
        <v>312</v>
      </c>
      <c r="HT26" s="90">
        <v>48</v>
      </c>
      <c r="HU26" s="90">
        <v>72</v>
      </c>
      <c r="HV26" s="90">
        <v>72</v>
      </c>
      <c r="HW26" s="90">
        <v>72</v>
      </c>
      <c r="HX26" s="90">
        <v>48</v>
      </c>
      <c r="HY26" s="90"/>
      <c r="HZ26" s="90"/>
      <c r="IA26" s="90"/>
      <c r="IB26" s="90"/>
      <c r="IC26" s="90"/>
      <c r="ID26" s="90"/>
      <c r="IE26" s="90"/>
      <c r="IF26" s="90"/>
      <c r="IG26" s="90"/>
      <c r="IH26" s="90"/>
      <c r="II26" s="90"/>
      <c r="IJ26" s="90"/>
      <c r="IK26" s="224">
        <v>4</v>
      </c>
      <c r="IL26" s="245">
        <f t="shared" si="16"/>
        <v>312</v>
      </c>
      <c r="IN26" s="243">
        <v>26</v>
      </c>
      <c r="IO26" s="244">
        <v>312</v>
      </c>
      <c r="IP26" s="90">
        <v>72</v>
      </c>
      <c r="IQ26" s="90">
        <v>84</v>
      </c>
      <c r="IR26" s="90">
        <v>84</v>
      </c>
      <c r="IS26" s="90">
        <v>72</v>
      </c>
      <c r="IT26" s="90"/>
      <c r="IU26" s="90"/>
      <c r="IV26" s="90"/>
      <c r="IW26" s="90"/>
      <c r="IX26" s="90"/>
      <c r="IY26" s="90"/>
      <c r="IZ26" s="90"/>
      <c r="JA26" s="90"/>
      <c r="JB26" s="90"/>
      <c r="JC26" s="90"/>
      <c r="JD26" s="90"/>
      <c r="JE26" s="90"/>
      <c r="JF26" s="90"/>
      <c r="JG26" s="224">
        <v>3</v>
      </c>
      <c r="JH26" s="245">
        <f t="shared" si="17"/>
        <v>312</v>
      </c>
      <c r="JJ26" s="249">
        <v>26</v>
      </c>
      <c r="JK26" s="244">
        <v>312</v>
      </c>
      <c r="JL26" s="90">
        <v>60</v>
      </c>
      <c r="JM26" s="90">
        <v>96</v>
      </c>
      <c r="JN26" s="90">
        <v>96</v>
      </c>
      <c r="JO26" s="90">
        <v>60</v>
      </c>
      <c r="JP26" s="90"/>
      <c r="JQ26" s="90"/>
      <c r="JR26" s="90"/>
      <c r="JS26" s="90"/>
      <c r="JT26" s="90"/>
      <c r="JU26" s="90"/>
      <c r="JV26" s="90"/>
      <c r="JW26" s="90"/>
      <c r="JX26" s="90"/>
      <c r="JY26" s="90"/>
      <c r="JZ26" s="90"/>
      <c r="KA26" s="90"/>
      <c r="KB26" s="90"/>
      <c r="KC26" s="224">
        <v>3</v>
      </c>
      <c r="KD26" s="245">
        <f t="shared" si="18"/>
        <v>312</v>
      </c>
      <c r="KF26" s="243">
        <v>26</v>
      </c>
      <c r="KG26" s="244">
        <v>312</v>
      </c>
      <c r="KH26" s="90">
        <v>48</v>
      </c>
      <c r="KI26" s="90">
        <v>54</v>
      </c>
      <c r="KJ26" s="90">
        <v>54</v>
      </c>
      <c r="KK26" s="90">
        <v>54</v>
      </c>
      <c r="KL26" s="90">
        <v>54</v>
      </c>
      <c r="KM26" s="90">
        <v>48</v>
      </c>
      <c r="KN26" s="90"/>
      <c r="KO26" s="90"/>
      <c r="KP26" s="90"/>
      <c r="KQ26" s="90"/>
      <c r="KR26" s="90"/>
      <c r="KS26" s="90"/>
      <c r="KT26" s="90"/>
      <c r="KU26" s="90"/>
      <c r="KV26" s="90"/>
      <c r="KW26" s="90"/>
      <c r="KX26" s="90"/>
      <c r="KY26" s="224">
        <v>5</v>
      </c>
      <c r="KZ26" s="245">
        <f t="shared" si="19"/>
        <v>312</v>
      </c>
      <c r="LB26" s="237">
        <f t="shared" si="20"/>
        <v>26</v>
      </c>
      <c r="LC26" s="284">
        <f t="shared" si="21"/>
        <v>312</v>
      </c>
      <c r="LD26" s="237">
        <f t="shared" si="22"/>
        <v>48</v>
      </c>
      <c r="LE26" s="237">
        <f t="shared" si="23"/>
        <v>54</v>
      </c>
      <c r="LF26" s="237">
        <f t="shared" si="24"/>
        <v>54</v>
      </c>
      <c r="LG26" s="237">
        <f t="shared" si="25"/>
        <v>54</v>
      </c>
      <c r="LH26" s="237">
        <f t="shared" si="26"/>
        <v>54</v>
      </c>
      <c r="LI26" s="237">
        <f t="shared" si="27"/>
        <v>48</v>
      </c>
      <c r="LJ26" s="237">
        <f t="shared" si="28"/>
        <v>0</v>
      </c>
      <c r="LK26" s="237">
        <f t="shared" si="29"/>
        <v>0</v>
      </c>
      <c r="LL26" s="237">
        <f t="shared" si="30"/>
        <v>0</v>
      </c>
      <c r="LM26" s="237">
        <f t="shared" si="31"/>
        <v>0</v>
      </c>
      <c r="LN26" s="237">
        <f t="shared" si="32"/>
        <v>0</v>
      </c>
      <c r="LO26" s="237">
        <f t="shared" si="33"/>
        <v>0</v>
      </c>
      <c r="LP26" s="237">
        <f t="shared" si="34"/>
        <v>0</v>
      </c>
      <c r="LQ26" s="237">
        <f t="shared" si="35"/>
        <v>0</v>
      </c>
      <c r="LR26" s="237">
        <f t="shared" si="36"/>
        <v>0</v>
      </c>
      <c r="LS26" s="237">
        <f t="shared" si="37"/>
        <v>0</v>
      </c>
      <c r="LT26" s="237">
        <f t="shared" si="38"/>
        <v>0</v>
      </c>
      <c r="LU26" s="285">
        <f t="shared" si="39"/>
        <v>5</v>
      </c>
      <c r="LV26" s="280">
        <f t="shared" si="40"/>
        <v>312</v>
      </c>
      <c r="LX26" s="237">
        <f t="shared" si="41"/>
        <v>26</v>
      </c>
      <c r="LY26" s="284">
        <f t="shared" si="42"/>
        <v>312</v>
      </c>
      <c r="LZ26" s="237">
        <f t="shared" si="43"/>
        <v>48</v>
      </c>
      <c r="MA26" s="237">
        <f t="shared" si="44"/>
        <v>54</v>
      </c>
      <c r="MB26" s="237">
        <f t="shared" si="45"/>
        <v>54</v>
      </c>
      <c r="MC26" s="237">
        <f t="shared" si="46"/>
        <v>54</v>
      </c>
      <c r="MD26" s="237">
        <f t="shared" si="47"/>
        <v>54</v>
      </c>
      <c r="ME26" s="237">
        <f t="shared" si="48"/>
        <v>48</v>
      </c>
      <c r="MF26" s="237">
        <f t="shared" si="49"/>
        <v>0</v>
      </c>
      <c r="MG26" s="237">
        <f t="shared" si="50"/>
        <v>0</v>
      </c>
      <c r="MH26" s="237">
        <f t="shared" si="51"/>
        <v>0</v>
      </c>
      <c r="MI26" s="237">
        <f t="shared" si="52"/>
        <v>0</v>
      </c>
      <c r="MJ26" s="237">
        <f t="shared" si="53"/>
        <v>0</v>
      </c>
      <c r="MK26" s="237">
        <f t="shared" si="54"/>
        <v>0</v>
      </c>
      <c r="ML26" s="237">
        <f t="shared" si="55"/>
        <v>0</v>
      </c>
      <c r="MM26" s="237">
        <f t="shared" si="56"/>
        <v>0</v>
      </c>
      <c r="MN26" s="237">
        <f t="shared" si="57"/>
        <v>0</v>
      </c>
      <c r="MO26" s="237">
        <f t="shared" si="58"/>
        <v>0</v>
      </c>
      <c r="MP26" s="237">
        <f t="shared" si="59"/>
        <v>0</v>
      </c>
      <c r="MQ26" s="285">
        <f t="shared" si="60"/>
        <v>5</v>
      </c>
      <c r="MR26" s="280">
        <f t="shared" si="61"/>
        <v>312</v>
      </c>
      <c r="MT26" s="237">
        <f t="shared" si="62"/>
        <v>26</v>
      </c>
      <c r="MU26" s="284">
        <f t="shared" si="63"/>
        <v>312</v>
      </c>
      <c r="MV26" s="237">
        <f t="shared" si="64"/>
        <v>48</v>
      </c>
      <c r="MW26" s="237">
        <f t="shared" si="65"/>
        <v>54</v>
      </c>
      <c r="MX26" s="237">
        <f t="shared" si="66"/>
        <v>54</v>
      </c>
      <c r="MY26" s="237">
        <f t="shared" si="67"/>
        <v>54</v>
      </c>
      <c r="MZ26" s="237">
        <f t="shared" si="68"/>
        <v>54</v>
      </c>
      <c r="NA26" s="237">
        <f t="shared" si="69"/>
        <v>48</v>
      </c>
      <c r="NB26" s="237">
        <f t="shared" si="70"/>
        <v>0</v>
      </c>
      <c r="NC26" s="237">
        <f t="shared" si="71"/>
        <v>0</v>
      </c>
      <c r="ND26" s="237">
        <f t="shared" si="72"/>
        <v>0</v>
      </c>
      <c r="NE26" s="237">
        <f t="shared" si="73"/>
        <v>0</v>
      </c>
      <c r="NF26" s="237">
        <f t="shared" si="74"/>
        <v>0</v>
      </c>
      <c r="NG26" s="237">
        <f t="shared" si="75"/>
        <v>0</v>
      </c>
      <c r="NH26" s="237">
        <f t="shared" si="76"/>
        <v>0</v>
      </c>
      <c r="NI26" s="237">
        <f t="shared" si="77"/>
        <v>0</v>
      </c>
      <c r="NJ26" s="237">
        <f t="shared" si="78"/>
        <v>0</v>
      </c>
      <c r="NK26" s="237">
        <f t="shared" si="79"/>
        <v>0</v>
      </c>
      <c r="NL26" s="237">
        <f t="shared" si="80"/>
        <v>0</v>
      </c>
      <c r="NM26" s="285">
        <f t="shared" si="81"/>
        <v>5</v>
      </c>
      <c r="NN26" s="280">
        <f t="shared" si="82"/>
        <v>312</v>
      </c>
      <c r="NP26" s="237">
        <f t="shared" si="83"/>
        <v>26</v>
      </c>
      <c r="NQ26" s="284">
        <f t="shared" si="84"/>
        <v>312</v>
      </c>
      <c r="NR26" s="237">
        <f t="shared" si="85"/>
        <v>48</v>
      </c>
      <c r="NS26" s="237">
        <f t="shared" si="86"/>
        <v>54</v>
      </c>
      <c r="NT26" s="237">
        <f t="shared" si="87"/>
        <v>54</v>
      </c>
      <c r="NU26" s="237">
        <f t="shared" si="88"/>
        <v>54</v>
      </c>
      <c r="NV26" s="237">
        <f t="shared" si="89"/>
        <v>54</v>
      </c>
      <c r="NW26" s="237">
        <f t="shared" si="90"/>
        <v>48</v>
      </c>
      <c r="NX26" s="237">
        <f t="shared" si="91"/>
        <v>0</v>
      </c>
      <c r="NY26" s="237">
        <f t="shared" si="92"/>
        <v>0</v>
      </c>
      <c r="NZ26" s="237">
        <f t="shared" si="93"/>
        <v>0</v>
      </c>
      <c r="OA26" s="237">
        <f t="shared" si="94"/>
        <v>0</v>
      </c>
      <c r="OB26" s="237">
        <f t="shared" si="95"/>
        <v>0</v>
      </c>
      <c r="OC26" s="237">
        <f t="shared" si="96"/>
        <v>0</v>
      </c>
      <c r="OD26" s="237">
        <f t="shared" si="97"/>
        <v>0</v>
      </c>
      <c r="OE26" s="237">
        <f t="shared" si="98"/>
        <v>0</v>
      </c>
      <c r="OF26" s="237">
        <f t="shared" si="99"/>
        <v>0</v>
      </c>
      <c r="OG26" s="237">
        <f t="shared" si="100"/>
        <v>0</v>
      </c>
      <c r="OH26" s="237">
        <f t="shared" si="101"/>
        <v>0</v>
      </c>
      <c r="OI26" s="285">
        <f t="shared" si="102"/>
        <v>5</v>
      </c>
      <c r="OJ26" s="280">
        <f t="shared" si="103"/>
        <v>312</v>
      </c>
    </row>
    <row r="27" spans="12:400" x14ac:dyDescent="0.3">
      <c r="L27" s="127" t="str">
        <f t="shared" si="5"/>
        <v>C5x9</v>
      </c>
      <c r="M27" s="138">
        <v>9</v>
      </c>
      <c r="N27" s="138">
        <v>2.64</v>
      </c>
      <c r="O27" s="138">
        <v>5</v>
      </c>
      <c r="P27" s="138">
        <v>0.32500000000000001</v>
      </c>
      <c r="Q27" s="138">
        <v>1.885</v>
      </c>
      <c r="R27" s="138">
        <v>0.32</v>
      </c>
      <c r="S27" s="138">
        <v>0.28999999999999998</v>
      </c>
      <c r="T27" s="138">
        <v>0.11</v>
      </c>
      <c r="U27">
        <v>9.4629999999999992</v>
      </c>
      <c r="V27" s="138">
        <f t="shared" si="6"/>
        <v>9.6807654304933752E-2</v>
      </c>
      <c r="W27" s="139">
        <f t="shared" si="7"/>
        <v>9</v>
      </c>
      <c r="X27" s="140" t="s">
        <v>77</v>
      </c>
      <c r="Y27" s="141">
        <v>0.75</v>
      </c>
      <c r="Z27" s="141">
        <v>3.5</v>
      </c>
      <c r="AA27" s="133" t="s">
        <v>85</v>
      </c>
      <c r="AE27" s="127" t="str">
        <f t="shared" si="0"/>
        <v>L2.5x2.5x0.1875</v>
      </c>
      <c r="AF27" s="138">
        <v>2.5</v>
      </c>
      <c r="AG27" s="138">
        <v>2.5</v>
      </c>
      <c r="AH27" s="138">
        <v>0.18750000000000003</v>
      </c>
      <c r="AI27" s="138">
        <v>0.18750000000000003</v>
      </c>
      <c r="AJ27" s="138">
        <v>0.18750000000000003</v>
      </c>
      <c r="AK27">
        <f t="shared" si="1"/>
        <v>2.0000000000000001E-4</v>
      </c>
      <c r="AL27" t="s">
        <v>117</v>
      </c>
      <c r="AM27" s="133" t="s">
        <v>85</v>
      </c>
      <c r="AP27" s="127" t="str">
        <f t="shared" si="2"/>
        <v>S6x17.25</v>
      </c>
      <c r="AQ27">
        <v>6</v>
      </c>
      <c r="AR27" s="138">
        <v>17.25</v>
      </c>
      <c r="AS27" s="138">
        <v>6.0000000000000009</v>
      </c>
      <c r="AT27" s="138">
        <v>0.46500000000000002</v>
      </c>
      <c r="AU27" s="138">
        <v>3.5649999999999999</v>
      </c>
      <c r="AV27" s="138">
        <v>0.35899999999999999</v>
      </c>
      <c r="AW27" s="138">
        <v>0.33</v>
      </c>
      <c r="AX27" s="138">
        <v>0.14000000000000001</v>
      </c>
      <c r="AY27">
        <v>9.4630000000000312</v>
      </c>
      <c r="AZ27" s="138">
        <f t="shared" si="3"/>
        <v>4.4645506481335078</v>
      </c>
      <c r="BA27" s="133" t="s">
        <v>85</v>
      </c>
      <c r="BD27" s="143" t="str">
        <f t="shared" si="4"/>
        <v>W10x15</v>
      </c>
      <c r="BE27">
        <v>10</v>
      </c>
      <c r="BF27" s="138">
        <v>15</v>
      </c>
      <c r="BG27" s="138">
        <v>9.9899999999999984</v>
      </c>
      <c r="BH27" s="138">
        <v>0.23</v>
      </c>
      <c r="BI27" s="138">
        <v>4</v>
      </c>
      <c r="BJ27" s="138">
        <v>0.27</v>
      </c>
      <c r="BK27" s="138">
        <v>0.3</v>
      </c>
      <c r="BL27" t="s">
        <v>183</v>
      </c>
      <c r="BM27" s="133" t="s">
        <v>85</v>
      </c>
      <c r="BO27" s="150" t="s">
        <v>297</v>
      </c>
      <c r="BP27" s="138">
        <v>22.8</v>
      </c>
      <c r="BQ27" s="144">
        <v>8</v>
      </c>
      <c r="BR27" s="144">
        <v>0.42699999999999999</v>
      </c>
      <c r="BS27" s="144">
        <v>3.5019999999999998</v>
      </c>
      <c r="BT27" s="144">
        <v>0.52500000000000002</v>
      </c>
      <c r="BU27" s="144">
        <v>0.53</v>
      </c>
      <c r="BV27" s="144">
        <v>0.31605000135708655</v>
      </c>
      <c r="BW27" s="138">
        <v>9.4629999999999992</v>
      </c>
      <c r="BX27" s="138">
        <v>9.9999999999997313E-4</v>
      </c>
      <c r="BY27" s="138">
        <v>5.5395186684126694</v>
      </c>
      <c r="BZ27" s="138">
        <v>1.2302406657936653</v>
      </c>
      <c r="CB27">
        <v>1.1875</v>
      </c>
      <c r="CC27">
        <v>5.625</v>
      </c>
      <c r="CD27" s="151" t="s">
        <v>85</v>
      </c>
      <c r="CF27" s="150" t="s">
        <v>297</v>
      </c>
      <c r="CG27">
        <v>1.1875</v>
      </c>
      <c r="CH27">
        <v>5.625</v>
      </c>
      <c r="CI27" s="151" t="s">
        <v>261</v>
      </c>
      <c r="DU27" s="220">
        <f t="shared" si="11"/>
        <v>528</v>
      </c>
      <c r="DV27" s="221">
        <v>44</v>
      </c>
      <c r="DW27" s="221">
        <v>7</v>
      </c>
      <c r="DX27" s="221">
        <v>66</v>
      </c>
      <c r="DY27" s="223">
        <f t="shared" si="104"/>
        <v>66</v>
      </c>
      <c r="DZ27" s="221">
        <v>264</v>
      </c>
      <c r="EA27" s="224" t="s">
        <v>261</v>
      </c>
      <c r="EH27" s="250">
        <v>27</v>
      </c>
      <c r="EI27" s="251">
        <v>324</v>
      </c>
      <c r="EJ27" s="252">
        <v>42</v>
      </c>
      <c r="EK27" s="252">
        <v>48</v>
      </c>
      <c r="EL27" s="252">
        <v>48</v>
      </c>
      <c r="EM27" s="252">
        <v>48</v>
      </c>
      <c r="EN27" s="252">
        <v>48</v>
      </c>
      <c r="EO27" s="252">
        <v>48</v>
      </c>
      <c r="EP27" s="252">
        <v>42</v>
      </c>
      <c r="EQ27" s="252" t="s">
        <v>1137</v>
      </c>
      <c r="ER27" s="252" t="s">
        <v>1137</v>
      </c>
      <c r="ES27" s="252" t="s">
        <v>1137</v>
      </c>
      <c r="ET27" s="252" t="s">
        <v>1137</v>
      </c>
      <c r="EU27" s="252" t="s">
        <v>1137</v>
      </c>
      <c r="EV27" s="252" t="s">
        <v>1137</v>
      </c>
      <c r="EW27" s="252" t="s">
        <v>1137</v>
      </c>
      <c r="EX27" s="252" t="s">
        <v>1137</v>
      </c>
      <c r="EY27" s="252" t="s">
        <v>1137</v>
      </c>
      <c r="EZ27" s="252"/>
      <c r="FA27" s="253">
        <v>6</v>
      </c>
      <c r="FB27" s="254">
        <f t="shared" si="12"/>
        <v>324</v>
      </c>
      <c r="FD27" s="237">
        <f t="shared" si="13"/>
        <v>27</v>
      </c>
      <c r="FE27" s="246">
        <f t="shared" si="13"/>
        <v>324</v>
      </c>
      <c r="FF27" s="247">
        <f t="shared" si="13"/>
        <v>42</v>
      </c>
      <c r="FG27" s="247">
        <f t="shared" si="13"/>
        <v>48</v>
      </c>
      <c r="FH27" s="247">
        <f t="shared" si="13"/>
        <v>48</v>
      </c>
      <c r="FI27" s="247">
        <f t="shared" si="13"/>
        <v>48</v>
      </c>
      <c r="FJ27" s="247">
        <f t="shared" si="13"/>
        <v>48</v>
      </c>
      <c r="FK27" s="247">
        <f t="shared" si="13"/>
        <v>48</v>
      </c>
      <c r="FL27" s="247">
        <f t="shared" si="13"/>
        <v>42</v>
      </c>
      <c r="FM27" s="247" t="str">
        <f t="shared" si="13"/>
        <v xml:space="preserve"> </v>
      </c>
      <c r="FN27" s="247" t="str">
        <f t="shared" si="13"/>
        <v xml:space="preserve"> </v>
      </c>
      <c r="FO27" s="247" t="str">
        <f t="shared" si="13"/>
        <v xml:space="preserve"> </v>
      </c>
      <c r="FP27" s="247" t="str">
        <f t="shared" si="13"/>
        <v xml:space="preserve"> </v>
      </c>
      <c r="FQ27" s="247" t="str">
        <f t="shared" si="13"/>
        <v xml:space="preserve"> </v>
      </c>
      <c r="FR27" s="247" t="str">
        <f t="shared" si="13"/>
        <v xml:space="preserve"> </v>
      </c>
      <c r="FS27" s="247" t="str">
        <f t="shared" si="13"/>
        <v xml:space="preserve"> </v>
      </c>
      <c r="FT27" s="247" t="str">
        <f t="shared" si="105"/>
        <v xml:space="preserve"> </v>
      </c>
      <c r="FU27" s="247" t="str">
        <f t="shared" si="105"/>
        <v xml:space="preserve"> </v>
      </c>
      <c r="FV27" s="247">
        <f t="shared" si="105"/>
        <v>0</v>
      </c>
      <c r="FW27" s="248">
        <f t="shared" si="105"/>
        <v>6</v>
      </c>
      <c r="FX27" s="241">
        <f t="shared" si="105"/>
        <v>324</v>
      </c>
      <c r="FZ27" s="255">
        <v>27</v>
      </c>
      <c r="GA27" s="251">
        <v>324</v>
      </c>
      <c r="GB27" s="252">
        <v>42</v>
      </c>
      <c r="GC27" s="252">
        <v>60</v>
      </c>
      <c r="GD27" s="252">
        <v>60</v>
      </c>
      <c r="GE27" s="252">
        <v>60</v>
      </c>
      <c r="GF27" s="252">
        <v>60</v>
      </c>
      <c r="GG27" s="252">
        <v>42</v>
      </c>
      <c r="GH27" s="252"/>
      <c r="GI27" s="252"/>
      <c r="GJ27" s="252"/>
      <c r="GK27" s="252" t="s">
        <v>1137</v>
      </c>
      <c r="GL27" s="252" t="s">
        <v>1137</v>
      </c>
      <c r="GM27" s="252" t="s">
        <v>1137</v>
      </c>
      <c r="GN27" s="252" t="s">
        <v>1137</v>
      </c>
      <c r="GO27" s="252" t="s">
        <v>1137</v>
      </c>
      <c r="GP27" s="252" t="s">
        <v>1137</v>
      </c>
      <c r="GQ27" s="252" t="s">
        <v>1137</v>
      </c>
      <c r="GR27" s="252"/>
      <c r="GS27" s="253">
        <v>5</v>
      </c>
      <c r="GT27" s="254">
        <f t="shared" si="14"/>
        <v>324</v>
      </c>
      <c r="GV27" s="237">
        <f t="shared" si="15"/>
        <v>27</v>
      </c>
      <c r="GW27" s="246">
        <f t="shared" si="15"/>
        <v>324</v>
      </c>
      <c r="GX27" s="247">
        <f t="shared" si="15"/>
        <v>42</v>
      </c>
      <c r="GY27" s="247">
        <f t="shared" si="15"/>
        <v>60</v>
      </c>
      <c r="GZ27" s="247">
        <f t="shared" si="15"/>
        <v>60</v>
      </c>
      <c r="HA27" s="247">
        <f t="shared" si="15"/>
        <v>60</v>
      </c>
      <c r="HB27" s="247">
        <f t="shared" si="15"/>
        <v>60</v>
      </c>
      <c r="HC27" s="247">
        <f t="shared" si="15"/>
        <v>42</v>
      </c>
      <c r="HD27" s="247">
        <f t="shared" si="15"/>
        <v>0</v>
      </c>
      <c r="HE27" s="247">
        <f t="shared" si="15"/>
        <v>0</v>
      </c>
      <c r="HF27" s="247">
        <f t="shared" si="15"/>
        <v>0</v>
      </c>
      <c r="HG27" s="247" t="str">
        <f t="shared" si="15"/>
        <v xml:space="preserve"> </v>
      </c>
      <c r="HH27" s="247" t="str">
        <f t="shared" si="15"/>
        <v xml:space="preserve"> </v>
      </c>
      <c r="HI27" s="247" t="str">
        <f t="shared" si="15"/>
        <v xml:space="preserve"> </v>
      </c>
      <c r="HJ27" s="247" t="str">
        <f t="shared" si="15"/>
        <v xml:space="preserve"> </v>
      </c>
      <c r="HK27" s="247" t="str">
        <f t="shared" si="15"/>
        <v xml:space="preserve"> </v>
      </c>
      <c r="HL27" s="247" t="str">
        <f t="shared" si="106"/>
        <v xml:space="preserve"> </v>
      </c>
      <c r="HM27" s="247" t="str">
        <f t="shared" si="10"/>
        <v xml:space="preserve"> </v>
      </c>
      <c r="HN27" s="247">
        <f t="shared" si="10"/>
        <v>0</v>
      </c>
      <c r="HO27" s="248">
        <f t="shared" si="10"/>
        <v>5</v>
      </c>
      <c r="HP27" s="241">
        <f t="shared" si="10"/>
        <v>324</v>
      </c>
      <c r="HR27" s="250">
        <v>27</v>
      </c>
      <c r="HS27" s="251">
        <v>324</v>
      </c>
      <c r="HT27" s="252">
        <v>54</v>
      </c>
      <c r="HU27" s="252">
        <v>72</v>
      </c>
      <c r="HV27" s="252">
        <v>72</v>
      </c>
      <c r="HW27" s="252">
        <v>72</v>
      </c>
      <c r="HX27" s="252">
        <v>54</v>
      </c>
      <c r="HY27" s="252"/>
      <c r="HZ27" s="252"/>
      <c r="IA27" s="252"/>
      <c r="IB27" s="252"/>
      <c r="IC27" s="252"/>
      <c r="ID27" s="252"/>
      <c r="IE27" s="252"/>
      <c r="IF27" s="252"/>
      <c r="IG27" s="252"/>
      <c r="IH27" s="252"/>
      <c r="II27" s="252"/>
      <c r="IJ27" s="252"/>
      <c r="IK27" s="253">
        <v>4</v>
      </c>
      <c r="IL27" s="254">
        <f t="shared" si="16"/>
        <v>324</v>
      </c>
      <c r="IN27" s="250">
        <v>27</v>
      </c>
      <c r="IO27" s="251">
        <v>324</v>
      </c>
      <c r="IP27" s="252">
        <v>78</v>
      </c>
      <c r="IQ27" s="252">
        <v>84</v>
      </c>
      <c r="IR27" s="252">
        <v>84</v>
      </c>
      <c r="IS27" s="252">
        <v>78</v>
      </c>
      <c r="IT27" s="252"/>
      <c r="IU27" s="252"/>
      <c r="IV27" s="252"/>
      <c r="IW27" s="252"/>
      <c r="IX27" s="252"/>
      <c r="IY27" s="252"/>
      <c r="IZ27" s="252"/>
      <c r="JA27" s="252"/>
      <c r="JB27" s="252"/>
      <c r="JC27" s="252"/>
      <c r="JD27" s="252"/>
      <c r="JE27" s="252"/>
      <c r="JF27" s="252"/>
      <c r="JG27" s="253">
        <v>3</v>
      </c>
      <c r="JH27" s="254">
        <f t="shared" si="17"/>
        <v>324</v>
      </c>
      <c r="JJ27" s="255">
        <v>27</v>
      </c>
      <c r="JK27" s="251">
        <v>324</v>
      </c>
      <c r="JL27" s="252">
        <v>66</v>
      </c>
      <c r="JM27" s="252">
        <v>96</v>
      </c>
      <c r="JN27" s="252">
        <v>96</v>
      </c>
      <c r="JO27" s="252">
        <v>66</v>
      </c>
      <c r="JP27" s="252"/>
      <c r="JQ27" s="252"/>
      <c r="JR27" s="252"/>
      <c r="JS27" s="252"/>
      <c r="JT27" s="252"/>
      <c r="JU27" s="252"/>
      <c r="JV27" s="252"/>
      <c r="JW27" s="252"/>
      <c r="JX27" s="252"/>
      <c r="JY27" s="252"/>
      <c r="JZ27" s="252"/>
      <c r="KA27" s="252"/>
      <c r="KB27" s="252"/>
      <c r="KC27" s="253">
        <v>3</v>
      </c>
      <c r="KD27" s="254">
        <f t="shared" si="18"/>
        <v>324</v>
      </c>
      <c r="KF27" s="250">
        <v>27</v>
      </c>
      <c r="KG27" s="251">
        <v>324</v>
      </c>
      <c r="KH27" s="252">
        <v>54</v>
      </c>
      <c r="KI27" s="252">
        <v>54</v>
      </c>
      <c r="KJ27" s="252">
        <v>54</v>
      </c>
      <c r="KK27" s="252">
        <v>54</v>
      </c>
      <c r="KL27" s="252">
        <v>54</v>
      </c>
      <c r="KM27" s="252">
        <v>54</v>
      </c>
      <c r="KN27" s="252"/>
      <c r="KO27" s="252"/>
      <c r="KP27" s="252"/>
      <c r="KQ27" s="252"/>
      <c r="KR27" s="252"/>
      <c r="KS27" s="252"/>
      <c r="KT27" s="252"/>
      <c r="KU27" s="252"/>
      <c r="KV27" s="252"/>
      <c r="KW27" s="252"/>
      <c r="KX27" s="252"/>
      <c r="KY27" s="253">
        <v>5</v>
      </c>
      <c r="KZ27" s="254">
        <f t="shared" si="19"/>
        <v>324</v>
      </c>
      <c r="LB27" s="237">
        <f t="shared" si="20"/>
        <v>27</v>
      </c>
      <c r="LC27" s="284">
        <f t="shared" si="21"/>
        <v>324</v>
      </c>
      <c r="LD27" s="237">
        <f t="shared" si="22"/>
        <v>54</v>
      </c>
      <c r="LE27" s="237">
        <f t="shared" si="23"/>
        <v>54</v>
      </c>
      <c r="LF27" s="237">
        <f t="shared" si="24"/>
        <v>54</v>
      </c>
      <c r="LG27" s="237">
        <f t="shared" si="25"/>
        <v>54</v>
      </c>
      <c r="LH27" s="237">
        <f t="shared" si="26"/>
        <v>54</v>
      </c>
      <c r="LI27" s="237">
        <f t="shared" si="27"/>
        <v>54</v>
      </c>
      <c r="LJ27" s="237">
        <f t="shared" si="28"/>
        <v>0</v>
      </c>
      <c r="LK27" s="237">
        <f t="shared" si="29"/>
        <v>0</v>
      </c>
      <c r="LL27" s="237">
        <f t="shared" si="30"/>
        <v>0</v>
      </c>
      <c r="LM27" s="237">
        <f t="shared" si="31"/>
        <v>0</v>
      </c>
      <c r="LN27" s="237">
        <f t="shared" si="32"/>
        <v>0</v>
      </c>
      <c r="LO27" s="237">
        <f t="shared" si="33"/>
        <v>0</v>
      </c>
      <c r="LP27" s="237">
        <f t="shared" si="34"/>
        <v>0</v>
      </c>
      <c r="LQ27" s="237">
        <f t="shared" si="35"/>
        <v>0</v>
      </c>
      <c r="LR27" s="237">
        <f t="shared" si="36"/>
        <v>0</v>
      </c>
      <c r="LS27" s="237">
        <f t="shared" si="37"/>
        <v>0</v>
      </c>
      <c r="LT27" s="237">
        <f t="shared" si="38"/>
        <v>0</v>
      </c>
      <c r="LU27" s="285">
        <f t="shared" si="39"/>
        <v>5</v>
      </c>
      <c r="LV27" s="280">
        <f t="shared" si="40"/>
        <v>324</v>
      </c>
      <c r="LX27" s="237">
        <f t="shared" si="41"/>
        <v>27</v>
      </c>
      <c r="LY27" s="284">
        <f t="shared" si="42"/>
        <v>324</v>
      </c>
      <c r="LZ27" s="237">
        <f t="shared" si="43"/>
        <v>54</v>
      </c>
      <c r="MA27" s="237">
        <f t="shared" si="44"/>
        <v>54</v>
      </c>
      <c r="MB27" s="237">
        <f t="shared" si="45"/>
        <v>54</v>
      </c>
      <c r="MC27" s="237">
        <f t="shared" si="46"/>
        <v>54</v>
      </c>
      <c r="MD27" s="237">
        <f t="shared" si="47"/>
        <v>54</v>
      </c>
      <c r="ME27" s="237">
        <f t="shared" si="48"/>
        <v>54</v>
      </c>
      <c r="MF27" s="237">
        <f t="shared" si="49"/>
        <v>0</v>
      </c>
      <c r="MG27" s="237">
        <f t="shared" si="50"/>
        <v>0</v>
      </c>
      <c r="MH27" s="237">
        <f t="shared" si="51"/>
        <v>0</v>
      </c>
      <c r="MI27" s="237">
        <f t="shared" si="52"/>
        <v>0</v>
      </c>
      <c r="MJ27" s="237">
        <f t="shared" si="53"/>
        <v>0</v>
      </c>
      <c r="MK27" s="237">
        <f t="shared" si="54"/>
        <v>0</v>
      </c>
      <c r="ML27" s="237">
        <f t="shared" si="55"/>
        <v>0</v>
      </c>
      <c r="MM27" s="237">
        <f t="shared" si="56"/>
        <v>0</v>
      </c>
      <c r="MN27" s="237">
        <f t="shared" si="57"/>
        <v>0</v>
      </c>
      <c r="MO27" s="237">
        <f t="shared" si="58"/>
        <v>0</v>
      </c>
      <c r="MP27" s="237">
        <f t="shared" si="59"/>
        <v>0</v>
      </c>
      <c r="MQ27" s="285">
        <f t="shared" si="60"/>
        <v>5</v>
      </c>
      <c r="MR27" s="280">
        <f t="shared" si="61"/>
        <v>324</v>
      </c>
      <c r="MT27" s="237">
        <f t="shared" si="62"/>
        <v>27</v>
      </c>
      <c r="MU27" s="284">
        <f t="shared" si="63"/>
        <v>324</v>
      </c>
      <c r="MV27" s="237">
        <f t="shared" si="64"/>
        <v>54</v>
      </c>
      <c r="MW27" s="237">
        <f t="shared" si="65"/>
        <v>54</v>
      </c>
      <c r="MX27" s="237">
        <f t="shared" si="66"/>
        <v>54</v>
      </c>
      <c r="MY27" s="237">
        <f t="shared" si="67"/>
        <v>54</v>
      </c>
      <c r="MZ27" s="237">
        <f t="shared" si="68"/>
        <v>54</v>
      </c>
      <c r="NA27" s="237">
        <f t="shared" si="69"/>
        <v>54</v>
      </c>
      <c r="NB27" s="237">
        <f t="shared" si="70"/>
        <v>0</v>
      </c>
      <c r="NC27" s="237">
        <f t="shared" si="71"/>
        <v>0</v>
      </c>
      <c r="ND27" s="237">
        <f t="shared" si="72"/>
        <v>0</v>
      </c>
      <c r="NE27" s="237">
        <f t="shared" si="73"/>
        <v>0</v>
      </c>
      <c r="NF27" s="237">
        <f t="shared" si="74"/>
        <v>0</v>
      </c>
      <c r="NG27" s="237">
        <f t="shared" si="75"/>
        <v>0</v>
      </c>
      <c r="NH27" s="237">
        <f t="shared" si="76"/>
        <v>0</v>
      </c>
      <c r="NI27" s="237">
        <f t="shared" si="77"/>
        <v>0</v>
      </c>
      <c r="NJ27" s="237">
        <f t="shared" si="78"/>
        <v>0</v>
      </c>
      <c r="NK27" s="237">
        <f t="shared" si="79"/>
        <v>0</v>
      </c>
      <c r="NL27" s="237">
        <f t="shared" si="80"/>
        <v>0</v>
      </c>
      <c r="NM27" s="285">
        <f t="shared" si="81"/>
        <v>5</v>
      </c>
      <c r="NN27" s="280">
        <f t="shared" si="82"/>
        <v>324</v>
      </c>
      <c r="NP27" s="237">
        <f t="shared" si="83"/>
        <v>27</v>
      </c>
      <c r="NQ27" s="284">
        <f t="shared" si="84"/>
        <v>324</v>
      </c>
      <c r="NR27" s="237">
        <f t="shared" si="85"/>
        <v>54</v>
      </c>
      <c r="NS27" s="237">
        <f t="shared" si="86"/>
        <v>54</v>
      </c>
      <c r="NT27" s="237">
        <f t="shared" si="87"/>
        <v>54</v>
      </c>
      <c r="NU27" s="237">
        <f t="shared" si="88"/>
        <v>54</v>
      </c>
      <c r="NV27" s="237">
        <f t="shared" si="89"/>
        <v>54</v>
      </c>
      <c r="NW27" s="237">
        <f t="shared" si="90"/>
        <v>54</v>
      </c>
      <c r="NX27" s="237">
        <f t="shared" si="91"/>
        <v>0</v>
      </c>
      <c r="NY27" s="237">
        <f t="shared" si="92"/>
        <v>0</v>
      </c>
      <c r="NZ27" s="237">
        <f t="shared" si="93"/>
        <v>0</v>
      </c>
      <c r="OA27" s="237">
        <f t="shared" si="94"/>
        <v>0</v>
      </c>
      <c r="OB27" s="237">
        <f t="shared" si="95"/>
        <v>0</v>
      </c>
      <c r="OC27" s="237">
        <f t="shared" si="96"/>
        <v>0</v>
      </c>
      <c r="OD27" s="237">
        <f t="shared" si="97"/>
        <v>0</v>
      </c>
      <c r="OE27" s="237">
        <f t="shared" si="98"/>
        <v>0</v>
      </c>
      <c r="OF27" s="237">
        <f t="shared" si="99"/>
        <v>0</v>
      </c>
      <c r="OG27" s="237">
        <f t="shared" si="100"/>
        <v>0</v>
      </c>
      <c r="OH27" s="237">
        <f t="shared" si="101"/>
        <v>0</v>
      </c>
      <c r="OI27" s="285">
        <f t="shared" si="102"/>
        <v>5</v>
      </c>
      <c r="OJ27" s="280">
        <f t="shared" si="103"/>
        <v>324</v>
      </c>
    </row>
    <row r="28" spans="12:400" x14ac:dyDescent="0.3">
      <c r="L28" s="127" t="str">
        <f t="shared" si="5"/>
        <v>C5x6.7</v>
      </c>
      <c r="M28" s="138">
        <v>6.7</v>
      </c>
      <c r="N28" s="138">
        <v>1.97</v>
      </c>
      <c r="O28" s="138">
        <v>5</v>
      </c>
      <c r="P28" s="138">
        <v>0.18999999999999997</v>
      </c>
      <c r="Q28" s="138">
        <v>1.75</v>
      </c>
      <c r="R28" s="138">
        <v>0.32</v>
      </c>
      <c r="S28" s="138">
        <v>0.28999999999999998</v>
      </c>
      <c r="T28" s="138">
        <v>0.11</v>
      </c>
      <c r="U28">
        <v>9.4629999999999992</v>
      </c>
      <c r="V28" s="138">
        <f t="shared" si="6"/>
        <v>9.6807654304933752E-2</v>
      </c>
      <c r="W28" s="139">
        <f t="shared" si="7"/>
        <v>6.7</v>
      </c>
      <c r="X28" s="140" t="s">
        <v>78</v>
      </c>
      <c r="Y28" s="141">
        <v>0.75</v>
      </c>
      <c r="Z28" s="141">
        <v>3.5</v>
      </c>
      <c r="AA28" s="133" t="s">
        <v>85</v>
      </c>
      <c r="AE28" s="127" t="str">
        <f t="shared" si="0"/>
        <v>L2.5x2.5x0.25</v>
      </c>
      <c r="AF28" s="138">
        <v>2.5</v>
      </c>
      <c r="AG28" s="138">
        <v>2.5</v>
      </c>
      <c r="AH28" s="138">
        <v>0.25</v>
      </c>
      <c r="AI28" s="138">
        <v>0.18750000000000003</v>
      </c>
      <c r="AJ28" s="138">
        <v>0.18750000000000003</v>
      </c>
      <c r="AK28">
        <f t="shared" si="1"/>
        <v>6.2699999999999978E-2</v>
      </c>
      <c r="AL28" t="s">
        <v>116</v>
      </c>
      <c r="AM28" s="133" t="s">
        <v>85</v>
      </c>
      <c r="AP28" s="127" t="str">
        <f t="shared" si="2"/>
        <v>S6x12.5</v>
      </c>
      <c r="AQ28">
        <v>6</v>
      </c>
      <c r="AR28" s="138">
        <v>12.5</v>
      </c>
      <c r="AS28" s="138">
        <v>6.0000000000000009</v>
      </c>
      <c r="AT28" s="138">
        <v>0.23200000000000001</v>
      </c>
      <c r="AU28" s="138">
        <v>3.3319999999999999</v>
      </c>
      <c r="AV28" s="138">
        <v>0.35899999999999999</v>
      </c>
      <c r="AW28" s="138">
        <v>0.33</v>
      </c>
      <c r="AX28" s="138">
        <v>0.14000000000000001</v>
      </c>
      <c r="AY28">
        <v>9.4630000000000312</v>
      </c>
      <c r="AZ28" s="138">
        <f t="shared" si="3"/>
        <v>4.4645506481335078</v>
      </c>
      <c r="BA28" s="133" t="s">
        <v>85</v>
      </c>
      <c r="BD28" s="143" t="str">
        <f t="shared" si="4"/>
        <v>W10x17</v>
      </c>
      <c r="BE28">
        <v>10</v>
      </c>
      <c r="BF28" s="138">
        <v>17</v>
      </c>
      <c r="BG28" s="138">
        <v>10.11</v>
      </c>
      <c r="BH28" s="138">
        <v>0.24</v>
      </c>
      <c r="BI28" s="138">
        <v>4.01</v>
      </c>
      <c r="BJ28" s="138">
        <v>0.33</v>
      </c>
      <c r="BK28" s="138">
        <v>0.3</v>
      </c>
      <c r="BM28" s="133" t="s">
        <v>85</v>
      </c>
      <c r="BO28" s="150" t="s">
        <v>298</v>
      </c>
      <c r="BP28" s="138">
        <v>21.4</v>
      </c>
      <c r="BQ28" s="144">
        <v>8</v>
      </c>
      <c r="BR28" s="144">
        <v>0.37500000000000006</v>
      </c>
      <c r="BS28" s="144">
        <v>3.45</v>
      </c>
      <c r="BT28" s="144">
        <v>0.52500000000000002</v>
      </c>
      <c r="BU28" s="144">
        <v>0.53</v>
      </c>
      <c r="BV28" s="144">
        <v>0.3160500013570865</v>
      </c>
      <c r="BW28" s="138">
        <v>9.4629999999999992</v>
      </c>
      <c r="BX28" s="138">
        <v>1.0000000000000009E-3</v>
      </c>
      <c r="BY28" s="138">
        <v>5.5395186684126694</v>
      </c>
      <c r="BZ28" s="138">
        <v>1.2302406657936653</v>
      </c>
      <c r="CB28">
        <v>1.1875</v>
      </c>
      <c r="CC28">
        <v>5.625</v>
      </c>
      <c r="CD28" s="151" t="s">
        <v>85</v>
      </c>
      <c r="CF28" s="150" t="s">
        <v>298</v>
      </c>
      <c r="CG28">
        <v>1.1875</v>
      </c>
      <c r="CH28">
        <v>5.625</v>
      </c>
      <c r="CI28" s="151" t="s">
        <v>261</v>
      </c>
      <c r="DU28" s="220">
        <f t="shared" si="11"/>
        <v>552</v>
      </c>
      <c r="DV28" s="221">
        <v>46</v>
      </c>
      <c r="DW28" s="221">
        <v>8</v>
      </c>
      <c r="DX28" s="221">
        <v>62</v>
      </c>
      <c r="DY28" s="223">
        <f t="shared" si="104"/>
        <v>59</v>
      </c>
      <c r="DZ28" s="221">
        <v>310</v>
      </c>
      <c r="EA28" s="224" t="s">
        <v>261</v>
      </c>
      <c r="EH28" s="243">
        <v>28</v>
      </c>
      <c r="EI28" s="244">
        <v>336</v>
      </c>
      <c r="EJ28" s="90">
        <v>48</v>
      </c>
      <c r="EK28" s="90">
        <v>48</v>
      </c>
      <c r="EL28" s="90">
        <v>48</v>
      </c>
      <c r="EM28" s="90">
        <v>48</v>
      </c>
      <c r="EN28" s="90">
        <v>48</v>
      </c>
      <c r="EO28" s="90">
        <v>48</v>
      </c>
      <c r="EP28" s="90">
        <v>48</v>
      </c>
      <c r="EQ28" s="90" t="s">
        <v>1137</v>
      </c>
      <c r="ER28" s="90" t="s">
        <v>1137</v>
      </c>
      <c r="ES28" s="90" t="s">
        <v>1137</v>
      </c>
      <c r="ET28" s="90" t="s">
        <v>1137</v>
      </c>
      <c r="EU28" s="90" t="s">
        <v>1137</v>
      </c>
      <c r="EV28" s="90" t="s">
        <v>1137</v>
      </c>
      <c r="EW28" s="90" t="s">
        <v>1137</v>
      </c>
      <c r="EX28" s="90" t="s">
        <v>1137</v>
      </c>
      <c r="EY28" s="90" t="s">
        <v>1137</v>
      </c>
      <c r="EZ28" s="90"/>
      <c r="FA28" s="224">
        <v>6</v>
      </c>
      <c r="FB28" s="245">
        <f t="shared" si="12"/>
        <v>336</v>
      </c>
      <c r="FD28" s="237">
        <f t="shared" si="13"/>
        <v>28</v>
      </c>
      <c r="FE28" s="246">
        <f t="shared" si="13"/>
        <v>336</v>
      </c>
      <c r="FF28" s="247">
        <f t="shared" si="13"/>
        <v>48</v>
      </c>
      <c r="FG28" s="247">
        <f t="shared" si="13"/>
        <v>48</v>
      </c>
      <c r="FH28" s="247">
        <f t="shared" si="13"/>
        <v>48</v>
      </c>
      <c r="FI28" s="247">
        <f t="shared" si="13"/>
        <v>48</v>
      </c>
      <c r="FJ28" s="247">
        <f t="shared" si="13"/>
        <v>48</v>
      </c>
      <c r="FK28" s="247">
        <f t="shared" si="13"/>
        <v>48</v>
      </c>
      <c r="FL28" s="247">
        <f t="shared" si="13"/>
        <v>48</v>
      </c>
      <c r="FM28" s="247" t="str">
        <f t="shared" si="13"/>
        <v xml:space="preserve"> </v>
      </c>
      <c r="FN28" s="247" t="str">
        <f t="shared" si="13"/>
        <v xml:space="preserve"> </v>
      </c>
      <c r="FO28" s="247" t="str">
        <f t="shared" si="13"/>
        <v xml:space="preserve"> </v>
      </c>
      <c r="FP28" s="247" t="str">
        <f t="shared" si="13"/>
        <v xml:space="preserve"> </v>
      </c>
      <c r="FQ28" s="247" t="str">
        <f t="shared" si="13"/>
        <v xml:space="preserve"> </v>
      </c>
      <c r="FR28" s="247" t="str">
        <f t="shared" si="13"/>
        <v xml:space="preserve"> </v>
      </c>
      <c r="FS28" s="247" t="str">
        <f t="shared" si="13"/>
        <v xml:space="preserve"> </v>
      </c>
      <c r="FT28" s="247" t="str">
        <f t="shared" si="105"/>
        <v xml:space="preserve"> </v>
      </c>
      <c r="FU28" s="247" t="str">
        <f t="shared" si="105"/>
        <v xml:space="preserve"> </v>
      </c>
      <c r="FV28" s="247">
        <f t="shared" si="105"/>
        <v>0</v>
      </c>
      <c r="FW28" s="248">
        <f t="shared" si="105"/>
        <v>6</v>
      </c>
      <c r="FX28" s="241">
        <f t="shared" si="105"/>
        <v>336</v>
      </c>
      <c r="FZ28" s="249">
        <v>28</v>
      </c>
      <c r="GA28" s="244">
        <v>336</v>
      </c>
      <c r="GB28" s="90">
        <v>48</v>
      </c>
      <c r="GC28" s="90">
        <v>60</v>
      </c>
      <c r="GD28" s="90">
        <v>60</v>
      </c>
      <c r="GE28" s="90">
        <v>60</v>
      </c>
      <c r="GF28" s="90">
        <v>60</v>
      </c>
      <c r="GG28" s="90">
        <v>48</v>
      </c>
      <c r="GH28" s="90"/>
      <c r="GI28" s="90"/>
      <c r="GJ28" s="90"/>
      <c r="GK28" s="90" t="s">
        <v>1137</v>
      </c>
      <c r="GL28" s="90" t="s">
        <v>1137</v>
      </c>
      <c r="GM28" s="90" t="s">
        <v>1137</v>
      </c>
      <c r="GN28" s="90" t="s">
        <v>1137</v>
      </c>
      <c r="GO28" s="90" t="s">
        <v>1137</v>
      </c>
      <c r="GP28" s="90" t="s">
        <v>1137</v>
      </c>
      <c r="GQ28" s="90" t="s">
        <v>1137</v>
      </c>
      <c r="GR28" s="90"/>
      <c r="GS28" s="224">
        <v>5</v>
      </c>
      <c r="GT28" s="245">
        <f t="shared" si="14"/>
        <v>336</v>
      </c>
      <c r="GV28" s="237">
        <f t="shared" si="15"/>
        <v>28</v>
      </c>
      <c r="GW28" s="246">
        <f t="shared" si="15"/>
        <v>336</v>
      </c>
      <c r="GX28" s="247">
        <f t="shared" si="15"/>
        <v>48</v>
      </c>
      <c r="GY28" s="247">
        <f t="shared" si="15"/>
        <v>60</v>
      </c>
      <c r="GZ28" s="247">
        <f t="shared" si="15"/>
        <v>60</v>
      </c>
      <c r="HA28" s="247">
        <f t="shared" si="15"/>
        <v>60</v>
      </c>
      <c r="HB28" s="247">
        <f t="shared" si="15"/>
        <v>60</v>
      </c>
      <c r="HC28" s="247">
        <f t="shared" si="15"/>
        <v>48</v>
      </c>
      <c r="HD28" s="247">
        <f t="shared" si="15"/>
        <v>0</v>
      </c>
      <c r="HE28" s="247">
        <f t="shared" si="15"/>
        <v>0</v>
      </c>
      <c r="HF28" s="247">
        <f t="shared" si="15"/>
        <v>0</v>
      </c>
      <c r="HG28" s="247" t="str">
        <f t="shared" si="15"/>
        <v xml:space="preserve"> </v>
      </c>
      <c r="HH28" s="247" t="str">
        <f t="shared" si="15"/>
        <v xml:space="preserve"> </v>
      </c>
      <c r="HI28" s="247" t="str">
        <f t="shared" si="15"/>
        <v xml:space="preserve"> </v>
      </c>
      <c r="HJ28" s="247" t="str">
        <f t="shared" si="15"/>
        <v xml:space="preserve"> </v>
      </c>
      <c r="HK28" s="247" t="str">
        <f t="shared" si="15"/>
        <v xml:space="preserve"> </v>
      </c>
      <c r="HL28" s="247" t="str">
        <f t="shared" si="106"/>
        <v xml:space="preserve"> </v>
      </c>
      <c r="HM28" s="247" t="str">
        <f t="shared" si="10"/>
        <v xml:space="preserve"> </v>
      </c>
      <c r="HN28" s="247">
        <f t="shared" si="10"/>
        <v>0</v>
      </c>
      <c r="HO28" s="248">
        <f t="shared" si="10"/>
        <v>5</v>
      </c>
      <c r="HP28" s="241">
        <f t="shared" si="10"/>
        <v>336</v>
      </c>
      <c r="HR28" s="243">
        <v>28</v>
      </c>
      <c r="HS28" s="244">
        <v>336</v>
      </c>
      <c r="HT28" s="90">
        <v>60</v>
      </c>
      <c r="HU28" s="90">
        <v>72</v>
      </c>
      <c r="HV28" s="90">
        <v>72</v>
      </c>
      <c r="HW28" s="90">
        <v>72</v>
      </c>
      <c r="HX28" s="90">
        <v>60</v>
      </c>
      <c r="HY28" s="90"/>
      <c r="HZ28" s="90"/>
      <c r="IA28" s="90"/>
      <c r="IB28" s="90"/>
      <c r="IC28" s="90"/>
      <c r="ID28" s="90"/>
      <c r="IE28" s="90"/>
      <c r="IF28" s="90"/>
      <c r="IG28" s="90"/>
      <c r="IH28" s="90"/>
      <c r="II28" s="90"/>
      <c r="IJ28" s="90"/>
      <c r="IK28" s="224">
        <v>4</v>
      </c>
      <c r="IL28" s="245">
        <f t="shared" si="16"/>
        <v>336</v>
      </c>
      <c r="IN28" s="243">
        <v>28</v>
      </c>
      <c r="IO28" s="244">
        <v>336</v>
      </c>
      <c r="IP28" s="90">
        <v>84</v>
      </c>
      <c r="IQ28" s="90">
        <v>84</v>
      </c>
      <c r="IR28" s="90">
        <v>84</v>
      </c>
      <c r="IS28" s="90">
        <v>84</v>
      </c>
      <c r="IT28" s="90"/>
      <c r="IU28" s="90"/>
      <c r="IV28" s="90"/>
      <c r="IW28" s="90"/>
      <c r="IX28" s="90"/>
      <c r="IY28" s="90"/>
      <c r="IZ28" s="90"/>
      <c r="JA28" s="90"/>
      <c r="JB28" s="90"/>
      <c r="JC28" s="90"/>
      <c r="JD28" s="90"/>
      <c r="JE28" s="90"/>
      <c r="JF28" s="90"/>
      <c r="JG28" s="224">
        <v>3</v>
      </c>
      <c r="JH28" s="245">
        <f t="shared" si="17"/>
        <v>336</v>
      </c>
      <c r="JJ28" s="249">
        <v>28</v>
      </c>
      <c r="JK28" s="244">
        <v>336</v>
      </c>
      <c r="JL28" s="90">
        <v>72</v>
      </c>
      <c r="JM28" s="90">
        <v>96</v>
      </c>
      <c r="JN28" s="90">
        <v>96</v>
      </c>
      <c r="JO28" s="90">
        <v>72</v>
      </c>
      <c r="JP28" s="90"/>
      <c r="JQ28" s="90"/>
      <c r="JR28" s="90"/>
      <c r="JS28" s="90"/>
      <c r="JT28" s="90"/>
      <c r="JU28" s="90"/>
      <c r="JV28" s="90"/>
      <c r="JW28" s="90"/>
      <c r="JX28" s="90"/>
      <c r="JY28" s="90"/>
      <c r="JZ28" s="90"/>
      <c r="KA28" s="90"/>
      <c r="KB28" s="90"/>
      <c r="KC28" s="224">
        <v>3</v>
      </c>
      <c r="KD28" s="245">
        <f t="shared" si="18"/>
        <v>336</v>
      </c>
      <c r="KF28" s="243">
        <v>28</v>
      </c>
      <c r="KG28" s="244">
        <v>336</v>
      </c>
      <c r="KH28" s="90">
        <v>33</v>
      </c>
      <c r="KI28" s="90">
        <v>54</v>
      </c>
      <c r="KJ28" s="90">
        <v>54</v>
      </c>
      <c r="KK28" s="90">
        <v>54</v>
      </c>
      <c r="KL28" s="90">
        <v>54</v>
      </c>
      <c r="KM28" s="90">
        <v>54</v>
      </c>
      <c r="KN28" s="90">
        <v>33</v>
      </c>
      <c r="KO28" s="90"/>
      <c r="KP28" s="90"/>
      <c r="KQ28" s="90"/>
      <c r="KR28" s="90"/>
      <c r="KS28" s="90"/>
      <c r="KT28" s="90"/>
      <c r="KU28" s="90"/>
      <c r="KV28" s="90"/>
      <c r="KW28" s="90"/>
      <c r="KX28" s="90"/>
      <c r="KY28" s="224">
        <v>6</v>
      </c>
      <c r="KZ28" s="245">
        <f t="shared" si="19"/>
        <v>336</v>
      </c>
      <c r="LB28" s="237">
        <f t="shared" si="20"/>
        <v>28</v>
      </c>
      <c r="LC28" s="284">
        <f t="shared" si="21"/>
        <v>336</v>
      </c>
      <c r="LD28" s="237">
        <f t="shared" si="22"/>
        <v>33</v>
      </c>
      <c r="LE28" s="237">
        <f t="shared" si="23"/>
        <v>54</v>
      </c>
      <c r="LF28" s="237">
        <f t="shared" si="24"/>
        <v>54</v>
      </c>
      <c r="LG28" s="237">
        <f t="shared" si="25"/>
        <v>54</v>
      </c>
      <c r="LH28" s="237">
        <f t="shared" si="26"/>
        <v>54</v>
      </c>
      <c r="LI28" s="237">
        <f t="shared" si="27"/>
        <v>54</v>
      </c>
      <c r="LJ28" s="237">
        <f t="shared" si="28"/>
        <v>33</v>
      </c>
      <c r="LK28" s="237">
        <f t="shared" si="29"/>
        <v>0</v>
      </c>
      <c r="LL28" s="237">
        <f t="shared" si="30"/>
        <v>0</v>
      </c>
      <c r="LM28" s="237">
        <f t="shared" si="31"/>
        <v>0</v>
      </c>
      <c r="LN28" s="237">
        <f t="shared" si="32"/>
        <v>0</v>
      </c>
      <c r="LO28" s="237">
        <f t="shared" si="33"/>
        <v>0</v>
      </c>
      <c r="LP28" s="237">
        <f t="shared" si="34"/>
        <v>0</v>
      </c>
      <c r="LQ28" s="237">
        <f t="shared" si="35"/>
        <v>0</v>
      </c>
      <c r="LR28" s="237">
        <f t="shared" si="36"/>
        <v>0</v>
      </c>
      <c r="LS28" s="237">
        <f t="shared" si="37"/>
        <v>0</v>
      </c>
      <c r="LT28" s="237">
        <f t="shared" si="38"/>
        <v>0</v>
      </c>
      <c r="LU28" s="285">
        <f t="shared" si="39"/>
        <v>6</v>
      </c>
      <c r="LV28" s="280">
        <f t="shared" si="40"/>
        <v>336</v>
      </c>
      <c r="LX28" s="237">
        <f t="shared" si="41"/>
        <v>28</v>
      </c>
      <c r="LY28" s="284">
        <f t="shared" si="42"/>
        <v>336</v>
      </c>
      <c r="LZ28" s="237">
        <f t="shared" si="43"/>
        <v>33</v>
      </c>
      <c r="MA28" s="237">
        <f t="shared" si="44"/>
        <v>54</v>
      </c>
      <c r="MB28" s="237">
        <f t="shared" si="45"/>
        <v>54</v>
      </c>
      <c r="MC28" s="237">
        <f t="shared" si="46"/>
        <v>54</v>
      </c>
      <c r="MD28" s="237">
        <f t="shared" si="47"/>
        <v>54</v>
      </c>
      <c r="ME28" s="237">
        <f t="shared" si="48"/>
        <v>54</v>
      </c>
      <c r="MF28" s="237">
        <f t="shared" si="49"/>
        <v>33</v>
      </c>
      <c r="MG28" s="237">
        <f t="shared" si="50"/>
        <v>0</v>
      </c>
      <c r="MH28" s="237">
        <f t="shared" si="51"/>
        <v>0</v>
      </c>
      <c r="MI28" s="237">
        <f t="shared" si="52"/>
        <v>0</v>
      </c>
      <c r="MJ28" s="237">
        <f t="shared" si="53"/>
        <v>0</v>
      </c>
      <c r="MK28" s="237">
        <f t="shared" si="54"/>
        <v>0</v>
      </c>
      <c r="ML28" s="237">
        <f t="shared" si="55"/>
        <v>0</v>
      </c>
      <c r="MM28" s="237">
        <f t="shared" si="56"/>
        <v>0</v>
      </c>
      <c r="MN28" s="237">
        <f t="shared" si="57"/>
        <v>0</v>
      </c>
      <c r="MO28" s="237">
        <f t="shared" si="58"/>
        <v>0</v>
      </c>
      <c r="MP28" s="237">
        <f t="shared" si="59"/>
        <v>0</v>
      </c>
      <c r="MQ28" s="285">
        <f t="shared" si="60"/>
        <v>6</v>
      </c>
      <c r="MR28" s="280">
        <f t="shared" si="61"/>
        <v>336</v>
      </c>
      <c r="MT28" s="237">
        <f t="shared" si="62"/>
        <v>28</v>
      </c>
      <c r="MU28" s="284">
        <f t="shared" si="63"/>
        <v>336</v>
      </c>
      <c r="MV28" s="237">
        <f t="shared" si="64"/>
        <v>33</v>
      </c>
      <c r="MW28" s="237">
        <f t="shared" si="65"/>
        <v>54</v>
      </c>
      <c r="MX28" s="237">
        <f t="shared" si="66"/>
        <v>54</v>
      </c>
      <c r="MY28" s="237">
        <f t="shared" si="67"/>
        <v>54</v>
      </c>
      <c r="MZ28" s="237">
        <f t="shared" si="68"/>
        <v>54</v>
      </c>
      <c r="NA28" s="237">
        <f t="shared" si="69"/>
        <v>54</v>
      </c>
      <c r="NB28" s="237">
        <f t="shared" si="70"/>
        <v>33</v>
      </c>
      <c r="NC28" s="237">
        <f t="shared" si="71"/>
        <v>0</v>
      </c>
      <c r="ND28" s="237">
        <f t="shared" si="72"/>
        <v>0</v>
      </c>
      <c r="NE28" s="237">
        <f t="shared" si="73"/>
        <v>0</v>
      </c>
      <c r="NF28" s="237">
        <f t="shared" si="74"/>
        <v>0</v>
      </c>
      <c r="NG28" s="237">
        <f t="shared" si="75"/>
        <v>0</v>
      </c>
      <c r="NH28" s="237">
        <f t="shared" si="76"/>
        <v>0</v>
      </c>
      <c r="NI28" s="237">
        <f t="shared" si="77"/>
        <v>0</v>
      </c>
      <c r="NJ28" s="237">
        <f t="shared" si="78"/>
        <v>0</v>
      </c>
      <c r="NK28" s="237">
        <f t="shared" si="79"/>
        <v>0</v>
      </c>
      <c r="NL28" s="237">
        <f t="shared" si="80"/>
        <v>0</v>
      </c>
      <c r="NM28" s="285">
        <f t="shared" si="81"/>
        <v>6</v>
      </c>
      <c r="NN28" s="280">
        <f t="shared" si="82"/>
        <v>336</v>
      </c>
      <c r="NP28" s="237">
        <f t="shared" si="83"/>
        <v>28</v>
      </c>
      <c r="NQ28" s="284">
        <f t="shared" si="84"/>
        <v>336</v>
      </c>
      <c r="NR28" s="237">
        <f t="shared" si="85"/>
        <v>33</v>
      </c>
      <c r="NS28" s="237">
        <f t="shared" si="86"/>
        <v>54</v>
      </c>
      <c r="NT28" s="237">
        <f t="shared" si="87"/>
        <v>54</v>
      </c>
      <c r="NU28" s="237">
        <f t="shared" si="88"/>
        <v>54</v>
      </c>
      <c r="NV28" s="237">
        <f t="shared" si="89"/>
        <v>54</v>
      </c>
      <c r="NW28" s="237">
        <f t="shared" si="90"/>
        <v>54</v>
      </c>
      <c r="NX28" s="237">
        <f t="shared" si="91"/>
        <v>33</v>
      </c>
      <c r="NY28" s="237">
        <f t="shared" si="92"/>
        <v>0</v>
      </c>
      <c r="NZ28" s="237">
        <f t="shared" si="93"/>
        <v>0</v>
      </c>
      <c r="OA28" s="237">
        <f t="shared" si="94"/>
        <v>0</v>
      </c>
      <c r="OB28" s="237">
        <f t="shared" si="95"/>
        <v>0</v>
      </c>
      <c r="OC28" s="237">
        <f t="shared" si="96"/>
        <v>0</v>
      </c>
      <c r="OD28" s="237">
        <f t="shared" si="97"/>
        <v>0</v>
      </c>
      <c r="OE28" s="237">
        <f t="shared" si="98"/>
        <v>0</v>
      </c>
      <c r="OF28" s="237">
        <f t="shared" si="99"/>
        <v>0</v>
      </c>
      <c r="OG28" s="237">
        <f t="shared" si="100"/>
        <v>0</v>
      </c>
      <c r="OH28" s="237">
        <f t="shared" si="101"/>
        <v>0</v>
      </c>
      <c r="OI28" s="285">
        <f t="shared" si="102"/>
        <v>6</v>
      </c>
      <c r="OJ28" s="280">
        <f t="shared" si="103"/>
        <v>336</v>
      </c>
    </row>
    <row r="29" spans="12:400" x14ac:dyDescent="0.3">
      <c r="L29" s="127" t="str">
        <f t="shared" si="5"/>
        <v>C4x7.25</v>
      </c>
      <c r="M29" s="138">
        <v>7.25</v>
      </c>
      <c r="N29" s="138">
        <v>2.13</v>
      </c>
      <c r="O29" s="138">
        <v>4</v>
      </c>
      <c r="P29" s="138">
        <v>0.32100000000000001</v>
      </c>
      <c r="Q29" s="138">
        <v>1.7210000000000001</v>
      </c>
      <c r="R29" s="138">
        <v>0.29599999999999999</v>
      </c>
      <c r="S29" s="138">
        <v>0.28000000000000003</v>
      </c>
      <c r="T29" s="138">
        <v>0.11</v>
      </c>
      <c r="U29">
        <v>9.4629999999999992</v>
      </c>
      <c r="V29" s="138">
        <f t="shared" si="6"/>
        <v>8.614196030631148E-2</v>
      </c>
      <c r="W29" s="139">
        <f t="shared" si="7"/>
        <v>7.25</v>
      </c>
      <c r="X29" s="140" t="s">
        <v>79</v>
      </c>
      <c r="Y29" s="141">
        <v>0.75</v>
      </c>
      <c r="Z29" s="141">
        <v>2.5</v>
      </c>
      <c r="AA29" s="133" t="s">
        <v>85</v>
      </c>
      <c r="AE29" s="127" t="str">
        <f t="shared" si="0"/>
        <v>L2.5x2.5x0.3125</v>
      </c>
      <c r="AF29" s="138">
        <v>2.5</v>
      </c>
      <c r="AG29" s="138">
        <v>2.5</v>
      </c>
      <c r="AH29" s="138">
        <v>0.3125</v>
      </c>
      <c r="AI29" s="138">
        <v>0.18750000000000003</v>
      </c>
      <c r="AJ29" s="138">
        <v>0.18750000000000003</v>
      </c>
      <c r="AK29">
        <f t="shared" si="1"/>
        <v>0.12519999999999998</v>
      </c>
      <c r="AM29" s="133" t="s">
        <v>85</v>
      </c>
      <c r="AP29" s="127" t="str">
        <f t="shared" si="2"/>
        <v>S5x14.75</v>
      </c>
      <c r="AQ29">
        <v>5</v>
      </c>
      <c r="AR29" s="138">
        <v>14.75</v>
      </c>
      <c r="AS29" s="138">
        <v>5</v>
      </c>
      <c r="AT29" s="138">
        <v>0.49399999999999999</v>
      </c>
      <c r="AU29" s="138">
        <v>3.2839999999999998</v>
      </c>
      <c r="AV29" s="138">
        <v>0.32600000000000001</v>
      </c>
      <c r="AW29" s="138">
        <v>0.31</v>
      </c>
      <c r="AX29" s="138">
        <v>0.13</v>
      </c>
      <c r="AY29">
        <v>9.4630000000000312</v>
      </c>
      <c r="AZ29" s="138">
        <f t="shared" si="3"/>
        <v>3.5902705431681339</v>
      </c>
      <c r="BA29" s="133" t="s">
        <v>85</v>
      </c>
      <c r="BD29" s="143" t="str">
        <f t="shared" si="4"/>
        <v>W10x19</v>
      </c>
      <c r="BE29">
        <v>10</v>
      </c>
      <c r="BF29" s="138">
        <v>19</v>
      </c>
      <c r="BG29" s="138">
        <v>10.24</v>
      </c>
      <c r="BH29" s="138">
        <v>0.25</v>
      </c>
      <c r="BI29" s="138">
        <v>4.0199999999999996</v>
      </c>
      <c r="BJ29" s="138">
        <v>0.39500000000000002</v>
      </c>
      <c r="BK29" s="138">
        <v>0.3</v>
      </c>
      <c r="BM29" s="133" t="s">
        <v>85</v>
      </c>
      <c r="BO29" s="150" t="s">
        <v>299</v>
      </c>
      <c r="BP29" s="138">
        <v>20</v>
      </c>
      <c r="BQ29" s="144">
        <v>8</v>
      </c>
      <c r="BR29" s="144">
        <v>0.4</v>
      </c>
      <c r="BS29" s="144">
        <v>3.0249999999999999</v>
      </c>
      <c r="BT29" s="144">
        <v>0.5</v>
      </c>
      <c r="BU29" s="144">
        <v>0.5</v>
      </c>
      <c r="BV29" s="144">
        <v>0.33080916293441093</v>
      </c>
      <c r="BW29" s="138">
        <v>9.4629999999999992</v>
      </c>
      <c r="BX29" s="138">
        <v>9.9999999999969558E-4</v>
      </c>
      <c r="BY29" s="138">
        <v>5.7153511554058554</v>
      </c>
      <c r="BZ29" s="138">
        <v>1.1423244222970723</v>
      </c>
      <c r="CB29">
        <v>1.125</v>
      </c>
      <c r="CC29">
        <v>5.75</v>
      </c>
      <c r="CD29" s="151" t="s">
        <v>85</v>
      </c>
      <c r="CF29" s="150" t="s">
        <v>299</v>
      </c>
      <c r="CG29">
        <v>1.125</v>
      </c>
      <c r="CH29">
        <v>5.75</v>
      </c>
      <c r="CI29" s="151" t="s">
        <v>261</v>
      </c>
      <c r="DU29" s="220">
        <f t="shared" si="11"/>
        <v>576</v>
      </c>
      <c r="DV29" s="221">
        <v>48</v>
      </c>
      <c r="DW29" s="221">
        <v>8</v>
      </c>
      <c r="DX29" s="221">
        <v>64</v>
      </c>
      <c r="DY29" s="223">
        <f t="shared" si="104"/>
        <v>64</v>
      </c>
      <c r="DZ29" s="221">
        <v>320</v>
      </c>
      <c r="EA29" s="224" t="s">
        <v>261</v>
      </c>
      <c r="EH29" s="232">
        <v>29</v>
      </c>
      <c r="EI29" s="256">
        <v>348</v>
      </c>
      <c r="EJ29" s="257">
        <v>30</v>
      </c>
      <c r="EK29" s="257">
        <v>48</v>
      </c>
      <c r="EL29" s="257">
        <v>48</v>
      </c>
      <c r="EM29" s="257">
        <v>48</v>
      </c>
      <c r="EN29" s="257">
        <v>48</v>
      </c>
      <c r="EO29" s="257">
        <v>48</v>
      </c>
      <c r="EP29" s="257">
        <v>48</v>
      </c>
      <c r="EQ29" s="257">
        <v>30</v>
      </c>
      <c r="ER29" s="257" t="s">
        <v>1137</v>
      </c>
      <c r="ES29" s="257" t="s">
        <v>1137</v>
      </c>
      <c r="ET29" s="257" t="s">
        <v>1137</v>
      </c>
      <c r="EU29" s="257" t="s">
        <v>1137</v>
      </c>
      <c r="EV29" s="257" t="s">
        <v>1137</v>
      </c>
      <c r="EW29" s="257" t="s">
        <v>1137</v>
      </c>
      <c r="EX29" s="257" t="s">
        <v>1137</v>
      </c>
      <c r="EY29" s="257" t="s">
        <v>1137</v>
      </c>
      <c r="EZ29" s="257"/>
      <c r="FA29" s="258">
        <v>7</v>
      </c>
      <c r="FB29" s="236">
        <f t="shared" si="12"/>
        <v>348</v>
      </c>
      <c r="FD29" s="237">
        <f t="shared" si="13"/>
        <v>29</v>
      </c>
      <c r="FE29" s="246">
        <f t="shared" si="13"/>
        <v>348</v>
      </c>
      <c r="FF29" s="247">
        <f t="shared" si="13"/>
        <v>30</v>
      </c>
      <c r="FG29" s="247">
        <f t="shared" si="13"/>
        <v>48</v>
      </c>
      <c r="FH29" s="247">
        <f t="shared" si="13"/>
        <v>48</v>
      </c>
      <c r="FI29" s="247">
        <f t="shared" si="13"/>
        <v>48</v>
      </c>
      <c r="FJ29" s="247">
        <f t="shared" si="13"/>
        <v>48</v>
      </c>
      <c r="FK29" s="247">
        <f t="shared" si="13"/>
        <v>48</v>
      </c>
      <c r="FL29" s="247">
        <f t="shared" si="13"/>
        <v>48</v>
      </c>
      <c r="FM29" s="247">
        <f t="shared" si="13"/>
        <v>30</v>
      </c>
      <c r="FN29" s="247" t="str">
        <f t="shared" si="13"/>
        <v xml:space="preserve"> </v>
      </c>
      <c r="FO29" s="247" t="str">
        <f t="shared" si="13"/>
        <v xml:space="preserve"> </v>
      </c>
      <c r="FP29" s="247" t="str">
        <f t="shared" si="13"/>
        <v xml:space="preserve"> </v>
      </c>
      <c r="FQ29" s="247" t="str">
        <f t="shared" si="13"/>
        <v xml:space="preserve"> </v>
      </c>
      <c r="FR29" s="247" t="str">
        <f t="shared" si="13"/>
        <v xml:space="preserve"> </v>
      </c>
      <c r="FS29" s="247" t="str">
        <f t="shared" si="13"/>
        <v xml:space="preserve"> </v>
      </c>
      <c r="FT29" s="247" t="str">
        <f t="shared" si="105"/>
        <v xml:space="preserve"> </v>
      </c>
      <c r="FU29" s="247" t="str">
        <f t="shared" si="105"/>
        <v xml:space="preserve"> </v>
      </c>
      <c r="FV29" s="247">
        <f t="shared" si="105"/>
        <v>0</v>
      </c>
      <c r="FW29" s="248">
        <f t="shared" si="105"/>
        <v>7</v>
      </c>
      <c r="FX29" s="241">
        <f t="shared" si="105"/>
        <v>348</v>
      </c>
      <c r="FZ29" s="242">
        <v>29</v>
      </c>
      <c r="GA29" s="256">
        <v>348</v>
      </c>
      <c r="GB29" s="257">
        <v>54</v>
      </c>
      <c r="GC29" s="257">
        <v>60</v>
      </c>
      <c r="GD29" s="257">
        <v>60</v>
      </c>
      <c r="GE29" s="257">
        <v>60</v>
      </c>
      <c r="GF29" s="257">
        <v>60</v>
      </c>
      <c r="GG29" s="257">
        <v>54</v>
      </c>
      <c r="GH29" s="257"/>
      <c r="GI29" s="257"/>
      <c r="GJ29" s="257"/>
      <c r="GK29" s="257" t="s">
        <v>1137</v>
      </c>
      <c r="GL29" s="257" t="s">
        <v>1137</v>
      </c>
      <c r="GM29" s="257" t="s">
        <v>1137</v>
      </c>
      <c r="GN29" s="257" t="s">
        <v>1137</v>
      </c>
      <c r="GO29" s="257" t="s">
        <v>1137</v>
      </c>
      <c r="GP29" s="257" t="s">
        <v>1137</v>
      </c>
      <c r="GQ29" s="257" t="s">
        <v>1137</v>
      </c>
      <c r="GR29" s="257"/>
      <c r="GS29" s="258">
        <v>5</v>
      </c>
      <c r="GT29" s="236">
        <f t="shared" si="14"/>
        <v>348</v>
      </c>
      <c r="GV29" s="237">
        <f t="shared" si="15"/>
        <v>29</v>
      </c>
      <c r="GW29" s="246">
        <f t="shared" si="15"/>
        <v>348</v>
      </c>
      <c r="GX29" s="247">
        <f t="shared" si="15"/>
        <v>54</v>
      </c>
      <c r="GY29" s="247">
        <f t="shared" si="15"/>
        <v>60</v>
      </c>
      <c r="GZ29" s="247">
        <f t="shared" si="15"/>
        <v>60</v>
      </c>
      <c r="HA29" s="247">
        <f t="shared" si="15"/>
        <v>60</v>
      </c>
      <c r="HB29" s="247">
        <f t="shared" si="15"/>
        <v>60</v>
      </c>
      <c r="HC29" s="247">
        <f t="shared" si="15"/>
        <v>54</v>
      </c>
      <c r="HD29" s="247">
        <f t="shared" si="15"/>
        <v>0</v>
      </c>
      <c r="HE29" s="247">
        <f t="shared" si="15"/>
        <v>0</v>
      </c>
      <c r="HF29" s="247">
        <f t="shared" si="15"/>
        <v>0</v>
      </c>
      <c r="HG29" s="247" t="str">
        <f t="shared" si="15"/>
        <v xml:space="preserve"> </v>
      </c>
      <c r="HH29" s="247" t="str">
        <f t="shared" si="15"/>
        <v xml:space="preserve"> </v>
      </c>
      <c r="HI29" s="247" t="str">
        <f t="shared" si="15"/>
        <v xml:space="preserve"> </v>
      </c>
      <c r="HJ29" s="247" t="str">
        <f t="shared" si="15"/>
        <v xml:space="preserve"> </v>
      </c>
      <c r="HK29" s="247" t="str">
        <f t="shared" si="15"/>
        <v xml:space="preserve"> </v>
      </c>
      <c r="HL29" s="247" t="str">
        <f t="shared" si="106"/>
        <v xml:space="preserve"> </v>
      </c>
      <c r="HM29" s="247" t="str">
        <f t="shared" si="10"/>
        <v xml:space="preserve"> </v>
      </c>
      <c r="HN29" s="247">
        <f t="shared" si="10"/>
        <v>0</v>
      </c>
      <c r="HO29" s="248">
        <f t="shared" si="10"/>
        <v>5</v>
      </c>
      <c r="HP29" s="241">
        <f t="shared" si="10"/>
        <v>348</v>
      </c>
      <c r="HR29" s="232">
        <v>29</v>
      </c>
      <c r="HS29" s="256">
        <v>348</v>
      </c>
      <c r="HT29" s="257">
        <v>66</v>
      </c>
      <c r="HU29" s="257">
        <v>72</v>
      </c>
      <c r="HV29" s="257">
        <v>72</v>
      </c>
      <c r="HW29" s="257">
        <v>72</v>
      </c>
      <c r="HX29" s="257">
        <v>66</v>
      </c>
      <c r="HY29" s="257"/>
      <c r="HZ29" s="257"/>
      <c r="IA29" s="257"/>
      <c r="IB29" s="257"/>
      <c r="IC29" s="257"/>
      <c r="ID29" s="257"/>
      <c r="IE29" s="257"/>
      <c r="IF29" s="257"/>
      <c r="IG29" s="257"/>
      <c r="IH29" s="257"/>
      <c r="II29" s="257"/>
      <c r="IJ29" s="257"/>
      <c r="IK29" s="258">
        <v>4</v>
      </c>
      <c r="IL29" s="236">
        <f t="shared" si="16"/>
        <v>348</v>
      </c>
      <c r="IN29" s="232">
        <v>29</v>
      </c>
      <c r="IO29" s="256">
        <v>348</v>
      </c>
      <c r="IP29" s="257">
        <v>48</v>
      </c>
      <c r="IQ29" s="257">
        <v>84</v>
      </c>
      <c r="IR29" s="257">
        <v>84</v>
      </c>
      <c r="IS29" s="257">
        <v>84</v>
      </c>
      <c r="IT29" s="257">
        <v>48</v>
      </c>
      <c r="IU29" s="257"/>
      <c r="IV29" s="257"/>
      <c r="IW29" s="257"/>
      <c r="IX29" s="257"/>
      <c r="IY29" s="257"/>
      <c r="IZ29" s="257"/>
      <c r="JA29" s="257"/>
      <c r="JB29" s="257"/>
      <c r="JC29" s="257"/>
      <c r="JD29" s="257"/>
      <c r="JE29" s="257"/>
      <c r="JF29" s="257"/>
      <c r="JG29" s="258">
        <v>4</v>
      </c>
      <c r="JH29" s="236">
        <f t="shared" si="17"/>
        <v>348</v>
      </c>
      <c r="JJ29" s="242">
        <v>29</v>
      </c>
      <c r="JK29" s="256">
        <v>348</v>
      </c>
      <c r="JL29" s="257">
        <v>78</v>
      </c>
      <c r="JM29" s="257">
        <v>96</v>
      </c>
      <c r="JN29" s="257">
        <v>96</v>
      </c>
      <c r="JO29" s="257">
        <v>78</v>
      </c>
      <c r="JP29" s="257"/>
      <c r="JQ29" s="257"/>
      <c r="JR29" s="257"/>
      <c r="JS29" s="257"/>
      <c r="JT29" s="257"/>
      <c r="JU29" s="257"/>
      <c r="JV29" s="257"/>
      <c r="JW29" s="257"/>
      <c r="JX29" s="257"/>
      <c r="JY29" s="257"/>
      <c r="JZ29" s="257"/>
      <c r="KA29" s="257"/>
      <c r="KB29" s="257"/>
      <c r="KC29" s="258">
        <v>3</v>
      </c>
      <c r="KD29" s="236">
        <f t="shared" si="18"/>
        <v>348</v>
      </c>
      <c r="KF29" s="232">
        <v>29</v>
      </c>
      <c r="KG29" s="256">
        <v>348</v>
      </c>
      <c r="KH29" s="257">
        <v>39</v>
      </c>
      <c r="KI29" s="257">
        <v>54</v>
      </c>
      <c r="KJ29" s="257">
        <v>54</v>
      </c>
      <c r="KK29" s="257">
        <v>54</v>
      </c>
      <c r="KL29" s="257">
        <v>54</v>
      </c>
      <c r="KM29" s="257">
        <v>54</v>
      </c>
      <c r="KN29" s="257">
        <v>39</v>
      </c>
      <c r="KO29" s="257"/>
      <c r="KP29" s="257"/>
      <c r="KQ29" s="257"/>
      <c r="KR29" s="257"/>
      <c r="KS29" s="257"/>
      <c r="KT29" s="257"/>
      <c r="KU29" s="257"/>
      <c r="KV29" s="257"/>
      <c r="KW29" s="257"/>
      <c r="KX29" s="257"/>
      <c r="KY29" s="258">
        <v>6</v>
      </c>
      <c r="KZ29" s="236">
        <f t="shared" si="19"/>
        <v>348</v>
      </c>
      <c r="LB29" s="237">
        <f t="shared" si="20"/>
        <v>29</v>
      </c>
      <c r="LC29" s="284">
        <f t="shared" si="21"/>
        <v>348</v>
      </c>
      <c r="LD29" s="237">
        <f t="shared" si="22"/>
        <v>39</v>
      </c>
      <c r="LE29" s="237">
        <f t="shared" si="23"/>
        <v>54</v>
      </c>
      <c r="LF29" s="237">
        <f t="shared" si="24"/>
        <v>54</v>
      </c>
      <c r="LG29" s="237">
        <f t="shared" si="25"/>
        <v>54</v>
      </c>
      <c r="LH29" s="237">
        <f t="shared" si="26"/>
        <v>54</v>
      </c>
      <c r="LI29" s="237">
        <f t="shared" si="27"/>
        <v>54</v>
      </c>
      <c r="LJ29" s="237">
        <f t="shared" si="28"/>
        <v>39</v>
      </c>
      <c r="LK29" s="237">
        <f t="shared" si="29"/>
        <v>0</v>
      </c>
      <c r="LL29" s="237">
        <f t="shared" si="30"/>
        <v>0</v>
      </c>
      <c r="LM29" s="237">
        <f t="shared" si="31"/>
        <v>0</v>
      </c>
      <c r="LN29" s="237">
        <f t="shared" si="32"/>
        <v>0</v>
      </c>
      <c r="LO29" s="237">
        <f t="shared" si="33"/>
        <v>0</v>
      </c>
      <c r="LP29" s="237">
        <f t="shared" si="34"/>
        <v>0</v>
      </c>
      <c r="LQ29" s="237">
        <f t="shared" si="35"/>
        <v>0</v>
      </c>
      <c r="LR29" s="237">
        <f t="shared" si="36"/>
        <v>0</v>
      </c>
      <c r="LS29" s="237">
        <f t="shared" si="37"/>
        <v>0</v>
      </c>
      <c r="LT29" s="237">
        <f t="shared" si="38"/>
        <v>0</v>
      </c>
      <c r="LU29" s="285">
        <f t="shared" si="39"/>
        <v>6</v>
      </c>
      <c r="LV29" s="280">
        <f t="shared" si="40"/>
        <v>348</v>
      </c>
      <c r="LX29" s="237">
        <f t="shared" si="41"/>
        <v>29</v>
      </c>
      <c r="LY29" s="284">
        <f t="shared" si="42"/>
        <v>348</v>
      </c>
      <c r="LZ29" s="237">
        <f t="shared" si="43"/>
        <v>39</v>
      </c>
      <c r="MA29" s="237">
        <f t="shared" si="44"/>
        <v>54</v>
      </c>
      <c r="MB29" s="237">
        <f t="shared" si="45"/>
        <v>54</v>
      </c>
      <c r="MC29" s="237">
        <f t="shared" si="46"/>
        <v>54</v>
      </c>
      <c r="MD29" s="237">
        <f t="shared" si="47"/>
        <v>54</v>
      </c>
      <c r="ME29" s="237">
        <f t="shared" si="48"/>
        <v>54</v>
      </c>
      <c r="MF29" s="237">
        <f t="shared" si="49"/>
        <v>39</v>
      </c>
      <c r="MG29" s="237">
        <f t="shared" si="50"/>
        <v>0</v>
      </c>
      <c r="MH29" s="237">
        <f t="shared" si="51"/>
        <v>0</v>
      </c>
      <c r="MI29" s="237">
        <f t="shared" si="52"/>
        <v>0</v>
      </c>
      <c r="MJ29" s="237">
        <f t="shared" si="53"/>
        <v>0</v>
      </c>
      <c r="MK29" s="237">
        <f t="shared" si="54"/>
        <v>0</v>
      </c>
      <c r="ML29" s="237">
        <f t="shared" si="55"/>
        <v>0</v>
      </c>
      <c r="MM29" s="237">
        <f t="shared" si="56"/>
        <v>0</v>
      </c>
      <c r="MN29" s="237">
        <f t="shared" si="57"/>
        <v>0</v>
      </c>
      <c r="MO29" s="237">
        <f t="shared" si="58"/>
        <v>0</v>
      </c>
      <c r="MP29" s="237">
        <f t="shared" si="59"/>
        <v>0</v>
      </c>
      <c r="MQ29" s="285">
        <f t="shared" si="60"/>
        <v>6</v>
      </c>
      <c r="MR29" s="280">
        <f t="shared" si="61"/>
        <v>348</v>
      </c>
      <c r="MT29" s="237">
        <f t="shared" si="62"/>
        <v>29</v>
      </c>
      <c r="MU29" s="284">
        <f t="shared" si="63"/>
        <v>348</v>
      </c>
      <c r="MV29" s="237">
        <f t="shared" si="64"/>
        <v>39</v>
      </c>
      <c r="MW29" s="237">
        <f t="shared" si="65"/>
        <v>54</v>
      </c>
      <c r="MX29" s="237">
        <f t="shared" si="66"/>
        <v>54</v>
      </c>
      <c r="MY29" s="237">
        <f t="shared" si="67"/>
        <v>54</v>
      </c>
      <c r="MZ29" s="237">
        <f t="shared" si="68"/>
        <v>54</v>
      </c>
      <c r="NA29" s="237">
        <f t="shared" si="69"/>
        <v>54</v>
      </c>
      <c r="NB29" s="237">
        <f t="shared" si="70"/>
        <v>39</v>
      </c>
      <c r="NC29" s="237">
        <f t="shared" si="71"/>
        <v>0</v>
      </c>
      <c r="ND29" s="237">
        <f t="shared" si="72"/>
        <v>0</v>
      </c>
      <c r="NE29" s="237">
        <f t="shared" si="73"/>
        <v>0</v>
      </c>
      <c r="NF29" s="237">
        <f t="shared" si="74"/>
        <v>0</v>
      </c>
      <c r="NG29" s="237">
        <f t="shared" si="75"/>
        <v>0</v>
      </c>
      <c r="NH29" s="237">
        <f t="shared" si="76"/>
        <v>0</v>
      </c>
      <c r="NI29" s="237">
        <f t="shared" si="77"/>
        <v>0</v>
      </c>
      <c r="NJ29" s="237">
        <f t="shared" si="78"/>
        <v>0</v>
      </c>
      <c r="NK29" s="237">
        <f t="shared" si="79"/>
        <v>0</v>
      </c>
      <c r="NL29" s="237">
        <f t="shared" si="80"/>
        <v>0</v>
      </c>
      <c r="NM29" s="285">
        <f t="shared" si="81"/>
        <v>6</v>
      </c>
      <c r="NN29" s="280">
        <f t="shared" si="82"/>
        <v>348</v>
      </c>
      <c r="NP29" s="237">
        <f t="shared" si="83"/>
        <v>29</v>
      </c>
      <c r="NQ29" s="284">
        <f t="shared" si="84"/>
        <v>348</v>
      </c>
      <c r="NR29" s="237">
        <f t="shared" si="85"/>
        <v>39</v>
      </c>
      <c r="NS29" s="237">
        <f t="shared" si="86"/>
        <v>54</v>
      </c>
      <c r="NT29" s="237">
        <f t="shared" si="87"/>
        <v>54</v>
      </c>
      <c r="NU29" s="237">
        <f t="shared" si="88"/>
        <v>54</v>
      </c>
      <c r="NV29" s="237">
        <f t="shared" si="89"/>
        <v>54</v>
      </c>
      <c r="NW29" s="237">
        <f t="shared" si="90"/>
        <v>54</v>
      </c>
      <c r="NX29" s="237">
        <f t="shared" si="91"/>
        <v>39</v>
      </c>
      <c r="NY29" s="237">
        <f t="shared" si="92"/>
        <v>0</v>
      </c>
      <c r="NZ29" s="237">
        <f t="shared" si="93"/>
        <v>0</v>
      </c>
      <c r="OA29" s="237">
        <f t="shared" si="94"/>
        <v>0</v>
      </c>
      <c r="OB29" s="237">
        <f t="shared" si="95"/>
        <v>0</v>
      </c>
      <c r="OC29" s="237">
        <f t="shared" si="96"/>
        <v>0</v>
      </c>
      <c r="OD29" s="237">
        <f t="shared" si="97"/>
        <v>0</v>
      </c>
      <c r="OE29" s="237">
        <f t="shared" si="98"/>
        <v>0</v>
      </c>
      <c r="OF29" s="237">
        <f t="shared" si="99"/>
        <v>0</v>
      </c>
      <c r="OG29" s="237">
        <f t="shared" si="100"/>
        <v>0</v>
      </c>
      <c r="OH29" s="237">
        <f t="shared" si="101"/>
        <v>0</v>
      </c>
      <c r="OI29" s="285">
        <f t="shared" si="102"/>
        <v>6</v>
      </c>
      <c r="OJ29" s="280">
        <f t="shared" si="103"/>
        <v>348</v>
      </c>
    </row>
    <row r="30" spans="12:400" x14ac:dyDescent="0.3">
      <c r="L30" s="127" t="str">
        <f t="shared" si="5"/>
        <v>C4x5.4</v>
      </c>
      <c r="M30" s="138">
        <v>5.4</v>
      </c>
      <c r="N30" s="138">
        <v>1.59</v>
      </c>
      <c r="O30" s="138">
        <v>4</v>
      </c>
      <c r="P30" s="138">
        <v>0.184</v>
      </c>
      <c r="Q30" s="138">
        <v>1.5840000000000001</v>
      </c>
      <c r="R30" s="138">
        <v>0.29599999999999999</v>
      </c>
      <c r="S30" s="138">
        <v>0.28000000000000003</v>
      </c>
      <c r="T30" s="138">
        <v>0.11</v>
      </c>
      <c r="U30">
        <v>9.4629999999999992</v>
      </c>
      <c r="V30" s="138">
        <f t="shared" si="6"/>
        <v>8.614196030631148E-2</v>
      </c>
      <c r="W30" s="139">
        <f t="shared" si="7"/>
        <v>5.4</v>
      </c>
      <c r="X30" s="140" t="s">
        <v>80</v>
      </c>
      <c r="Y30" s="141">
        <v>0.75</v>
      </c>
      <c r="Z30" s="141">
        <v>2.5</v>
      </c>
      <c r="AA30" s="133" t="s">
        <v>85</v>
      </c>
      <c r="AE30" s="127" t="str">
        <f t="shared" si="0"/>
        <v>L2.5x2.5x0.375</v>
      </c>
      <c r="AF30" s="138">
        <v>2.5</v>
      </c>
      <c r="AG30" s="138">
        <v>2.5</v>
      </c>
      <c r="AH30" s="138">
        <v>0.37500000000000006</v>
      </c>
      <c r="AI30" s="138">
        <v>0.18750000000000003</v>
      </c>
      <c r="AJ30" s="138">
        <v>0.18750000000000003</v>
      </c>
      <c r="AK30">
        <f t="shared" si="1"/>
        <v>0.18770000000000003</v>
      </c>
      <c r="AM30" s="133" t="s">
        <v>85</v>
      </c>
      <c r="AP30" s="127" t="str">
        <f t="shared" si="2"/>
        <v>S5x10</v>
      </c>
      <c r="AQ30">
        <v>5</v>
      </c>
      <c r="AR30" s="138">
        <v>10</v>
      </c>
      <c r="AS30" s="138">
        <v>5</v>
      </c>
      <c r="AT30" s="138">
        <v>0.214</v>
      </c>
      <c r="AU30" s="138">
        <v>3.004</v>
      </c>
      <c r="AV30" s="138">
        <v>0.32600000000000001</v>
      </c>
      <c r="AW30" s="138">
        <v>0.31</v>
      </c>
      <c r="AX30" s="138">
        <v>0.13</v>
      </c>
      <c r="AY30">
        <v>9.4630000000000312</v>
      </c>
      <c r="AZ30" s="138">
        <f t="shared" si="3"/>
        <v>3.5902705431681339</v>
      </c>
      <c r="BA30" s="133" t="s">
        <v>85</v>
      </c>
      <c r="BD30" s="143" t="str">
        <f t="shared" si="4"/>
        <v>W10x22</v>
      </c>
      <c r="BE30">
        <v>10</v>
      </c>
      <c r="BF30" s="138">
        <v>22</v>
      </c>
      <c r="BG30" s="138">
        <v>10.17</v>
      </c>
      <c r="BH30" s="138">
        <v>0.24</v>
      </c>
      <c r="BI30" s="138">
        <v>5.75</v>
      </c>
      <c r="BJ30" s="138">
        <v>0.36</v>
      </c>
      <c r="BK30" s="138">
        <v>0.3</v>
      </c>
      <c r="BL30" t="s">
        <v>182</v>
      </c>
      <c r="BM30" s="133" t="s">
        <v>85</v>
      </c>
      <c r="BO30" s="150" t="s">
        <v>300</v>
      </c>
      <c r="BP30" s="138">
        <v>18.7</v>
      </c>
      <c r="BQ30" s="144">
        <v>8</v>
      </c>
      <c r="BR30" s="144">
        <v>0.35299999999999998</v>
      </c>
      <c r="BS30" s="144">
        <v>2.9780000000000002</v>
      </c>
      <c r="BT30" s="144">
        <v>0.5</v>
      </c>
      <c r="BU30" s="144">
        <v>0.5</v>
      </c>
      <c r="BV30" s="144">
        <v>0.33080916293441093</v>
      </c>
      <c r="BW30" s="138">
        <v>9.4629999999999992</v>
      </c>
      <c r="BX30" s="138">
        <v>9.9999999999969558E-4</v>
      </c>
      <c r="BY30" s="138">
        <v>5.7153511554058554</v>
      </c>
      <c r="BZ30" s="138">
        <v>1.1423244222970723</v>
      </c>
      <c r="CB30">
        <v>1.125</v>
      </c>
      <c r="CC30">
        <v>5.75</v>
      </c>
      <c r="CD30" s="151" t="s">
        <v>85</v>
      </c>
      <c r="CF30" s="150" t="s">
        <v>300</v>
      </c>
      <c r="CG30">
        <v>1.125</v>
      </c>
      <c r="CH30">
        <v>5.75</v>
      </c>
      <c r="CI30" s="151" t="s">
        <v>261</v>
      </c>
      <c r="DU30" s="220">
        <f t="shared" si="11"/>
        <v>600</v>
      </c>
      <c r="DV30" s="221">
        <v>50</v>
      </c>
      <c r="DW30" s="221">
        <v>9</v>
      </c>
      <c r="DX30" s="221">
        <v>60</v>
      </c>
      <c r="DY30" s="223">
        <f t="shared" si="104"/>
        <v>60</v>
      </c>
      <c r="DZ30" s="221">
        <v>360</v>
      </c>
      <c r="EA30" s="224" t="s">
        <v>261</v>
      </c>
      <c r="EH30" s="243">
        <v>30</v>
      </c>
      <c r="EI30" s="244">
        <v>360</v>
      </c>
      <c r="EJ30" s="90">
        <v>36</v>
      </c>
      <c r="EK30" s="90">
        <v>48</v>
      </c>
      <c r="EL30" s="90">
        <v>48</v>
      </c>
      <c r="EM30" s="90">
        <v>48</v>
      </c>
      <c r="EN30" s="90">
        <v>48</v>
      </c>
      <c r="EO30" s="90">
        <v>48</v>
      </c>
      <c r="EP30" s="90">
        <v>48</v>
      </c>
      <c r="EQ30" s="90">
        <v>36</v>
      </c>
      <c r="ER30" s="90" t="s">
        <v>1137</v>
      </c>
      <c r="ES30" s="90" t="s">
        <v>1137</v>
      </c>
      <c r="ET30" s="90" t="s">
        <v>1137</v>
      </c>
      <c r="EU30" s="90" t="s">
        <v>1137</v>
      </c>
      <c r="EV30" s="90" t="s">
        <v>1137</v>
      </c>
      <c r="EW30" s="90" t="s">
        <v>1137</v>
      </c>
      <c r="EX30" s="90" t="s">
        <v>1137</v>
      </c>
      <c r="EY30" s="90" t="s">
        <v>1137</v>
      </c>
      <c r="EZ30" s="90"/>
      <c r="FA30" s="224">
        <v>7</v>
      </c>
      <c r="FB30" s="245">
        <f t="shared" si="12"/>
        <v>360</v>
      </c>
      <c r="FD30" s="237">
        <f t="shared" si="13"/>
        <v>30</v>
      </c>
      <c r="FE30" s="246">
        <f t="shared" si="13"/>
        <v>360</v>
      </c>
      <c r="FF30" s="247">
        <f t="shared" si="13"/>
        <v>36</v>
      </c>
      <c r="FG30" s="247">
        <f t="shared" si="13"/>
        <v>48</v>
      </c>
      <c r="FH30" s="247">
        <f t="shared" si="13"/>
        <v>48</v>
      </c>
      <c r="FI30" s="247">
        <f t="shared" si="13"/>
        <v>48</v>
      </c>
      <c r="FJ30" s="247">
        <f t="shared" si="13"/>
        <v>48</v>
      </c>
      <c r="FK30" s="247">
        <f t="shared" si="13"/>
        <v>48</v>
      </c>
      <c r="FL30" s="247">
        <f t="shared" si="13"/>
        <v>48</v>
      </c>
      <c r="FM30" s="247">
        <f t="shared" si="13"/>
        <v>36</v>
      </c>
      <c r="FN30" s="247" t="str">
        <f t="shared" si="13"/>
        <v xml:space="preserve"> </v>
      </c>
      <c r="FO30" s="247" t="str">
        <f t="shared" si="13"/>
        <v xml:space="preserve"> </v>
      </c>
      <c r="FP30" s="247" t="str">
        <f t="shared" si="13"/>
        <v xml:space="preserve"> </v>
      </c>
      <c r="FQ30" s="247" t="str">
        <f t="shared" si="13"/>
        <v xml:space="preserve"> </v>
      </c>
      <c r="FR30" s="247" t="str">
        <f t="shared" si="13"/>
        <v xml:space="preserve"> </v>
      </c>
      <c r="FS30" s="247" t="str">
        <f t="shared" si="13"/>
        <v xml:space="preserve"> </v>
      </c>
      <c r="FT30" s="247" t="str">
        <f t="shared" si="105"/>
        <v xml:space="preserve"> </v>
      </c>
      <c r="FU30" s="247" t="str">
        <f t="shared" si="105"/>
        <v xml:space="preserve"> </v>
      </c>
      <c r="FV30" s="247">
        <f t="shared" si="105"/>
        <v>0</v>
      </c>
      <c r="FW30" s="248">
        <f t="shared" si="105"/>
        <v>7</v>
      </c>
      <c r="FX30" s="241">
        <f t="shared" si="105"/>
        <v>360</v>
      </c>
      <c r="FZ30" s="249">
        <v>30</v>
      </c>
      <c r="GA30" s="244">
        <v>360</v>
      </c>
      <c r="GB30" s="90">
        <v>60</v>
      </c>
      <c r="GC30" s="90">
        <v>60</v>
      </c>
      <c r="GD30" s="90">
        <v>60</v>
      </c>
      <c r="GE30" s="90">
        <v>60</v>
      </c>
      <c r="GF30" s="90">
        <v>60</v>
      </c>
      <c r="GG30" s="90">
        <v>60</v>
      </c>
      <c r="GH30" s="90"/>
      <c r="GI30" s="90"/>
      <c r="GJ30" s="90"/>
      <c r="GK30" s="90" t="s">
        <v>1137</v>
      </c>
      <c r="GL30" s="90" t="s">
        <v>1137</v>
      </c>
      <c r="GM30" s="90" t="s">
        <v>1137</v>
      </c>
      <c r="GN30" s="90" t="s">
        <v>1137</v>
      </c>
      <c r="GO30" s="90" t="s">
        <v>1137</v>
      </c>
      <c r="GP30" s="90" t="s">
        <v>1137</v>
      </c>
      <c r="GQ30" s="90" t="s">
        <v>1137</v>
      </c>
      <c r="GR30" s="90"/>
      <c r="GS30" s="224">
        <v>5</v>
      </c>
      <c r="GT30" s="245">
        <f t="shared" si="14"/>
        <v>360</v>
      </c>
      <c r="GV30" s="237">
        <f t="shared" si="15"/>
        <v>30</v>
      </c>
      <c r="GW30" s="246">
        <f t="shared" si="15"/>
        <v>360</v>
      </c>
      <c r="GX30" s="247">
        <f t="shared" si="15"/>
        <v>60</v>
      </c>
      <c r="GY30" s="247">
        <f t="shared" si="15"/>
        <v>60</v>
      </c>
      <c r="GZ30" s="247">
        <f t="shared" si="15"/>
        <v>60</v>
      </c>
      <c r="HA30" s="247">
        <f t="shared" si="15"/>
        <v>60</v>
      </c>
      <c r="HB30" s="247">
        <f t="shared" si="15"/>
        <v>60</v>
      </c>
      <c r="HC30" s="247">
        <f t="shared" si="15"/>
        <v>60</v>
      </c>
      <c r="HD30" s="247">
        <f t="shared" si="15"/>
        <v>0</v>
      </c>
      <c r="HE30" s="247">
        <f t="shared" si="15"/>
        <v>0</v>
      </c>
      <c r="HF30" s="247">
        <f t="shared" si="15"/>
        <v>0</v>
      </c>
      <c r="HG30" s="247" t="str">
        <f t="shared" si="15"/>
        <v xml:space="preserve"> </v>
      </c>
      <c r="HH30" s="247" t="str">
        <f t="shared" si="15"/>
        <v xml:space="preserve"> </v>
      </c>
      <c r="HI30" s="247" t="str">
        <f t="shared" si="15"/>
        <v xml:space="preserve"> </v>
      </c>
      <c r="HJ30" s="247" t="str">
        <f t="shared" si="15"/>
        <v xml:space="preserve"> </v>
      </c>
      <c r="HK30" s="247" t="str">
        <f t="shared" si="15"/>
        <v xml:space="preserve"> </v>
      </c>
      <c r="HL30" s="247" t="str">
        <f t="shared" si="106"/>
        <v xml:space="preserve"> </v>
      </c>
      <c r="HM30" s="247" t="str">
        <f t="shared" si="10"/>
        <v xml:space="preserve"> </v>
      </c>
      <c r="HN30" s="247">
        <f t="shared" si="10"/>
        <v>0</v>
      </c>
      <c r="HO30" s="248">
        <f t="shared" si="10"/>
        <v>5</v>
      </c>
      <c r="HP30" s="241">
        <f t="shared" si="10"/>
        <v>360</v>
      </c>
      <c r="HR30" s="243">
        <v>30</v>
      </c>
      <c r="HS30" s="244">
        <v>360</v>
      </c>
      <c r="HT30" s="90">
        <v>72</v>
      </c>
      <c r="HU30" s="90">
        <v>72</v>
      </c>
      <c r="HV30" s="90">
        <v>72</v>
      </c>
      <c r="HW30" s="90">
        <v>72</v>
      </c>
      <c r="HX30" s="90">
        <v>72</v>
      </c>
      <c r="HY30" s="90"/>
      <c r="HZ30" s="90"/>
      <c r="IA30" s="90"/>
      <c r="IB30" s="90"/>
      <c r="IC30" s="90"/>
      <c r="ID30" s="90"/>
      <c r="IE30" s="90"/>
      <c r="IF30" s="90"/>
      <c r="IG30" s="90"/>
      <c r="IH30" s="90"/>
      <c r="II30" s="90"/>
      <c r="IJ30" s="90"/>
      <c r="IK30" s="224">
        <v>4</v>
      </c>
      <c r="IL30" s="245">
        <f t="shared" si="16"/>
        <v>360</v>
      </c>
      <c r="IN30" s="243">
        <v>30</v>
      </c>
      <c r="IO30" s="244">
        <v>360</v>
      </c>
      <c r="IP30" s="90">
        <v>54</v>
      </c>
      <c r="IQ30" s="90">
        <v>84</v>
      </c>
      <c r="IR30" s="90">
        <v>84</v>
      </c>
      <c r="IS30" s="90">
        <v>84</v>
      </c>
      <c r="IT30" s="90">
        <v>54</v>
      </c>
      <c r="IU30" s="90"/>
      <c r="IV30" s="90"/>
      <c r="IW30" s="90"/>
      <c r="IX30" s="90"/>
      <c r="IY30" s="90"/>
      <c r="IZ30" s="90"/>
      <c r="JA30" s="90"/>
      <c r="JB30" s="90"/>
      <c r="JC30" s="90"/>
      <c r="JD30" s="90"/>
      <c r="JE30" s="90"/>
      <c r="JF30" s="90"/>
      <c r="JG30" s="224">
        <v>4</v>
      </c>
      <c r="JH30" s="245">
        <f t="shared" si="17"/>
        <v>360</v>
      </c>
      <c r="JJ30" s="249">
        <v>30</v>
      </c>
      <c r="JK30" s="244">
        <v>360</v>
      </c>
      <c r="JL30" s="90">
        <v>84</v>
      </c>
      <c r="JM30" s="90">
        <v>96</v>
      </c>
      <c r="JN30" s="90">
        <v>96</v>
      </c>
      <c r="JO30" s="90">
        <v>84</v>
      </c>
      <c r="JP30" s="90"/>
      <c r="JQ30" s="90"/>
      <c r="JR30" s="90"/>
      <c r="JS30" s="90"/>
      <c r="JT30" s="90"/>
      <c r="JU30" s="90"/>
      <c r="JV30" s="90"/>
      <c r="JW30" s="90"/>
      <c r="JX30" s="90"/>
      <c r="JY30" s="90"/>
      <c r="JZ30" s="90"/>
      <c r="KA30" s="90"/>
      <c r="KB30" s="90"/>
      <c r="KC30" s="224">
        <v>3</v>
      </c>
      <c r="KD30" s="245">
        <f t="shared" si="18"/>
        <v>360</v>
      </c>
      <c r="KF30" s="243">
        <v>30</v>
      </c>
      <c r="KG30" s="244">
        <v>360</v>
      </c>
      <c r="KH30" s="90">
        <v>45</v>
      </c>
      <c r="KI30" s="90">
        <v>54</v>
      </c>
      <c r="KJ30" s="90">
        <v>54</v>
      </c>
      <c r="KK30" s="90">
        <v>54</v>
      </c>
      <c r="KL30" s="90">
        <v>54</v>
      </c>
      <c r="KM30" s="90">
        <v>54</v>
      </c>
      <c r="KN30" s="90">
        <v>45</v>
      </c>
      <c r="KO30" s="90"/>
      <c r="KP30" s="90"/>
      <c r="KQ30" s="90"/>
      <c r="KR30" s="90"/>
      <c r="KS30" s="90"/>
      <c r="KT30" s="90"/>
      <c r="KU30" s="90"/>
      <c r="KV30" s="90"/>
      <c r="KW30" s="90"/>
      <c r="KX30" s="90"/>
      <c r="KY30" s="224">
        <v>6</v>
      </c>
      <c r="KZ30" s="245">
        <f t="shared" si="19"/>
        <v>360</v>
      </c>
      <c r="LB30" s="237">
        <f t="shared" si="20"/>
        <v>30</v>
      </c>
      <c r="LC30" s="284">
        <f t="shared" si="21"/>
        <v>360</v>
      </c>
      <c r="LD30" s="237">
        <f t="shared" si="22"/>
        <v>45</v>
      </c>
      <c r="LE30" s="237">
        <f t="shared" si="23"/>
        <v>54</v>
      </c>
      <c r="LF30" s="237">
        <f t="shared" si="24"/>
        <v>54</v>
      </c>
      <c r="LG30" s="237">
        <f t="shared" si="25"/>
        <v>54</v>
      </c>
      <c r="LH30" s="237">
        <f t="shared" si="26"/>
        <v>54</v>
      </c>
      <c r="LI30" s="237">
        <f t="shared" si="27"/>
        <v>54</v>
      </c>
      <c r="LJ30" s="237">
        <f t="shared" si="28"/>
        <v>45</v>
      </c>
      <c r="LK30" s="237">
        <f t="shared" si="29"/>
        <v>0</v>
      </c>
      <c r="LL30" s="237">
        <f t="shared" si="30"/>
        <v>0</v>
      </c>
      <c r="LM30" s="237">
        <f t="shared" si="31"/>
        <v>0</v>
      </c>
      <c r="LN30" s="237">
        <f t="shared" si="32"/>
        <v>0</v>
      </c>
      <c r="LO30" s="237">
        <f t="shared" si="33"/>
        <v>0</v>
      </c>
      <c r="LP30" s="237">
        <f t="shared" si="34"/>
        <v>0</v>
      </c>
      <c r="LQ30" s="237">
        <f t="shared" si="35"/>
        <v>0</v>
      </c>
      <c r="LR30" s="237">
        <f t="shared" si="36"/>
        <v>0</v>
      </c>
      <c r="LS30" s="237">
        <f t="shared" si="37"/>
        <v>0</v>
      </c>
      <c r="LT30" s="237">
        <f t="shared" si="38"/>
        <v>0</v>
      </c>
      <c r="LU30" s="285">
        <f t="shared" si="39"/>
        <v>6</v>
      </c>
      <c r="LV30" s="280">
        <f t="shared" si="40"/>
        <v>360</v>
      </c>
      <c r="LX30" s="237">
        <f t="shared" si="41"/>
        <v>30</v>
      </c>
      <c r="LY30" s="284">
        <f t="shared" si="42"/>
        <v>360</v>
      </c>
      <c r="LZ30" s="237">
        <f t="shared" si="43"/>
        <v>45</v>
      </c>
      <c r="MA30" s="237">
        <f t="shared" si="44"/>
        <v>54</v>
      </c>
      <c r="MB30" s="237">
        <f t="shared" si="45"/>
        <v>54</v>
      </c>
      <c r="MC30" s="237">
        <f t="shared" si="46"/>
        <v>54</v>
      </c>
      <c r="MD30" s="237">
        <f t="shared" si="47"/>
        <v>54</v>
      </c>
      <c r="ME30" s="237">
        <f t="shared" si="48"/>
        <v>54</v>
      </c>
      <c r="MF30" s="237">
        <f t="shared" si="49"/>
        <v>45</v>
      </c>
      <c r="MG30" s="237">
        <f t="shared" si="50"/>
        <v>0</v>
      </c>
      <c r="MH30" s="237">
        <f t="shared" si="51"/>
        <v>0</v>
      </c>
      <c r="MI30" s="237">
        <f t="shared" si="52"/>
        <v>0</v>
      </c>
      <c r="MJ30" s="237">
        <f t="shared" si="53"/>
        <v>0</v>
      </c>
      <c r="MK30" s="237">
        <f t="shared" si="54"/>
        <v>0</v>
      </c>
      <c r="ML30" s="237">
        <f t="shared" si="55"/>
        <v>0</v>
      </c>
      <c r="MM30" s="237">
        <f t="shared" si="56"/>
        <v>0</v>
      </c>
      <c r="MN30" s="237">
        <f t="shared" si="57"/>
        <v>0</v>
      </c>
      <c r="MO30" s="237">
        <f t="shared" si="58"/>
        <v>0</v>
      </c>
      <c r="MP30" s="237">
        <f t="shared" si="59"/>
        <v>0</v>
      </c>
      <c r="MQ30" s="285">
        <f t="shared" si="60"/>
        <v>6</v>
      </c>
      <c r="MR30" s="280">
        <f t="shared" si="61"/>
        <v>360</v>
      </c>
      <c r="MT30" s="237">
        <f t="shared" si="62"/>
        <v>30</v>
      </c>
      <c r="MU30" s="284">
        <f t="shared" si="63"/>
        <v>360</v>
      </c>
      <c r="MV30" s="237">
        <f t="shared" si="64"/>
        <v>45</v>
      </c>
      <c r="MW30" s="237">
        <f t="shared" si="65"/>
        <v>54</v>
      </c>
      <c r="MX30" s="237">
        <f t="shared" si="66"/>
        <v>54</v>
      </c>
      <c r="MY30" s="237">
        <f t="shared" si="67"/>
        <v>54</v>
      </c>
      <c r="MZ30" s="237">
        <f t="shared" si="68"/>
        <v>54</v>
      </c>
      <c r="NA30" s="237">
        <f t="shared" si="69"/>
        <v>54</v>
      </c>
      <c r="NB30" s="237">
        <f t="shared" si="70"/>
        <v>45</v>
      </c>
      <c r="NC30" s="237">
        <f t="shared" si="71"/>
        <v>0</v>
      </c>
      <c r="ND30" s="237">
        <f t="shared" si="72"/>
        <v>0</v>
      </c>
      <c r="NE30" s="237">
        <f t="shared" si="73"/>
        <v>0</v>
      </c>
      <c r="NF30" s="237">
        <f t="shared" si="74"/>
        <v>0</v>
      </c>
      <c r="NG30" s="237">
        <f t="shared" si="75"/>
        <v>0</v>
      </c>
      <c r="NH30" s="237">
        <f t="shared" si="76"/>
        <v>0</v>
      </c>
      <c r="NI30" s="237">
        <f t="shared" si="77"/>
        <v>0</v>
      </c>
      <c r="NJ30" s="237">
        <f t="shared" si="78"/>
        <v>0</v>
      </c>
      <c r="NK30" s="237">
        <f t="shared" si="79"/>
        <v>0</v>
      </c>
      <c r="NL30" s="237">
        <f t="shared" si="80"/>
        <v>0</v>
      </c>
      <c r="NM30" s="285">
        <f t="shared" si="81"/>
        <v>6</v>
      </c>
      <c r="NN30" s="280">
        <f t="shared" si="82"/>
        <v>360</v>
      </c>
      <c r="NP30" s="237">
        <f t="shared" si="83"/>
        <v>30</v>
      </c>
      <c r="NQ30" s="284">
        <f t="shared" si="84"/>
        <v>360</v>
      </c>
      <c r="NR30" s="237">
        <f t="shared" si="85"/>
        <v>45</v>
      </c>
      <c r="NS30" s="237">
        <f t="shared" si="86"/>
        <v>54</v>
      </c>
      <c r="NT30" s="237">
        <f t="shared" si="87"/>
        <v>54</v>
      </c>
      <c r="NU30" s="237">
        <f t="shared" si="88"/>
        <v>54</v>
      </c>
      <c r="NV30" s="237">
        <f t="shared" si="89"/>
        <v>54</v>
      </c>
      <c r="NW30" s="237">
        <f t="shared" si="90"/>
        <v>54</v>
      </c>
      <c r="NX30" s="237">
        <f t="shared" si="91"/>
        <v>45</v>
      </c>
      <c r="NY30" s="237">
        <f t="shared" si="92"/>
        <v>0</v>
      </c>
      <c r="NZ30" s="237">
        <f t="shared" si="93"/>
        <v>0</v>
      </c>
      <c r="OA30" s="237">
        <f t="shared" si="94"/>
        <v>0</v>
      </c>
      <c r="OB30" s="237">
        <f t="shared" si="95"/>
        <v>0</v>
      </c>
      <c r="OC30" s="237">
        <f t="shared" si="96"/>
        <v>0</v>
      </c>
      <c r="OD30" s="237">
        <f t="shared" si="97"/>
        <v>0</v>
      </c>
      <c r="OE30" s="237">
        <f t="shared" si="98"/>
        <v>0</v>
      </c>
      <c r="OF30" s="237">
        <f t="shared" si="99"/>
        <v>0</v>
      </c>
      <c r="OG30" s="237">
        <f t="shared" si="100"/>
        <v>0</v>
      </c>
      <c r="OH30" s="237">
        <f t="shared" si="101"/>
        <v>0</v>
      </c>
      <c r="OI30" s="285">
        <f t="shared" si="102"/>
        <v>6</v>
      </c>
      <c r="OJ30" s="280">
        <f t="shared" si="103"/>
        <v>360</v>
      </c>
    </row>
    <row r="31" spans="12:400" x14ac:dyDescent="0.3">
      <c r="L31" s="127" t="str">
        <f t="shared" si="5"/>
        <v>C3x6</v>
      </c>
      <c r="M31" s="138">
        <v>6</v>
      </c>
      <c r="N31" s="138">
        <v>1.76</v>
      </c>
      <c r="O31" s="138">
        <v>3.0000000000000004</v>
      </c>
      <c r="P31" s="138">
        <v>0.35599999999999998</v>
      </c>
      <c r="Q31" s="138">
        <v>1.5960000000000001</v>
      </c>
      <c r="R31" s="138">
        <v>0.27300000000000002</v>
      </c>
      <c r="S31" s="138">
        <v>0.27</v>
      </c>
      <c r="T31" s="138">
        <v>0.1</v>
      </c>
      <c r="U31">
        <v>9.4629999999999992</v>
      </c>
      <c r="V31" s="138">
        <f t="shared" si="6"/>
        <v>8.4947435596928647E-2</v>
      </c>
      <c r="W31" s="139">
        <f t="shared" si="7"/>
        <v>6</v>
      </c>
      <c r="X31" s="140"/>
      <c r="Y31" s="141">
        <v>0.6875</v>
      </c>
      <c r="Z31" s="141">
        <v>1.625</v>
      </c>
      <c r="AA31" s="133" t="s">
        <v>85</v>
      </c>
      <c r="AE31" s="127" t="str">
        <f t="shared" si="0"/>
        <v>L2.5x2.5x0.5</v>
      </c>
      <c r="AF31" s="138">
        <v>2.5</v>
      </c>
      <c r="AG31" s="138">
        <v>2.5</v>
      </c>
      <c r="AH31" s="138">
        <v>0.5</v>
      </c>
      <c r="AI31" s="138">
        <v>0.18750000000000003</v>
      </c>
      <c r="AJ31" s="138">
        <v>0.18750000000000003</v>
      </c>
      <c r="AK31">
        <f t="shared" si="1"/>
        <v>0.31269999999999998</v>
      </c>
      <c r="AM31" s="133" t="s">
        <v>85</v>
      </c>
      <c r="AP31" s="127" t="str">
        <f t="shared" si="2"/>
        <v>S4x9.5</v>
      </c>
      <c r="AQ31">
        <v>4</v>
      </c>
      <c r="AR31" s="138">
        <v>9.5</v>
      </c>
      <c r="AS31" s="138">
        <v>4</v>
      </c>
      <c r="AT31" s="138">
        <v>0.32600000000000001</v>
      </c>
      <c r="AU31" s="138">
        <v>2.7959999999999998</v>
      </c>
      <c r="AV31" s="138">
        <v>0.29299999999999998</v>
      </c>
      <c r="AW31" s="138">
        <v>0.28999999999999998</v>
      </c>
      <c r="AX31" s="138">
        <v>0.11</v>
      </c>
      <c r="AY31">
        <v>9.4630000000000312</v>
      </c>
      <c r="AZ31" s="138">
        <f t="shared" si="3"/>
        <v>2.7168238323278473</v>
      </c>
      <c r="BA31" s="133" t="s">
        <v>85</v>
      </c>
      <c r="BD31" s="143" t="str">
        <f t="shared" si="4"/>
        <v>W10x26</v>
      </c>
      <c r="BE31">
        <v>10</v>
      </c>
      <c r="BF31" s="138">
        <v>26</v>
      </c>
      <c r="BG31" s="138">
        <v>10.33</v>
      </c>
      <c r="BH31" s="138">
        <v>0.26</v>
      </c>
      <c r="BI31" s="138">
        <v>5.77</v>
      </c>
      <c r="BJ31" s="138">
        <v>0.44</v>
      </c>
      <c r="BK31" s="138">
        <v>0.3</v>
      </c>
      <c r="BM31" s="133" t="s">
        <v>85</v>
      </c>
      <c r="BO31" s="152" t="s">
        <v>301</v>
      </c>
      <c r="BP31" s="10">
        <v>8.5</v>
      </c>
      <c r="BQ31" s="11">
        <v>8</v>
      </c>
      <c r="BR31" s="11">
        <v>0.17899999999999999</v>
      </c>
      <c r="BS31" s="11">
        <v>1.8740000000000001</v>
      </c>
      <c r="BT31" s="11">
        <v>0.311</v>
      </c>
      <c r="BU31" s="11">
        <v>0.25</v>
      </c>
      <c r="BV31" s="11">
        <v>0.13</v>
      </c>
      <c r="BW31" s="10">
        <v>9.4629999999999992</v>
      </c>
      <c r="BX31" s="10">
        <v>5.9614495037792523E-2</v>
      </c>
      <c r="BY31" s="10">
        <v>6.67192092713384</v>
      </c>
      <c r="BZ31" s="10">
        <v>0.66403953643308</v>
      </c>
      <c r="CA31" s="12"/>
      <c r="CB31" s="12">
        <v>0.8125</v>
      </c>
      <c r="CC31" s="12">
        <v>6.375</v>
      </c>
      <c r="CD31" s="151" t="s">
        <v>85</v>
      </c>
      <c r="CF31" s="150" t="s">
        <v>301</v>
      </c>
      <c r="CG31">
        <v>0.8125</v>
      </c>
      <c r="CH31">
        <v>6.375</v>
      </c>
      <c r="CI31" s="151" t="s">
        <v>261</v>
      </c>
      <c r="DU31" s="220">
        <f t="shared" si="11"/>
        <v>624</v>
      </c>
      <c r="DV31" s="221">
        <v>52</v>
      </c>
      <c r="DW31" s="221">
        <v>9</v>
      </c>
      <c r="DX31" s="221">
        <v>62</v>
      </c>
      <c r="DY31" s="223">
        <f t="shared" si="104"/>
        <v>64</v>
      </c>
      <c r="DZ31" s="221">
        <v>372</v>
      </c>
      <c r="EA31" s="224" t="s">
        <v>261</v>
      </c>
      <c r="EH31" s="250">
        <v>31</v>
      </c>
      <c r="EI31" s="251">
        <v>372</v>
      </c>
      <c r="EJ31" s="252">
        <v>42</v>
      </c>
      <c r="EK31" s="252">
        <v>48</v>
      </c>
      <c r="EL31" s="252">
        <v>48</v>
      </c>
      <c r="EM31" s="252">
        <v>48</v>
      </c>
      <c r="EN31" s="252">
        <v>48</v>
      </c>
      <c r="EO31" s="252">
        <v>48</v>
      </c>
      <c r="EP31" s="252">
        <v>48</v>
      </c>
      <c r="EQ31" s="252">
        <v>42</v>
      </c>
      <c r="ER31" s="252" t="s">
        <v>1137</v>
      </c>
      <c r="ES31" s="252" t="s">
        <v>1137</v>
      </c>
      <c r="ET31" s="252" t="s">
        <v>1137</v>
      </c>
      <c r="EU31" s="252" t="s">
        <v>1137</v>
      </c>
      <c r="EV31" s="252" t="s">
        <v>1137</v>
      </c>
      <c r="EW31" s="252" t="s">
        <v>1137</v>
      </c>
      <c r="EX31" s="252" t="s">
        <v>1137</v>
      </c>
      <c r="EY31" s="252" t="s">
        <v>1137</v>
      </c>
      <c r="EZ31" s="252"/>
      <c r="FA31" s="253">
        <v>7</v>
      </c>
      <c r="FB31" s="254">
        <f t="shared" si="12"/>
        <v>372</v>
      </c>
      <c r="FD31" s="237">
        <f t="shared" si="13"/>
        <v>31</v>
      </c>
      <c r="FE31" s="246">
        <f t="shared" si="13"/>
        <v>372</v>
      </c>
      <c r="FF31" s="247">
        <f t="shared" si="13"/>
        <v>42</v>
      </c>
      <c r="FG31" s="247">
        <f t="shared" si="13"/>
        <v>48</v>
      </c>
      <c r="FH31" s="247">
        <f t="shared" si="13"/>
        <v>48</v>
      </c>
      <c r="FI31" s="247">
        <f t="shared" si="13"/>
        <v>48</v>
      </c>
      <c r="FJ31" s="247">
        <f t="shared" si="13"/>
        <v>48</v>
      </c>
      <c r="FK31" s="247">
        <f t="shared" si="13"/>
        <v>48</v>
      </c>
      <c r="FL31" s="247">
        <f t="shared" si="13"/>
        <v>48</v>
      </c>
      <c r="FM31" s="247">
        <f t="shared" si="13"/>
        <v>42</v>
      </c>
      <c r="FN31" s="247" t="str">
        <f t="shared" si="13"/>
        <v xml:space="preserve"> </v>
      </c>
      <c r="FO31" s="247" t="str">
        <f t="shared" si="13"/>
        <v xml:space="preserve"> </v>
      </c>
      <c r="FP31" s="247" t="str">
        <f t="shared" si="13"/>
        <v xml:space="preserve"> </v>
      </c>
      <c r="FQ31" s="247" t="str">
        <f t="shared" si="13"/>
        <v xml:space="preserve"> </v>
      </c>
      <c r="FR31" s="247" t="str">
        <f t="shared" si="13"/>
        <v xml:space="preserve"> </v>
      </c>
      <c r="FS31" s="247" t="str">
        <f t="shared" si="13"/>
        <v xml:space="preserve"> </v>
      </c>
      <c r="FT31" s="247" t="str">
        <f t="shared" si="105"/>
        <v xml:space="preserve"> </v>
      </c>
      <c r="FU31" s="247" t="str">
        <f t="shared" si="105"/>
        <v xml:space="preserve"> </v>
      </c>
      <c r="FV31" s="247">
        <f t="shared" si="105"/>
        <v>0</v>
      </c>
      <c r="FW31" s="248">
        <f t="shared" si="105"/>
        <v>7</v>
      </c>
      <c r="FX31" s="241">
        <f t="shared" si="105"/>
        <v>372</v>
      </c>
      <c r="FZ31" s="255">
        <v>31</v>
      </c>
      <c r="GA31" s="251">
        <v>372</v>
      </c>
      <c r="GB31" s="252">
        <v>36</v>
      </c>
      <c r="GC31" s="252">
        <v>60</v>
      </c>
      <c r="GD31" s="252">
        <v>60</v>
      </c>
      <c r="GE31" s="252">
        <v>60</v>
      </c>
      <c r="GF31" s="252">
        <v>60</v>
      </c>
      <c r="GG31" s="252">
        <v>60</v>
      </c>
      <c r="GH31" s="252">
        <v>36</v>
      </c>
      <c r="GI31" s="252"/>
      <c r="GJ31" s="252"/>
      <c r="GK31" s="252" t="s">
        <v>1137</v>
      </c>
      <c r="GL31" s="252" t="s">
        <v>1137</v>
      </c>
      <c r="GM31" s="252" t="s">
        <v>1137</v>
      </c>
      <c r="GN31" s="252" t="s">
        <v>1137</v>
      </c>
      <c r="GO31" s="252" t="s">
        <v>1137</v>
      </c>
      <c r="GP31" s="252" t="s">
        <v>1137</v>
      </c>
      <c r="GQ31" s="252" t="s">
        <v>1137</v>
      </c>
      <c r="GR31" s="252"/>
      <c r="GS31" s="253">
        <v>6</v>
      </c>
      <c r="GT31" s="254">
        <f t="shared" si="14"/>
        <v>372</v>
      </c>
      <c r="GV31" s="237">
        <f t="shared" si="15"/>
        <v>31</v>
      </c>
      <c r="GW31" s="246">
        <f t="shared" si="15"/>
        <v>372</v>
      </c>
      <c r="GX31" s="247">
        <f t="shared" si="15"/>
        <v>36</v>
      </c>
      <c r="GY31" s="247">
        <f t="shared" si="15"/>
        <v>60</v>
      </c>
      <c r="GZ31" s="247">
        <f t="shared" si="15"/>
        <v>60</v>
      </c>
      <c r="HA31" s="247">
        <f t="shared" si="15"/>
        <v>60</v>
      </c>
      <c r="HB31" s="247">
        <f t="shared" si="15"/>
        <v>60</v>
      </c>
      <c r="HC31" s="247">
        <f t="shared" si="15"/>
        <v>60</v>
      </c>
      <c r="HD31" s="247">
        <f t="shared" si="15"/>
        <v>36</v>
      </c>
      <c r="HE31" s="247">
        <f t="shared" si="15"/>
        <v>0</v>
      </c>
      <c r="HF31" s="247">
        <f t="shared" si="15"/>
        <v>0</v>
      </c>
      <c r="HG31" s="247" t="str">
        <f t="shared" si="15"/>
        <v xml:space="preserve"> </v>
      </c>
      <c r="HH31" s="247" t="str">
        <f t="shared" si="15"/>
        <v xml:space="preserve"> </v>
      </c>
      <c r="HI31" s="247" t="str">
        <f t="shared" si="15"/>
        <v xml:space="preserve"> </v>
      </c>
      <c r="HJ31" s="247" t="str">
        <f t="shared" si="15"/>
        <v xml:space="preserve"> </v>
      </c>
      <c r="HK31" s="247" t="str">
        <f t="shared" si="15"/>
        <v xml:space="preserve"> </v>
      </c>
      <c r="HL31" s="247" t="str">
        <f t="shared" si="106"/>
        <v xml:space="preserve"> </v>
      </c>
      <c r="HM31" s="247" t="str">
        <f t="shared" si="10"/>
        <v xml:space="preserve"> </v>
      </c>
      <c r="HN31" s="247">
        <f t="shared" si="10"/>
        <v>0</v>
      </c>
      <c r="HO31" s="248">
        <f t="shared" si="10"/>
        <v>6</v>
      </c>
      <c r="HP31" s="241">
        <f t="shared" si="10"/>
        <v>372</v>
      </c>
      <c r="HR31" s="250">
        <v>31</v>
      </c>
      <c r="HS31" s="251">
        <v>372</v>
      </c>
      <c r="HT31" s="252">
        <v>42</v>
      </c>
      <c r="HU31" s="252">
        <v>72</v>
      </c>
      <c r="HV31" s="252">
        <v>72</v>
      </c>
      <c r="HW31" s="252">
        <v>72</v>
      </c>
      <c r="HX31" s="252">
        <v>72</v>
      </c>
      <c r="HY31" s="252">
        <v>42</v>
      </c>
      <c r="HZ31" s="252"/>
      <c r="IA31" s="252"/>
      <c r="IB31" s="252"/>
      <c r="IC31" s="252"/>
      <c r="ID31" s="252"/>
      <c r="IE31" s="252"/>
      <c r="IF31" s="252"/>
      <c r="IG31" s="252"/>
      <c r="IH31" s="252"/>
      <c r="II31" s="252"/>
      <c r="IJ31" s="252"/>
      <c r="IK31" s="253">
        <v>5</v>
      </c>
      <c r="IL31" s="254">
        <f t="shared" si="16"/>
        <v>372</v>
      </c>
      <c r="IN31" s="250">
        <v>31</v>
      </c>
      <c r="IO31" s="251">
        <v>372</v>
      </c>
      <c r="IP31" s="252">
        <v>60</v>
      </c>
      <c r="IQ31" s="252">
        <v>84</v>
      </c>
      <c r="IR31" s="252">
        <v>84</v>
      </c>
      <c r="IS31" s="252">
        <v>84</v>
      </c>
      <c r="IT31" s="252">
        <v>60</v>
      </c>
      <c r="IU31" s="252"/>
      <c r="IV31" s="252"/>
      <c r="IW31" s="252"/>
      <c r="IX31" s="252"/>
      <c r="IY31" s="252"/>
      <c r="IZ31" s="252"/>
      <c r="JA31" s="252"/>
      <c r="JB31" s="252"/>
      <c r="JC31" s="252"/>
      <c r="JD31" s="252"/>
      <c r="JE31" s="252"/>
      <c r="JF31" s="252"/>
      <c r="JG31" s="253">
        <v>4</v>
      </c>
      <c r="JH31" s="254">
        <f t="shared" si="17"/>
        <v>372</v>
      </c>
      <c r="JJ31" s="255">
        <v>31</v>
      </c>
      <c r="JK31" s="251">
        <v>372</v>
      </c>
      <c r="JL31" s="252">
        <v>90</v>
      </c>
      <c r="JM31" s="252">
        <v>96</v>
      </c>
      <c r="JN31" s="252">
        <v>96</v>
      </c>
      <c r="JO31" s="252">
        <v>90</v>
      </c>
      <c r="JP31" s="252"/>
      <c r="JQ31" s="252"/>
      <c r="JR31" s="252"/>
      <c r="JS31" s="252"/>
      <c r="JT31" s="252"/>
      <c r="JU31" s="252"/>
      <c r="JV31" s="252"/>
      <c r="JW31" s="252"/>
      <c r="JX31" s="252"/>
      <c r="JY31" s="252"/>
      <c r="JZ31" s="252"/>
      <c r="KA31" s="252"/>
      <c r="KB31" s="252"/>
      <c r="KC31" s="253">
        <v>3</v>
      </c>
      <c r="KD31" s="254">
        <f t="shared" si="18"/>
        <v>372</v>
      </c>
      <c r="KF31" s="250">
        <v>31</v>
      </c>
      <c r="KG31" s="251">
        <v>372</v>
      </c>
      <c r="KH31" s="252">
        <v>51</v>
      </c>
      <c r="KI31" s="252">
        <v>54</v>
      </c>
      <c r="KJ31" s="252">
        <v>54</v>
      </c>
      <c r="KK31" s="252">
        <v>54</v>
      </c>
      <c r="KL31" s="252">
        <v>54</v>
      </c>
      <c r="KM31" s="252">
        <v>54</v>
      </c>
      <c r="KN31" s="252">
        <v>51</v>
      </c>
      <c r="KO31" s="252"/>
      <c r="KP31" s="252"/>
      <c r="KQ31" s="252"/>
      <c r="KR31" s="252"/>
      <c r="KS31" s="252"/>
      <c r="KT31" s="252"/>
      <c r="KU31" s="252"/>
      <c r="KV31" s="252"/>
      <c r="KW31" s="252"/>
      <c r="KX31" s="252"/>
      <c r="KY31" s="253">
        <v>6</v>
      </c>
      <c r="KZ31" s="254">
        <f t="shared" si="19"/>
        <v>372</v>
      </c>
      <c r="LB31" s="237">
        <f t="shared" si="20"/>
        <v>31</v>
      </c>
      <c r="LC31" s="284">
        <f t="shared" si="21"/>
        <v>372</v>
      </c>
      <c r="LD31" s="237">
        <f t="shared" si="22"/>
        <v>51</v>
      </c>
      <c r="LE31" s="237">
        <f t="shared" si="23"/>
        <v>54</v>
      </c>
      <c r="LF31" s="237">
        <f t="shared" si="24"/>
        <v>54</v>
      </c>
      <c r="LG31" s="237">
        <f t="shared" si="25"/>
        <v>54</v>
      </c>
      <c r="LH31" s="237">
        <f t="shared" si="26"/>
        <v>54</v>
      </c>
      <c r="LI31" s="237">
        <f t="shared" si="27"/>
        <v>54</v>
      </c>
      <c r="LJ31" s="237">
        <f t="shared" si="28"/>
        <v>51</v>
      </c>
      <c r="LK31" s="237">
        <f t="shared" si="29"/>
        <v>0</v>
      </c>
      <c r="LL31" s="237">
        <f t="shared" si="30"/>
        <v>0</v>
      </c>
      <c r="LM31" s="237">
        <f t="shared" si="31"/>
        <v>0</v>
      </c>
      <c r="LN31" s="237">
        <f t="shared" si="32"/>
        <v>0</v>
      </c>
      <c r="LO31" s="237">
        <f t="shared" si="33"/>
        <v>0</v>
      </c>
      <c r="LP31" s="237">
        <f t="shared" si="34"/>
        <v>0</v>
      </c>
      <c r="LQ31" s="237">
        <f t="shared" si="35"/>
        <v>0</v>
      </c>
      <c r="LR31" s="237">
        <f t="shared" si="36"/>
        <v>0</v>
      </c>
      <c r="LS31" s="237">
        <f t="shared" si="37"/>
        <v>0</v>
      </c>
      <c r="LT31" s="237">
        <f t="shared" si="38"/>
        <v>0</v>
      </c>
      <c r="LU31" s="285">
        <f t="shared" si="39"/>
        <v>6</v>
      </c>
      <c r="LV31" s="280">
        <f t="shared" si="40"/>
        <v>372</v>
      </c>
      <c r="LX31" s="237">
        <f t="shared" si="41"/>
        <v>31</v>
      </c>
      <c r="LY31" s="284">
        <f t="shared" si="42"/>
        <v>372</v>
      </c>
      <c r="LZ31" s="237">
        <f t="shared" si="43"/>
        <v>51</v>
      </c>
      <c r="MA31" s="237">
        <f t="shared" si="44"/>
        <v>54</v>
      </c>
      <c r="MB31" s="237">
        <f t="shared" si="45"/>
        <v>54</v>
      </c>
      <c r="MC31" s="237">
        <f t="shared" si="46"/>
        <v>54</v>
      </c>
      <c r="MD31" s="237">
        <f t="shared" si="47"/>
        <v>54</v>
      </c>
      <c r="ME31" s="237">
        <f t="shared" si="48"/>
        <v>54</v>
      </c>
      <c r="MF31" s="237">
        <f t="shared" si="49"/>
        <v>51</v>
      </c>
      <c r="MG31" s="237">
        <f t="shared" si="50"/>
        <v>0</v>
      </c>
      <c r="MH31" s="237">
        <f t="shared" si="51"/>
        <v>0</v>
      </c>
      <c r="MI31" s="237">
        <f t="shared" si="52"/>
        <v>0</v>
      </c>
      <c r="MJ31" s="237">
        <f t="shared" si="53"/>
        <v>0</v>
      </c>
      <c r="MK31" s="237">
        <f t="shared" si="54"/>
        <v>0</v>
      </c>
      <c r="ML31" s="237">
        <f t="shared" si="55"/>
        <v>0</v>
      </c>
      <c r="MM31" s="237">
        <f t="shared" si="56"/>
        <v>0</v>
      </c>
      <c r="MN31" s="237">
        <f t="shared" si="57"/>
        <v>0</v>
      </c>
      <c r="MO31" s="237">
        <f t="shared" si="58"/>
        <v>0</v>
      </c>
      <c r="MP31" s="237">
        <f t="shared" si="59"/>
        <v>0</v>
      </c>
      <c r="MQ31" s="285">
        <f t="shared" si="60"/>
        <v>6</v>
      </c>
      <c r="MR31" s="280">
        <f t="shared" si="61"/>
        <v>372</v>
      </c>
      <c r="MT31" s="237">
        <f t="shared" si="62"/>
        <v>31</v>
      </c>
      <c r="MU31" s="284">
        <f t="shared" si="63"/>
        <v>372</v>
      </c>
      <c r="MV31" s="237">
        <f t="shared" si="64"/>
        <v>51</v>
      </c>
      <c r="MW31" s="237">
        <f t="shared" si="65"/>
        <v>54</v>
      </c>
      <c r="MX31" s="237">
        <f t="shared" si="66"/>
        <v>54</v>
      </c>
      <c r="MY31" s="237">
        <f t="shared" si="67"/>
        <v>54</v>
      </c>
      <c r="MZ31" s="237">
        <f t="shared" si="68"/>
        <v>54</v>
      </c>
      <c r="NA31" s="237">
        <f t="shared" si="69"/>
        <v>54</v>
      </c>
      <c r="NB31" s="237">
        <f t="shared" si="70"/>
        <v>51</v>
      </c>
      <c r="NC31" s="237">
        <f t="shared" si="71"/>
        <v>0</v>
      </c>
      <c r="ND31" s="237">
        <f t="shared" si="72"/>
        <v>0</v>
      </c>
      <c r="NE31" s="237">
        <f t="shared" si="73"/>
        <v>0</v>
      </c>
      <c r="NF31" s="237">
        <f t="shared" si="74"/>
        <v>0</v>
      </c>
      <c r="NG31" s="237">
        <f t="shared" si="75"/>
        <v>0</v>
      </c>
      <c r="NH31" s="237">
        <f t="shared" si="76"/>
        <v>0</v>
      </c>
      <c r="NI31" s="237">
        <f t="shared" si="77"/>
        <v>0</v>
      </c>
      <c r="NJ31" s="237">
        <f t="shared" si="78"/>
        <v>0</v>
      </c>
      <c r="NK31" s="237">
        <f t="shared" si="79"/>
        <v>0</v>
      </c>
      <c r="NL31" s="237">
        <f t="shared" si="80"/>
        <v>0</v>
      </c>
      <c r="NM31" s="285">
        <f t="shared" si="81"/>
        <v>6</v>
      </c>
      <c r="NN31" s="280">
        <f t="shared" si="82"/>
        <v>372</v>
      </c>
      <c r="NP31" s="237">
        <f t="shared" si="83"/>
        <v>31</v>
      </c>
      <c r="NQ31" s="284">
        <f t="shared" si="84"/>
        <v>372</v>
      </c>
      <c r="NR31" s="237">
        <f t="shared" si="85"/>
        <v>51</v>
      </c>
      <c r="NS31" s="237">
        <f t="shared" si="86"/>
        <v>54</v>
      </c>
      <c r="NT31" s="237">
        <f t="shared" si="87"/>
        <v>54</v>
      </c>
      <c r="NU31" s="237">
        <f t="shared" si="88"/>
        <v>54</v>
      </c>
      <c r="NV31" s="237">
        <f t="shared" si="89"/>
        <v>54</v>
      </c>
      <c r="NW31" s="237">
        <f t="shared" si="90"/>
        <v>54</v>
      </c>
      <c r="NX31" s="237">
        <f t="shared" si="91"/>
        <v>51</v>
      </c>
      <c r="NY31" s="237">
        <f t="shared" si="92"/>
        <v>0</v>
      </c>
      <c r="NZ31" s="237">
        <f t="shared" si="93"/>
        <v>0</v>
      </c>
      <c r="OA31" s="237">
        <f t="shared" si="94"/>
        <v>0</v>
      </c>
      <c r="OB31" s="237">
        <f t="shared" si="95"/>
        <v>0</v>
      </c>
      <c r="OC31" s="237">
        <f t="shared" si="96"/>
        <v>0</v>
      </c>
      <c r="OD31" s="237">
        <f t="shared" si="97"/>
        <v>0</v>
      </c>
      <c r="OE31" s="237">
        <f t="shared" si="98"/>
        <v>0</v>
      </c>
      <c r="OF31" s="237">
        <f t="shared" si="99"/>
        <v>0</v>
      </c>
      <c r="OG31" s="237">
        <f t="shared" si="100"/>
        <v>0</v>
      </c>
      <c r="OH31" s="237">
        <f t="shared" si="101"/>
        <v>0</v>
      </c>
      <c r="OI31" s="285">
        <f t="shared" si="102"/>
        <v>6</v>
      </c>
      <c r="OJ31" s="280">
        <f t="shared" si="103"/>
        <v>372</v>
      </c>
    </row>
    <row r="32" spans="12:400" x14ac:dyDescent="0.3">
      <c r="L32" s="127" t="str">
        <f t="shared" si="5"/>
        <v>C3x5</v>
      </c>
      <c r="M32" s="138">
        <v>5</v>
      </c>
      <c r="N32" s="138">
        <v>1.47</v>
      </c>
      <c r="O32" s="138">
        <v>3.0000000000000004</v>
      </c>
      <c r="P32" s="138">
        <v>0.25800000000000001</v>
      </c>
      <c r="Q32" s="138">
        <v>1.498</v>
      </c>
      <c r="R32" s="138">
        <v>0.27300000000000002</v>
      </c>
      <c r="S32" s="138">
        <v>0.27</v>
      </c>
      <c r="T32" s="138">
        <v>0.1</v>
      </c>
      <c r="U32">
        <v>9.4629999999999992</v>
      </c>
      <c r="V32" s="138">
        <f t="shared" si="6"/>
        <v>8.4947435596928661E-2</v>
      </c>
      <c r="W32" s="139">
        <f t="shared" si="7"/>
        <v>5</v>
      </c>
      <c r="X32" s="140"/>
      <c r="Y32" s="141">
        <v>0.6875</v>
      </c>
      <c r="Z32" s="141">
        <v>1.625</v>
      </c>
      <c r="AA32" s="133" t="s">
        <v>85</v>
      </c>
      <c r="AE32" s="127" t="str">
        <f t="shared" si="0"/>
        <v>L2.5x3x0.1875</v>
      </c>
      <c r="AF32" s="138">
        <v>2.5</v>
      </c>
      <c r="AG32" s="138">
        <v>3.0000000000000004</v>
      </c>
      <c r="AH32" s="138">
        <v>0.18750000000000003</v>
      </c>
      <c r="AI32" s="138">
        <v>0.3125</v>
      </c>
      <c r="AJ32" s="138">
        <v>0.18750000000000003</v>
      </c>
      <c r="AK32">
        <f t="shared" si="1"/>
        <v>2.0000000000000001E-4</v>
      </c>
      <c r="AM32" s="133" t="s">
        <v>85</v>
      </c>
      <c r="AP32" s="127" t="str">
        <f t="shared" si="2"/>
        <v>S4x7.7</v>
      </c>
      <c r="AQ32">
        <v>4</v>
      </c>
      <c r="AR32" s="138">
        <v>7.7</v>
      </c>
      <c r="AS32" s="138">
        <v>4</v>
      </c>
      <c r="AT32" s="138">
        <v>0.193</v>
      </c>
      <c r="AU32" s="138">
        <v>2.6629999999999998</v>
      </c>
      <c r="AV32" s="138">
        <v>0.29299999999999998</v>
      </c>
      <c r="AW32" s="138">
        <v>0.28999999999999998</v>
      </c>
      <c r="AX32" s="138">
        <v>0.11</v>
      </c>
      <c r="AY32">
        <v>9.4630000000000312</v>
      </c>
      <c r="AZ32" s="138">
        <f t="shared" si="3"/>
        <v>2.7168238323278473</v>
      </c>
      <c r="BA32" s="133" t="s">
        <v>85</v>
      </c>
      <c r="BD32" s="143" t="str">
        <f t="shared" si="4"/>
        <v>W10x30</v>
      </c>
      <c r="BE32">
        <v>10</v>
      </c>
      <c r="BF32" s="138">
        <v>30</v>
      </c>
      <c r="BG32" s="138">
        <v>10.47</v>
      </c>
      <c r="BH32" s="138">
        <v>0.3</v>
      </c>
      <c r="BI32" s="138">
        <v>5.81</v>
      </c>
      <c r="BJ32" s="138">
        <v>0.51</v>
      </c>
      <c r="BK32" s="138">
        <v>0.3</v>
      </c>
      <c r="BM32" s="133" t="s">
        <v>85</v>
      </c>
      <c r="BO32" s="150" t="s">
        <v>302</v>
      </c>
      <c r="BP32" s="138">
        <v>22.7</v>
      </c>
      <c r="BQ32" s="144">
        <v>7</v>
      </c>
      <c r="BR32" s="144">
        <v>0.503</v>
      </c>
      <c r="BS32" s="144">
        <v>3.6030000000000002</v>
      </c>
      <c r="BT32" s="144">
        <v>0.5</v>
      </c>
      <c r="BU32" s="144">
        <v>0.5</v>
      </c>
      <c r="BV32" s="144">
        <v>0.28407863543583345</v>
      </c>
      <c r="BW32" s="138">
        <v>9.4629999999999992</v>
      </c>
      <c r="BX32" s="138">
        <v>9.9999999999997313E-4</v>
      </c>
      <c r="BY32" s="138">
        <v>4.6361787135226749</v>
      </c>
      <c r="BZ32" s="138">
        <v>1.1819106432386626</v>
      </c>
      <c r="CB32">
        <v>1.125</v>
      </c>
      <c r="CC32">
        <v>4.75</v>
      </c>
      <c r="CD32" s="151" t="s">
        <v>85</v>
      </c>
      <c r="CF32" s="150" t="s">
        <v>302</v>
      </c>
      <c r="CG32">
        <v>1.125</v>
      </c>
      <c r="CH32">
        <v>4.75</v>
      </c>
      <c r="CI32" s="151" t="s">
        <v>261</v>
      </c>
      <c r="DU32" s="220">
        <f t="shared" si="11"/>
        <v>648</v>
      </c>
      <c r="DV32" s="221">
        <v>54</v>
      </c>
      <c r="DW32" s="221">
        <v>9</v>
      </c>
      <c r="DX32" s="221">
        <v>64</v>
      </c>
      <c r="DY32" s="223">
        <f t="shared" si="104"/>
        <v>68</v>
      </c>
      <c r="DZ32" s="221">
        <v>384</v>
      </c>
      <c r="EA32" s="224" t="s">
        <v>261</v>
      </c>
      <c r="EH32" s="243">
        <v>32</v>
      </c>
      <c r="EI32" s="244">
        <v>384</v>
      </c>
      <c r="EJ32" s="90">
        <v>48</v>
      </c>
      <c r="EK32" s="90">
        <v>48</v>
      </c>
      <c r="EL32" s="90">
        <v>48</v>
      </c>
      <c r="EM32" s="90">
        <v>48</v>
      </c>
      <c r="EN32" s="90">
        <v>48</v>
      </c>
      <c r="EO32" s="90">
        <v>48</v>
      </c>
      <c r="EP32" s="90">
        <v>48</v>
      </c>
      <c r="EQ32" s="90">
        <v>48</v>
      </c>
      <c r="ER32" s="90" t="s">
        <v>1137</v>
      </c>
      <c r="ES32" s="90" t="s">
        <v>1137</v>
      </c>
      <c r="ET32" s="90" t="s">
        <v>1137</v>
      </c>
      <c r="EU32" s="90" t="s">
        <v>1137</v>
      </c>
      <c r="EV32" s="90" t="s">
        <v>1137</v>
      </c>
      <c r="EW32" s="90" t="s">
        <v>1137</v>
      </c>
      <c r="EX32" s="90" t="s">
        <v>1137</v>
      </c>
      <c r="EY32" s="90" t="s">
        <v>1137</v>
      </c>
      <c r="EZ32" s="90"/>
      <c r="FA32" s="224">
        <v>7</v>
      </c>
      <c r="FB32" s="245">
        <f t="shared" si="12"/>
        <v>384</v>
      </c>
      <c r="FD32" s="237">
        <f t="shared" si="13"/>
        <v>32</v>
      </c>
      <c r="FE32" s="246">
        <f t="shared" si="13"/>
        <v>384</v>
      </c>
      <c r="FF32" s="247">
        <f t="shared" si="13"/>
        <v>48</v>
      </c>
      <c r="FG32" s="247">
        <f t="shared" si="13"/>
        <v>48</v>
      </c>
      <c r="FH32" s="247">
        <f t="shared" si="13"/>
        <v>48</v>
      </c>
      <c r="FI32" s="247">
        <f t="shared" si="13"/>
        <v>48</v>
      </c>
      <c r="FJ32" s="247">
        <f t="shared" si="13"/>
        <v>48</v>
      </c>
      <c r="FK32" s="247">
        <f t="shared" si="13"/>
        <v>48</v>
      </c>
      <c r="FL32" s="247">
        <f t="shared" si="13"/>
        <v>48</v>
      </c>
      <c r="FM32" s="247">
        <f t="shared" si="13"/>
        <v>48</v>
      </c>
      <c r="FN32" s="247" t="str">
        <f t="shared" si="13"/>
        <v xml:space="preserve"> </v>
      </c>
      <c r="FO32" s="247" t="str">
        <f t="shared" si="13"/>
        <v xml:space="preserve"> </v>
      </c>
      <c r="FP32" s="247" t="str">
        <f t="shared" si="13"/>
        <v xml:space="preserve"> </v>
      </c>
      <c r="FQ32" s="247" t="str">
        <f t="shared" si="13"/>
        <v xml:space="preserve"> </v>
      </c>
      <c r="FR32" s="247" t="str">
        <f t="shared" si="13"/>
        <v xml:space="preserve"> </v>
      </c>
      <c r="FS32" s="247" t="str">
        <f t="shared" si="13"/>
        <v xml:space="preserve"> </v>
      </c>
      <c r="FT32" s="247" t="str">
        <f t="shared" si="105"/>
        <v xml:space="preserve"> </v>
      </c>
      <c r="FU32" s="247" t="str">
        <f t="shared" si="105"/>
        <v xml:space="preserve"> </v>
      </c>
      <c r="FV32" s="247">
        <f t="shared" si="105"/>
        <v>0</v>
      </c>
      <c r="FW32" s="248">
        <f t="shared" si="105"/>
        <v>7</v>
      </c>
      <c r="FX32" s="241">
        <f t="shared" si="105"/>
        <v>384</v>
      </c>
      <c r="FZ32" s="249">
        <v>32</v>
      </c>
      <c r="GA32" s="244">
        <v>384</v>
      </c>
      <c r="GB32" s="90">
        <v>42</v>
      </c>
      <c r="GC32" s="90">
        <v>60</v>
      </c>
      <c r="GD32" s="90">
        <v>60</v>
      </c>
      <c r="GE32" s="90">
        <v>60</v>
      </c>
      <c r="GF32" s="90">
        <v>60</v>
      </c>
      <c r="GG32" s="90">
        <v>60</v>
      </c>
      <c r="GH32" s="90">
        <v>42</v>
      </c>
      <c r="GI32" s="90"/>
      <c r="GJ32" s="90"/>
      <c r="GK32" s="90" t="s">
        <v>1137</v>
      </c>
      <c r="GL32" s="90" t="s">
        <v>1137</v>
      </c>
      <c r="GM32" s="90" t="s">
        <v>1137</v>
      </c>
      <c r="GN32" s="90" t="s">
        <v>1137</v>
      </c>
      <c r="GO32" s="90" t="s">
        <v>1137</v>
      </c>
      <c r="GP32" s="90" t="s">
        <v>1137</v>
      </c>
      <c r="GQ32" s="90" t="s">
        <v>1137</v>
      </c>
      <c r="GR32" s="90"/>
      <c r="GS32" s="224">
        <v>6</v>
      </c>
      <c r="GT32" s="245">
        <f t="shared" si="14"/>
        <v>384</v>
      </c>
      <c r="GV32" s="237">
        <f t="shared" si="15"/>
        <v>32</v>
      </c>
      <c r="GW32" s="246">
        <f t="shared" si="15"/>
        <v>384</v>
      </c>
      <c r="GX32" s="247">
        <f t="shared" si="15"/>
        <v>42</v>
      </c>
      <c r="GY32" s="247">
        <f t="shared" si="15"/>
        <v>60</v>
      </c>
      <c r="GZ32" s="247">
        <f t="shared" si="15"/>
        <v>60</v>
      </c>
      <c r="HA32" s="247">
        <f t="shared" si="15"/>
        <v>60</v>
      </c>
      <c r="HB32" s="247">
        <f t="shared" si="15"/>
        <v>60</v>
      </c>
      <c r="HC32" s="247">
        <f t="shared" si="15"/>
        <v>60</v>
      </c>
      <c r="HD32" s="247">
        <f t="shared" si="15"/>
        <v>42</v>
      </c>
      <c r="HE32" s="247">
        <f t="shared" si="15"/>
        <v>0</v>
      </c>
      <c r="HF32" s="247">
        <f t="shared" si="15"/>
        <v>0</v>
      </c>
      <c r="HG32" s="247" t="str">
        <f t="shared" si="15"/>
        <v xml:space="preserve"> </v>
      </c>
      <c r="HH32" s="247" t="str">
        <f t="shared" si="15"/>
        <v xml:space="preserve"> </v>
      </c>
      <c r="HI32" s="247" t="str">
        <f t="shared" si="15"/>
        <v xml:space="preserve"> </v>
      </c>
      <c r="HJ32" s="247" t="str">
        <f t="shared" si="15"/>
        <v xml:space="preserve"> </v>
      </c>
      <c r="HK32" s="247" t="str">
        <f t="shared" si="15"/>
        <v xml:space="preserve"> </v>
      </c>
      <c r="HL32" s="247" t="str">
        <f t="shared" si="106"/>
        <v xml:space="preserve"> </v>
      </c>
      <c r="HM32" s="247" t="str">
        <f t="shared" si="10"/>
        <v xml:space="preserve"> </v>
      </c>
      <c r="HN32" s="247">
        <f t="shared" si="10"/>
        <v>0</v>
      </c>
      <c r="HO32" s="248">
        <f t="shared" si="10"/>
        <v>6</v>
      </c>
      <c r="HP32" s="241">
        <f t="shared" si="10"/>
        <v>384</v>
      </c>
      <c r="HR32" s="243">
        <v>32</v>
      </c>
      <c r="HS32" s="244">
        <v>384</v>
      </c>
      <c r="HT32" s="90">
        <v>48</v>
      </c>
      <c r="HU32" s="90">
        <v>72</v>
      </c>
      <c r="HV32" s="90">
        <v>72</v>
      </c>
      <c r="HW32" s="90">
        <v>72</v>
      </c>
      <c r="HX32" s="90">
        <v>72</v>
      </c>
      <c r="HY32" s="90">
        <v>48</v>
      </c>
      <c r="HZ32" s="90"/>
      <c r="IA32" s="90"/>
      <c r="IB32" s="90"/>
      <c r="IC32" s="90"/>
      <c r="ID32" s="90"/>
      <c r="IE32" s="90"/>
      <c r="IF32" s="90"/>
      <c r="IG32" s="90"/>
      <c r="IH32" s="90"/>
      <c r="II32" s="90"/>
      <c r="IJ32" s="90"/>
      <c r="IK32" s="224">
        <v>5</v>
      </c>
      <c r="IL32" s="245">
        <f t="shared" si="16"/>
        <v>384</v>
      </c>
      <c r="IN32" s="243">
        <v>32</v>
      </c>
      <c r="IO32" s="244">
        <v>384</v>
      </c>
      <c r="IP32" s="90">
        <v>66</v>
      </c>
      <c r="IQ32" s="90">
        <v>84</v>
      </c>
      <c r="IR32" s="90">
        <v>84</v>
      </c>
      <c r="IS32" s="90">
        <v>84</v>
      </c>
      <c r="IT32" s="90">
        <v>66</v>
      </c>
      <c r="IU32" s="90"/>
      <c r="IV32" s="90"/>
      <c r="IW32" s="90"/>
      <c r="IX32" s="90"/>
      <c r="IY32" s="90"/>
      <c r="IZ32" s="90"/>
      <c r="JA32" s="90"/>
      <c r="JB32" s="90"/>
      <c r="JC32" s="90"/>
      <c r="JD32" s="90"/>
      <c r="JE32" s="90"/>
      <c r="JF32" s="90"/>
      <c r="JG32" s="224">
        <v>4</v>
      </c>
      <c r="JH32" s="245">
        <f t="shared" si="17"/>
        <v>384</v>
      </c>
      <c r="JJ32" s="249">
        <v>32</v>
      </c>
      <c r="JK32" s="244">
        <v>384</v>
      </c>
      <c r="JL32" s="90">
        <v>96</v>
      </c>
      <c r="JM32" s="90">
        <v>96</v>
      </c>
      <c r="JN32" s="90">
        <v>96</v>
      </c>
      <c r="JO32" s="90">
        <v>96</v>
      </c>
      <c r="JP32" s="90"/>
      <c r="JQ32" s="90"/>
      <c r="JR32" s="90"/>
      <c r="JS32" s="90"/>
      <c r="JT32" s="90"/>
      <c r="JU32" s="90"/>
      <c r="JV32" s="90"/>
      <c r="JW32" s="90"/>
      <c r="JX32" s="90"/>
      <c r="JY32" s="90"/>
      <c r="JZ32" s="90"/>
      <c r="KA32" s="90"/>
      <c r="KB32" s="90"/>
      <c r="KC32" s="224">
        <v>3</v>
      </c>
      <c r="KD32" s="245">
        <f t="shared" si="18"/>
        <v>384</v>
      </c>
      <c r="KF32" s="243">
        <v>32</v>
      </c>
      <c r="KG32" s="244">
        <v>384</v>
      </c>
      <c r="KH32" s="90">
        <v>30</v>
      </c>
      <c r="KI32" s="90">
        <v>54</v>
      </c>
      <c r="KJ32" s="90">
        <v>54</v>
      </c>
      <c r="KK32" s="90">
        <v>54</v>
      </c>
      <c r="KL32" s="90">
        <v>54</v>
      </c>
      <c r="KM32" s="90">
        <v>54</v>
      </c>
      <c r="KN32" s="90">
        <v>54</v>
      </c>
      <c r="KO32" s="90">
        <v>30</v>
      </c>
      <c r="KP32" s="90"/>
      <c r="KQ32" s="90"/>
      <c r="KR32" s="90"/>
      <c r="KS32" s="90"/>
      <c r="KT32" s="90"/>
      <c r="KU32" s="90"/>
      <c r="KV32" s="90"/>
      <c r="KW32" s="90"/>
      <c r="KX32" s="90"/>
      <c r="KY32" s="224">
        <v>7</v>
      </c>
      <c r="KZ32" s="245">
        <f t="shared" si="19"/>
        <v>384</v>
      </c>
      <c r="LB32" s="237">
        <f t="shared" si="20"/>
        <v>32</v>
      </c>
      <c r="LC32" s="284">
        <f t="shared" si="21"/>
        <v>384</v>
      </c>
      <c r="LD32" s="237">
        <f t="shared" si="22"/>
        <v>30</v>
      </c>
      <c r="LE32" s="237">
        <f t="shared" si="23"/>
        <v>54</v>
      </c>
      <c r="LF32" s="237">
        <f t="shared" si="24"/>
        <v>54</v>
      </c>
      <c r="LG32" s="237">
        <f t="shared" si="25"/>
        <v>54</v>
      </c>
      <c r="LH32" s="237">
        <f t="shared" si="26"/>
        <v>54</v>
      </c>
      <c r="LI32" s="237">
        <f t="shared" si="27"/>
        <v>54</v>
      </c>
      <c r="LJ32" s="237">
        <f t="shared" si="28"/>
        <v>54</v>
      </c>
      <c r="LK32" s="237">
        <f t="shared" si="29"/>
        <v>30</v>
      </c>
      <c r="LL32" s="237">
        <f t="shared" si="30"/>
        <v>0</v>
      </c>
      <c r="LM32" s="237">
        <f t="shared" si="31"/>
        <v>0</v>
      </c>
      <c r="LN32" s="237">
        <f t="shared" si="32"/>
        <v>0</v>
      </c>
      <c r="LO32" s="237">
        <f t="shared" si="33"/>
        <v>0</v>
      </c>
      <c r="LP32" s="237">
        <f t="shared" si="34"/>
        <v>0</v>
      </c>
      <c r="LQ32" s="237">
        <f t="shared" si="35"/>
        <v>0</v>
      </c>
      <c r="LR32" s="237">
        <f t="shared" si="36"/>
        <v>0</v>
      </c>
      <c r="LS32" s="237">
        <f t="shared" si="37"/>
        <v>0</v>
      </c>
      <c r="LT32" s="237">
        <f t="shared" si="38"/>
        <v>0</v>
      </c>
      <c r="LU32" s="285">
        <f t="shared" si="39"/>
        <v>7</v>
      </c>
      <c r="LV32" s="280">
        <f t="shared" si="40"/>
        <v>384</v>
      </c>
      <c r="LX32" s="237">
        <f t="shared" si="41"/>
        <v>32</v>
      </c>
      <c r="LY32" s="284">
        <f t="shared" si="42"/>
        <v>384</v>
      </c>
      <c r="LZ32" s="237">
        <f t="shared" si="43"/>
        <v>30</v>
      </c>
      <c r="MA32" s="237">
        <f t="shared" si="44"/>
        <v>54</v>
      </c>
      <c r="MB32" s="237">
        <f t="shared" si="45"/>
        <v>54</v>
      </c>
      <c r="MC32" s="237">
        <f t="shared" si="46"/>
        <v>54</v>
      </c>
      <c r="MD32" s="237">
        <f t="shared" si="47"/>
        <v>54</v>
      </c>
      <c r="ME32" s="237">
        <f t="shared" si="48"/>
        <v>54</v>
      </c>
      <c r="MF32" s="237">
        <f t="shared" si="49"/>
        <v>54</v>
      </c>
      <c r="MG32" s="237">
        <f t="shared" si="50"/>
        <v>30</v>
      </c>
      <c r="MH32" s="237">
        <f t="shared" si="51"/>
        <v>0</v>
      </c>
      <c r="MI32" s="237">
        <f t="shared" si="52"/>
        <v>0</v>
      </c>
      <c r="MJ32" s="237">
        <f t="shared" si="53"/>
        <v>0</v>
      </c>
      <c r="MK32" s="237">
        <f t="shared" si="54"/>
        <v>0</v>
      </c>
      <c r="ML32" s="237">
        <f t="shared" si="55"/>
        <v>0</v>
      </c>
      <c r="MM32" s="237">
        <f t="shared" si="56"/>
        <v>0</v>
      </c>
      <c r="MN32" s="237">
        <f t="shared" si="57"/>
        <v>0</v>
      </c>
      <c r="MO32" s="237">
        <f t="shared" si="58"/>
        <v>0</v>
      </c>
      <c r="MP32" s="237">
        <f t="shared" si="59"/>
        <v>0</v>
      </c>
      <c r="MQ32" s="285">
        <f t="shared" si="60"/>
        <v>7</v>
      </c>
      <c r="MR32" s="280">
        <f t="shared" si="61"/>
        <v>384</v>
      </c>
      <c r="MT32" s="237">
        <f t="shared" si="62"/>
        <v>32</v>
      </c>
      <c r="MU32" s="284">
        <f t="shared" si="63"/>
        <v>384</v>
      </c>
      <c r="MV32" s="237">
        <f t="shared" si="64"/>
        <v>30</v>
      </c>
      <c r="MW32" s="237">
        <f t="shared" si="65"/>
        <v>54</v>
      </c>
      <c r="MX32" s="237">
        <f t="shared" si="66"/>
        <v>54</v>
      </c>
      <c r="MY32" s="237">
        <f t="shared" si="67"/>
        <v>54</v>
      </c>
      <c r="MZ32" s="237">
        <f t="shared" si="68"/>
        <v>54</v>
      </c>
      <c r="NA32" s="237">
        <f t="shared" si="69"/>
        <v>54</v>
      </c>
      <c r="NB32" s="237">
        <f t="shared" si="70"/>
        <v>54</v>
      </c>
      <c r="NC32" s="237">
        <f t="shared" si="71"/>
        <v>30</v>
      </c>
      <c r="ND32" s="237">
        <f t="shared" si="72"/>
        <v>0</v>
      </c>
      <c r="NE32" s="237">
        <f t="shared" si="73"/>
        <v>0</v>
      </c>
      <c r="NF32" s="237">
        <f t="shared" si="74"/>
        <v>0</v>
      </c>
      <c r="NG32" s="237">
        <f t="shared" si="75"/>
        <v>0</v>
      </c>
      <c r="NH32" s="237">
        <f t="shared" si="76"/>
        <v>0</v>
      </c>
      <c r="NI32" s="237">
        <f t="shared" si="77"/>
        <v>0</v>
      </c>
      <c r="NJ32" s="237">
        <f t="shared" si="78"/>
        <v>0</v>
      </c>
      <c r="NK32" s="237">
        <f t="shared" si="79"/>
        <v>0</v>
      </c>
      <c r="NL32" s="237">
        <f t="shared" si="80"/>
        <v>0</v>
      </c>
      <c r="NM32" s="285">
        <f t="shared" si="81"/>
        <v>7</v>
      </c>
      <c r="NN32" s="280">
        <f t="shared" si="82"/>
        <v>384</v>
      </c>
      <c r="NP32" s="237">
        <f t="shared" si="83"/>
        <v>32</v>
      </c>
      <c r="NQ32" s="284">
        <f t="shared" si="84"/>
        <v>384</v>
      </c>
      <c r="NR32" s="237">
        <f t="shared" si="85"/>
        <v>30</v>
      </c>
      <c r="NS32" s="237">
        <f t="shared" si="86"/>
        <v>54</v>
      </c>
      <c r="NT32" s="237">
        <f t="shared" si="87"/>
        <v>54</v>
      </c>
      <c r="NU32" s="237">
        <f t="shared" si="88"/>
        <v>54</v>
      </c>
      <c r="NV32" s="237">
        <f t="shared" si="89"/>
        <v>54</v>
      </c>
      <c r="NW32" s="237">
        <f t="shared" si="90"/>
        <v>54</v>
      </c>
      <c r="NX32" s="237">
        <f t="shared" si="91"/>
        <v>54</v>
      </c>
      <c r="NY32" s="237">
        <f t="shared" si="92"/>
        <v>30</v>
      </c>
      <c r="NZ32" s="237">
        <f t="shared" si="93"/>
        <v>0</v>
      </c>
      <c r="OA32" s="237">
        <f t="shared" si="94"/>
        <v>0</v>
      </c>
      <c r="OB32" s="237">
        <f t="shared" si="95"/>
        <v>0</v>
      </c>
      <c r="OC32" s="237">
        <f t="shared" si="96"/>
        <v>0</v>
      </c>
      <c r="OD32" s="237">
        <f t="shared" si="97"/>
        <v>0</v>
      </c>
      <c r="OE32" s="237">
        <f t="shared" si="98"/>
        <v>0</v>
      </c>
      <c r="OF32" s="237">
        <f t="shared" si="99"/>
        <v>0</v>
      </c>
      <c r="OG32" s="237">
        <f t="shared" si="100"/>
        <v>0</v>
      </c>
      <c r="OH32" s="237">
        <f t="shared" si="101"/>
        <v>0</v>
      </c>
      <c r="OI32" s="285">
        <f t="shared" si="102"/>
        <v>7</v>
      </c>
      <c r="OJ32" s="280">
        <f t="shared" si="103"/>
        <v>384</v>
      </c>
    </row>
    <row r="33" spans="12:400" ht="15" thickBot="1" x14ac:dyDescent="0.35">
      <c r="L33" s="127" t="str">
        <f t="shared" si="5"/>
        <v>C3x4.1</v>
      </c>
      <c r="M33" s="138">
        <v>4.0999999999999996</v>
      </c>
      <c r="N33" s="138">
        <v>1.21</v>
      </c>
      <c r="O33" s="138">
        <v>3.0000000000000004</v>
      </c>
      <c r="P33" s="138">
        <v>0.16999999999999998</v>
      </c>
      <c r="Q33" s="138">
        <v>1.41</v>
      </c>
      <c r="R33" s="138">
        <v>0.27300000000000002</v>
      </c>
      <c r="S33" s="138">
        <v>0.27</v>
      </c>
      <c r="T33" s="138">
        <v>0.1</v>
      </c>
      <c r="U33">
        <v>9.4629999999999992</v>
      </c>
      <c r="V33" s="138">
        <f t="shared" si="6"/>
        <v>8.4947435596928661E-2</v>
      </c>
      <c r="W33" s="139">
        <f t="shared" si="7"/>
        <v>4.0999999999999996</v>
      </c>
      <c r="X33" s="140" t="s">
        <v>81</v>
      </c>
      <c r="Y33" s="141">
        <v>0.6875</v>
      </c>
      <c r="Z33" s="141">
        <v>1.625</v>
      </c>
      <c r="AA33" s="133" t="s">
        <v>85</v>
      </c>
      <c r="AE33" s="127" t="str">
        <f t="shared" si="0"/>
        <v>L2.5x3x0.25</v>
      </c>
      <c r="AF33" s="138">
        <v>2.5</v>
      </c>
      <c r="AG33" s="138">
        <v>3.0000000000000004</v>
      </c>
      <c r="AH33" s="138">
        <v>0.25</v>
      </c>
      <c r="AI33" s="138">
        <v>0.3125</v>
      </c>
      <c r="AJ33" s="138">
        <v>0.25</v>
      </c>
      <c r="AK33">
        <f t="shared" si="1"/>
        <v>2.0000000000000001E-4</v>
      </c>
      <c r="AL33" t="s">
        <v>112</v>
      </c>
      <c r="AM33" s="133" t="s">
        <v>85</v>
      </c>
      <c r="AP33" s="127" t="str">
        <f t="shared" si="2"/>
        <v>S3x7.5</v>
      </c>
      <c r="AQ33">
        <v>3</v>
      </c>
      <c r="AR33" s="138">
        <v>7.5</v>
      </c>
      <c r="AS33" s="138">
        <v>3.0000000000000004</v>
      </c>
      <c r="AT33" s="138">
        <v>0.34899999999999998</v>
      </c>
      <c r="AU33" s="138">
        <v>2.5089999999999999</v>
      </c>
      <c r="AV33" s="138">
        <v>0.26</v>
      </c>
      <c r="AW33" s="138">
        <v>0.27</v>
      </c>
      <c r="AX33" s="138">
        <v>0.1</v>
      </c>
      <c r="AY33">
        <v>9.4630000000000312</v>
      </c>
      <c r="AZ33" s="138">
        <f t="shared" si="3"/>
        <v>1.8425437273624747</v>
      </c>
      <c r="BA33" s="133" t="s">
        <v>85</v>
      </c>
      <c r="BD33" s="143" t="str">
        <f t="shared" si="4"/>
        <v>W10x33</v>
      </c>
      <c r="BE33">
        <v>10</v>
      </c>
      <c r="BF33" s="138">
        <v>33</v>
      </c>
      <c r="BG33" s="138">
        <v>9.73</v>
      </c>
      <c r="BH33" s="138">
        <v>0.28999999999999998</v>
      </c>
      <c r="BI33" s="138">
        <v>7.96</v>
      </c>
      <c r="BJ33" s="138">
        <v>0.435</v>
      </c>
      <c r="BK33" s="138">
        <v>0.5</v>
      </c>
      <c r="BM33" s="133" t="s">
        <v>85</v>
      </c>
      <c r="BO33" s="150" t="s">
        <v>303</v>
      </c>
      <c r="BP33" s="138">
        <v>19.100000000000001</v>
      </c>
      <c r="BQ33" s="144">
        <v>7</v>
      </c>
      <c r="BR33" s="144">
        <v>0.35199999999999998</v>
      </c>
      <c r="BS33" s="144">
        <v>3.4520000000000004</v>
      </c>
      <c r="BT33" s="144">
        <v>0.5</v>
      </c>
      <c r="BU33" s="144">
        <v>0.5</v>
      </c>
      <c r="BV33" s="144">
        <v>0.28407863543583345</v>
      </c>
      <c r="BW33" s="138">
        <v>9.4629999999999992</v>
      </c>
      <c r="BX33" s="138">
        <v>9.9999999999994538E-4</v>
      </c>
      <c r="BY33" s="138">
        <v>4.6361787135226749</v>
      </c>
      <c r="BZ33" s="138">
        <v>1.1819106432386626</v>
      </c>
      <c r="CB33">
        <v>1.125</v>
      </c>
      <c r="CC33">
        <v>4.75</v>
      </c>
      <c r="CD33" s="151" t="s">
        <v>85</v>
      </c>
      <c r="CF33" s="150" t="s">
        <v>303</v>
      </c>
      <c r="CG33">
        <v>1.125</v>
      </c>
      <c r="CH33">
        <v>4.75</v>
      </c>
      <c r="CI33" s="151" t="s">
        <v>261</v>
      </c>
      <c r="DU33" s="225" t="s">
        <v>84</v>
      </c>
      <c r="DV33" s="226" t="s">
        <v>84</v>
      </c>
      <c r="DW33" s="226" t="s">
        <v>84</v>
      </c>
      <c r="DX33" s="226" t="s">
        <v>84</v>
      </c>
      <c r="DY33" s="226" t="s">
        <v>84</v>
      </c>
      <c r="DZ33" s="226" t="s">
        <v>84</v>
      </c>
      <c r="EA33" s="227" t="s">
        <v>84</v>
      </c>
      <c r="EH33" s="232">
        <v>33</v>
      </c>
      <c r="EI33" s="256">
        <v>396</v>
      </c>
      <c r="EJ33" s="257">
        <v>30</v>
      </c>
      <c r="EK33" s="257">
        <v>48</v>
      </c>
      <c r="EL33" s="257">
        <v>48</v>
      </c>
      <c r="EM33" s="257">
        <v>48</v>
      </c>
      <c r="EN33" s="257">
        <v>48</v>
      </c>
      <c r="EO33" s="257">
        <v>48</v>
      </c>
      <c r="EP33" s="257">
        <v>48</v>
      </c>
      <c r="EQ33" s="257">
        <v>48</v>
      </c>
      <c r="ER33" s="257">
        <v>30</v>
      </c>
      <c r="ES33" s="257" t="s">
        <v>1137</v>
      </c>
      <c r="ET33" s="257" t="s">
        <v>1137</v>
      </c>
      <c r="EU33" s="257" t="s">
        <v>1137</v>
      </c>
      <c r="EV33" s="257" t="s">
        <v>1137</v>
      </c>
      <c r="EW33" s="257" t="s">
        <v>1137</v>
      </c>
      <c r="EX33" s="257" t="s">
        <v>1137</v>
      </c>
      <c r="EY33" s="257" t="s">
        <v>1137</v>
      </c>
      <c r="EZ33" s="257"/>
      <c r="FA33" s="258">
        <v>8</v>
      </c>
      <c r="FB33" s="236">
        <f t="shared" si="12"/>
        <v>396</v>
      </c>
      <c r="FD33" s="237">
        <f t="shared" si="13"/>
        <v>33</v>
      </c>
      <c r="FE33" s="246">
        <f t="shared" si="13"/>
        <v>396</v>
      </c>
      <c r="FF33" s="247">
        <f t="shared" si="13"/>
        <v>30</v>
      </c>
      <c r="FG33" s="247">
        <f t="shared" ref="FG33:FS52" si="107">EK33</f>
        <v>48</v>
      </c>
      <c r="FH33" s="247">
        <f t="shared" si="107"/>
        <v>48</v>
      </c>
      <c r="FI33" s="247">
        <f t="shared" si="107"/>
        <v>48</v>
      </c>
      <c r="FJ33" s="247">
        <f t="shared" si="107"/>
        <v>48</v>
      </c>
      <c r="FK33" s="247">
        <f t="shared" si="107"/>
        <v>48</v>
      </c>
      <c r="FL33" s="247">
        <f t="shared" si="107"/>
        <v>48</v>
      </c>
      <c r="FM33" s="247">
        <f t="shared" si="107"/>
        <v>48</v>
      </c>
      <c r="FN33" s="247">
        <f t="shared" si="107"/>
        <v>30</v>
      </c>
      <c r="FO33" s="247" t="str">
        <f t="shared" si="107"/>
        <v xml:space="preserve"> </v>
      </c>
      <c r="FP33" s="247" t="str">
        <f t="shared" si="107"/>
        <v xml:space="preserve"> </v>
      </c>
      <c r="FQ33" s="247" t="str">
        <f t="shared" si="107"/>
        <v xml:space="preserve"> </v>
      </c>
      <c r="FR33" s="247" t="str">
        <f t="shared" si="107"/>
        <v xml:space="preserve"> </v>
      </c>
      <c r="FS33" s="247" t="str">
        <f t="shared" si="107"/>
        <v xml:space="preserve"> </v>
      </c>
      <c r="FT33" s="247" t="str">
        <f t="shared" si="105"/>
        <v xml:space="preserve"> </v>
      </c>
      <c r="FU33" s="247" t="str">
        <f t="shared" si="105"/>
        <v xml:space="preserve"> </v>
      </c>
      <c r="FV33" s="247">
        <f t="shared" si="105"/>
        <v>0</v>
      </c>
      <c r="FW33" s="248">
        <f t="shared" si="105"/>
        <v>8</v>
      </c>
      <c r="FX33" s="241">
        <f t="shared" si="105"/>
        <v>396</v>
      </c>
      <c r="FZ33" s="242">
        <v>33</v>
      </c>
      <c r="GA33" s="256">
        <v>396</v>
      </c>
      <c r="GB33" s="257">
        <v>48</v>
      </c>
      <c r="GC33" s="257">
        <v>60</v>
      </c>
      <c r="GD33" s="257">
        <v>60</v>
      </c>
      <c r="GE33" s="257">
        <v>60</v>
      </c>
      <c r="GF33" s="257">
        <v>60</v>
      </c>
      <c r="GG33" s="257">
        <v>60</v>
      </c>
      <c r="GH33" s="257">
        <v>48</v>
      </c>
      <c r="GI33" s="257"/>
      <c r="GJ33" s="257"/>
      <c r="GK33" s="257" t="s">
        <v>1137</v>
      </c>
      <c r="GL33" s="257" t="s">
        <v>1137</v>
      </c>
      <c r="GM33" s="257" t="s">
        <v>1137</v>
      </c>
      <c r="GN33" s="257" t="s">
        <v>1137</v>
      </c>
      <c r="GO33" s="257" t="s">
        <v>1137</v>
      </c>
      <c r="GP33" s="257" t="s">
        <v>1137</v>
      </c>
      <c r="GQ33" s="257" t="s">
        <v>1137</v>
      </c>
      <c r="GR33" s="257"/>
      <c r="GS33" s="258">
        <v>6</v>
      </c>
      <c r="GT33" s="236">
        <f t="shared" si="14"/>
        <v>396</v>
      </c>
      <c r="GV33" s="237">
        <f t="shared" si="15"/>
        <v>33</v>
      </c>
      <c r="GW33" s="246">
        <f t="shared" si="15"/>
        <v>396</v>
      </c>
      <c r="GX33" s="247">
        <f t="shared" si="15"/>
        <v>48</v>
      </c>
      <c r="GY33" s="247">
        <f t="shared" si="15"/>
        <v>60</v>
      </c>
      <c r="GZ33" s="247">
        <f t="shared" si="15"/>
        <v>60</v>
      </c>
      <c r="HA33" s="247">
        <f t="shared" si="15"/>
        <v>60</v>
      </c>
      <c r="HB33" s="247">
        <f t="shared" si="15"/>
        <v>60</v>
      </c>
      <c r="HC33" s="247">
        <f t="shared" si="15"/>
        <v>60</v>
      </c>
      <c r="HD33" s="247">
        <f t="shared" si="15"/>
        <v>48</v>
      </c>
      <c r="HE33" s="247">
        <f t="shared" si="15"/>
        <v>0</v>
      </c>
      <c r="HF33" s="247">
        <f t="shared" si="15"/>
        <v>0</v>
      </c>
      <c r="HG33" s="247" t="str">
        <f t="shared" si="15"/>
        <v xml:space="preserve"> </v>
      </c>
      <c r="HH33" s="247" t="str">
        <f t="shared" si="15"/>
        <v xml:space="preserve"> </v>
      </c>
      <c r="HI33" s="247" t="str">
        <f t="shared" si="15"/>
        <v xml:space="preserve"> </v>
      </c>
      <c r="HJ33" s="247" t="str">
        <f t="shared" si="15"/>
        <v xml:space="preserve"> </v>
      </c>
      <c r="HK33" s="247" t="str">
        <f t="shared" si="15"/>
        <v xml:space="preserve"> </v>
      </c>
      <c r="HL33" s="247" t="str">
        <f t="shared" si="106"/>
        <v xml:space="preserve"> </v>
      </c>
      <c r="HM33" s="247" t="str">
        <f t="shared" si="10"/>
        <v xml:space="preserve"> </v>
      </c>
      <c r="HN33" s="247">
        <f t="shared" si="10"/>
        <v>0</v>
      </c>
      <c r="HO33" s="248">
        <f t="shared" si="10"/>
        <v>6</v>
      </c>
      <c r="HP33" s="241">
        <f t="shared" si="10"/>
        <v>396</v>
      </c>
      <c r="HR33" s="232">
        <v>33</v>
      </c>
      <c r="HS33" s="256">
        <v>396</v>
      </c>
      <c r="HT33" s="257">
        <v>54</v>
      </c>
      <c r="HU33" s="257">
        <v>72</v>
      </c>
      <c r="HV33" s="257">
        <v>72</v>
      </c>
      <c r="HW33" s="257">
        <v>72</v>
      </c>
      <c r="HX33" s="257">
        <v>72</v>
      </c>
      <c r="HY33" s="257">
        <v>54</v>
      </c>
      <c r="HZ33" s="257"/>
      <c r="IA33" s="257"/>
      <c r="IB33" s="257"/>
      <c r="IC33" s="257"/>
      <c r="ID33" s="257"/>
      <c r="IE33" s="257"/>
      <c r="IF33" s="257"/>
      <c r="IG33" s="257"/>
      <c r="IH33" s="257"/>
      <c r="II33" s="257"/>
      <c r="IJ33" s="257"/>
      <c r="IK33" s="258">
        <v>5</v>
      </c>
      <c r="IL33" s="236">
        <f t="shared" si="16"/>
        <v>396</v>
      </c>
      <c r="IN33" s="232">
        <v>33</v>
      </c>
      <c r="IO33" s="256">
        <v>396</v>
      </c>
      <c r="IP33" s="257">
        <v>72</v>
      </c>
      <c r="IQ33" s="257">
        <v>84</v>
      </c>
      <c r="IR33" s="257">
        <v>84</v>
      </c>
      <c r="IS33" s="257">
        <v>84</v>
      </c>
      <c r="IT33" s="257">
        <v>72</v>
      </c>
      <c r="IU33" s="257"/>
      <c r="IV33" s="257"/>
      <c r="IW33" s="257"/>
      <c r="IX33" s="257"/>
      <c r="IY33" s="257"/>
      <c r="IZ33" s="257"/>
      <c r="JA33" s="257"/>
      <c r="JB33" s="257"/>
      <c r="JC33" s="257"/>
      <c r="JD33" s="257"/>
      <c r="JE33" s="257"/>
      <c r="JF33" s="257"/>
      <c r="JG33" s="258">
        <v>4</v>
      </c>
      <c r="JH33" s="236">
        <f t="shared" si="17"/>
        <v>396</v>
      </c>
      <c r="JJ33" s="242">
        <v>33</v>
      </c>
      <c r="JK33" s="256">
        <v>396</v>
      </c>
      <c r="JL33" s="257">
        <v>54</v>
      </c>
      <c r="JM33" s="257">
        <v>96</v>
      </c>
      <c r="JN33" s="257">
        <v>96</v>
      </c>
      <c r="JO33" s="257">
        <v>96</v>
      </c>
      <c r="JP33" s="257">
        <v>54</v>
      </c>
      <c r="JQ33" s="257"/>
      <c r="JR33" s="257"/>
      <c r="JS33" s="257"/>
      <c r="JT33" s="257"/>
      <c r="JU33" s="257"/>
      <c r="JV33" s="257"/>
      <c r="JW33" s="257"/>
      <c r="JX33" s="257"/>
      <c r="JY33" s="257"/>
      <c r="JZ33" s="257"/>
      <c r="KA33" s="257"/>
      <c r="KB33" s="257"/>
      <c r="KC33" s="258">
        <v>4</v>
      </c>
      <c r="KD33" s="236">
        <f t="shared" si="18"/>
        <v>396</v>
      </c>
      <c r="KF33" s="232">
        <v>33</v>
      </c>
      <c r="KG33" s="256">
        <v>396</v>
      </c>
      <c r="KH33" s="257">
        <v>36</v>
      </c>
      <c r="KI33" s="257">
        <v>54</v>
      </c>
      <c r="KJ33" s="257">
        <v>54</v>
      </c>
      <c r="KK33" s="257">
        <v>54</v>
      </c>
      <c r="KL33" s="257">
        <v>54</v>
      </c>
      <c r="KM33" s="257">
        <v>54</v>
      </c>
      <c r="KN33" s="257">
        <v>54</v>
      </c>
      <c r="KO33" s="257">
        <v>36</v>
      </c>
      <c r="KP33" s="257"/>
      <c r="KQ33" s="257"/>
      <c r="KR33" s="257"/>
      <c r="KS33" s="257"/>
      <c r="KT33" s="257"/>
      <c r="KU33" s="257"/>
      <c r="KV33" s="257"/>
      <c r="KW33" s="257"/>
      <c r="KX33" s="257"/>
      <c r="KY33" s="258">
        <v>7</v>
      </c>
      <c r="KZ33" s="236">
        <f t="shared" si="19"/>
        <v>396</v>
      </c>
      <c r="LB33" s="237">
        <f t="shared" si="20"/>
        <v>33</v>
      </c>
      <c r="LC33" s="284">
        <f t="shared" si="21"/>
        <v>396</v>
      </c>
      <c r="LD33" s="237">
        <f t="shared" si="22"/>
        <v>36</v>
      </c>
      <c r="LE33" s="237">
        <f t="shared" si="23"/>
        <v>54</v>
      </c>
      <c r="LF33" s="237">
        <f t="shared" si="24"/>
        <v>54</v>
      </c>
      <c r="LG33" s="237">
        <f t="shared" si="25"/>
        <v>54</v>
      </c>
      <c r="LH33" s="237">
        <f t="shared" si="26"/>
        <v>54</v>
      </c>
      <c r="LI33" s="237">
        <f t="shared" si="27"/>
        <v>54</v>
      </c>
      <c r="LJ33" s="237">
        <f t="shared" si="28"/>
        <v>54</v>
      </c>
      <c r="LK33" s="237">
        <f t="shared" si="29"/>
        <v>36</v>
      </c>
      <c r="LL33" s="237">
        <f t="shared" si="30"/>
        <v>0</v>
      </c>
      <c r="LM33" s="237">
        <f t="shared" si="31"/>
        <v>0</v>
      </c>
      <c r="LN33" s="237">
        <f t="shared" si="32"/>
        <v>0</v>
      </c>
      <c r="LO33" s="237">
        <f t="shared" si="33"/>
        <v>0</v>
      </c>
      <c r="LP33" s="237">
        <f t="shared" si="34"/>
        <v>0</v>
      </c>
      <c r="LQ33" s="237">
        <f t="shared" si="35"/>
        <v>0</v>
      </c>
      <c r="LR33" s="237">
        <f t="shared" si="36"/>
        <v>0</v>
      </c>
      <c r="LS33" s="237">
        <f t="shared" si="37"/>
        <v>0</v>
      </c>
      <c r="LT33" s="237">
        <f t="shared" si="38"/>
        <v>0</v>
      </c>
      <c r="LU33" s="285">
        <f t="shared" si="39"/>
        <v>7</v>
      </c>
      <c r="LV33" s="280">
        <f t="shared" si="40"/>
        <v>396</v>
      </c>
      <c r="LX33" s="237">
        <f t="shared" si="41"/>
        <v>33</v>
      </c>
      <c r="LY33" s="284">
        <f t="shared" si="42"/>
        <v>396</v>
      </c>
      <c r="LZ33" s="237">
        <f t="shared" si="43"/>
        <v>36</v>
      </c>
      <c r="MA33" s="237">
        <f t="shared" si="44"/>
        <v>54</v>
      </c>
      <c r="MB33" s="237">
        <f t="shared" si="45"/>
        <v>54</v>
      </c>
      <c r="MC33" s="237">
        <f t="shared" si="46"/>
        <v>54</v>
      </c>
      <c r="MD33" s="237">
        <f t="shared" si="47"/>
        <v>54</v>
      </c>
      <c r="ME33" s="237">
        <f t="shared" si="48"/>
        <v>54</v>
      </c>
      <c r="MF33" s="237">
        <f t="shared" si="49"/>
        <v>54</v>
      </c>
      <c r="MG33" s="237">
        <f t="shared" si="50"/>
        <v>36</v>
      </c>
      <c r="MH33" s="237">
        <f t="shared" si="51"/>
        <v>0</v>
      </c>
      <c r="MI33" s="237">
        <f t="shared" si="52"/>
        <v>0</v>
      </c>
      <c r="MJ33" s="237">
        <f t="shared" si="53"/>
        <v>0</v>
      </c>
      <c r="MK33" s="237">
        <f t="shared" si="54"/>
        <v>0</v>
      </c>
      <c r="ML33" s="237">
        <f t="shared" si="55"/>
        <v>0</v>
      </c>
      <c r="MM33" s="237">
        <f t="shared" si="56"/>
        <v>0</v>
      </c>
      <c r="MN33" s="237">
        <f t="shared" si="57"/>
        <v>0</v>
      </c>
      <c r="MO33" s="237">
        <f t="shared" si="58"/>
        <v>0</v>
      </c>
      <c r="MP33" s="237">
        <f t="shared" si="59"/>
        <v>0</v>
      </c>
      <c r="MQ33" s="285">
        <f t="shared" si="60"/>
        <v>7</v>
      </c>
      <c r="MR33" s="280">
        <f t="shared" si="61"/>
        <v>396</v>
      </c>
      <c r="MT33" s="237">
        <f t="shared" si="62"/>
        <v>33</v>
      </c>
      <c r="MU33" s="284">
        <f t="shared" si="63"/>
        <v>396</v>
      </c>
      <c r="MV33" s="237">
        <f t="shared" si="64"/>
        <v>36</v>
      </c>
      <c r="MW33" s="237">
        <f t="shared" si="65"/>
        <v>54</v>
      </c>
      <c r="MX33" s="237">
        <f t="shared" si="66"/>
        <v>54</v>
      </c>
      <c r="MY33" s="237">
        <f t="shared" si="67"/>
        <v>54</v>
      </c>
      <c r="MZ33" s="237">
        <f t="shared" si="68"/>
        <v>54</v>
      </c>
      <c r="NA33" s="237">
        <f t="shared" si="69"/>
        <v>54</v>
      </c>
      <c r="NB33" s="237">
        <f t="shared" si="70"/>
        <v>54</v>
      </c>
      <c r="NC33" s="237">
        <f t="shared" si="71"/>
        <v>36</v>
      </c>
      <c r="ND33" s="237">
        <f t="shared" si="72"/>
        <v>0</v>
      </c>
      <c r="NE33" s="237">
        <f t="shared" si="73"/>
        <v>0</v>
      </c>
      <c r="NF33" s="237">
        <f t="shared" si="74"/>
        <v>0</v>
      </c>
      <c r="NG33" s="237">
        <f t="shared" si="75"/>
        <v>0</v>
      </c>
      <c r="NH33" s="237">
        <f t="shared" si="76"/>
        <v>0</v>
      </c>
      <c r="NI33" s="237">
        <f t="shared" si="77"/>
        <v>0</v>
      </c>
      <c r="NJ33" s="237">
        <f t="shared" si="78"/>
        <v>0</v>
      </c>
      <c r="NK33" s="237">
        <f t="shared" si="79"/>
        <v>0</v>
      </c>
      <c r="NL33" s="237">
        <f t="shared" si="80"/>
        <v>0</v>
      </c>
      <c r="NM33" s="285">
        <f t="shared" si="81"/>
        <v>7</v>
      </c>
      <c r="NN33" s="280">
        <f t="shared" si="82"/>
        <v>396</v>
      </c>
      <c r="NP33" s="237">
        <f t="shared" si="83"/>
        <v>33</v>
      </c>
      <c r="NQ33" s="284">
        <f t="shared" si="84"/>
        <v>396</v>
      </c>
      <c r="NR33" s="237">
        <f t="shared" si="85"/>
        <v>36</v>
      </c>
      <c r="NS33" s="237">
        <f t="shared" si="86"/>
        <v>54</v>
      </c>
      <c r="NT33" s="237">
        <f t="shared" si="87"/>
        <v>54</v>
      </c>
      <c r="NU33" s="237">
        <f t="shared" si="88"/>
        <v>54</v>
      </c>
      <c r="NV33" s="237">
        <f t="shared" si="89"/>
        <v>54</v>
      </c>
      <c r="NW33" s="237">
        <f t="shared" si="90"/>
        <v>54</v>
      </c>
      <c r="NX33" s="237">
        <f t="shared" si="91"/>
        <v>54</v>
      </c>
      <c r="NY33" s="237">
        <f t="shared" si="92"/>
        <v>36</v>
      </c>
      <c r="NZ33" s="237">
        <f t="shared" si="93"/>
        <v>0</v>
      </c>
      <c r="OA33" s="237">
        <f t="shared" si="94"/>
        <v>0</v>
      </c>
      <c r="OB33" s="237">
        <f t="shared" si="95"/>
        <v>0</v>
      </c>
      <c r="OC33" s="237">
        <f t="shared" si="96"/>
        <v>0</v>
      </c>
      <c r="OD33" s="237">
        <f t="shared" si="97"/>
        <v>0</v>
      </c>
      <c r="OE33" s="237">
        <f t="shared" si="98"/>
        <v>0</v>
      </c>
      <c r="OF33" s="237">
        <f t="shared" si="99"/>
        <v>0</v>
      </c>
      <c r="OG33" s="237">
        <f t="shared" si="100"/>
        <v>0</v>
      </c>
      <c r="OH33" s="237">
        <f t="shared" si="101"/>
        <v>0</v>
      </c>
      <c r="OI33" s="285">
        <f t="shared" si="102"/>
        <v>7</v>
      </c>
      <c r="OJ33" s="280">
        <f t="shared" si="103"/>
        <v>396</v>
      </c>
    </row>
    <row r="34" spans="12:400" ht="15.6" thickTop="1" thickBot="1" x14ac:dyDescent="0.35">
      <c r="L34" s="129" t="s">
        <v>84</v>
      </c>
      <c r="M34" s="96" t="s">
        <v>84</v>
      </c>
      <c r="N34" s="96" t="s">
        <v>84</v>
      </c>
      <c r="O34" s="96" t="s">
        <v>84</v>
      </c>
      <c r="P34" s="96" t="s">
        <v>84</v>
      </c>
      <c r="Q34" s="96" t="s">
        <v>84</v>
      </c>
      <c r="R34" s="96" t="s">
        <v>84</v>
      </c>
      <c r="S34" s="96" t="s">
        <v>84</v>
      </c>
      <c r="T34" s="96" t="s">
        <v>84</v>
      </c>
      <c r="U34" s="96" t="s">
        <v>84</v>
      </c>
      <c r="V34" s="96" t="s">
        <v>84</v>
      </c>
      <c r="W34" s="96" t="s">
        <v>84</v>
      </c>
      <c r="X34" s="96" t="s">
        <v>84</v>
      </c>
      <c r="Y34" s="96" t="s">
        <v>84</v>
      </c>
      <c r="Z34" s="96" t="s">
        <v>84</v>
      </c>
      <c r="AA34" s="130" t="s">
        <v>85</v>
      </c>
      <c r="AE34" s="127" t="str">
        <f t="shared" si="0"/>
        <v>L2.5x3x0.3125</v>
      </c>
      <c r="AF34" s="138">
        <v>2.5</v>
      </c>
      <c r="AG34" s="138">
        <v>3.0000000000000004</v>
      </c>
      <c r="AH34" s="138">
        <v>0.3125</v>
      </c>
      <c r="AI34" s="138">
        <v>0.3125</v>
      </c>
      <c r="AJ34" s="138">
        <v>0.3125</v>
      </c>
      <c r="AK34">
        <f t="shared" si="1"/>
        <v>2.0000000000000001E-4</v>
      </c>
      <c r="AM34" s="133" t="s">
        <v>85</v>
      </c>
      <c r="AP34" s="127" t="str">
        <f t="shared" si="2"/>
        <v>S3x5.7</v>
      </c>
      <c r="AQ34">
        <v>3</v>
      </c>
      <c r="AR34" s="138">
        <v>5.7</v>
      </c>
      <c r="AS34" s="138">
        <v>3.0000000000000004</v>
      </c>
      <c r="AT34" s="138">
        <v>0.16999999999999998</v>
      </c>
      <c r="AU34" s="138">
        <v>2.33</v>
      </c>
      <c r="AV34" s="138">
        <v>0.26</v>
      </c>
      <c r="AW34" s="138">
        <v>0.27</v>
      </c>
      <c r="AX34" s="138">
        <v>0.1</v>
      </c>
      <c r="AY34">
        <v>9.4630000000000312</v>
      </c>
      <c r="AZ34" s="138">
        <f t="shared" si="3"/>
        <v>1.8425437273624747</v>
      </c>
      <c r="BA34" s="133" t="s">
        <v>85</v>
      </c>
      <c r="BD34" s="143" t="str">
        <f t="shared" si="4"/>
        <v>W10x39</v>
      </c>
      <c r="BE34">
        <v>10</v>
      </c>
      <c r="BF34" s="138">
        <v>39</v>
      </c>
      <c r="BG34" s="138">
        <v>9.92</v>
      </c>
      <c r="BH34" s="138">
        <v>0.315</v>
      </c>
      <c r="BI34" s="138">
        <v>7.9850000000000003</v>
      </c>
      <c r="BJ34" s="138">
        <v>0.53</v>
      </c>
      <c r="BK34" s="138">
        <v>0.5</v>
      </c>
      <c r="BM34" s="133" t="s">
        <v>85</v>
      </c>
      <c r="BO34" s="152" t="s">
        <v>304</v>
      </c>
      <c r="BP34" s="10">
        <v>17.600000000000001</v>
      </c>
      <c r="BQ34" s="11">
        <v>7</v>
      </c>
      <c r="BR34" s="11">
        <v>0.37500000000000006</v>
      </c>
      <c r="BS34" s="11">
        <v>3.0000000000000004</v>
      </c>
      <c r="BT34" s="11">
        <v>0.47499999999999998</v>
      </c>
      <c r="BU34" s="11">
        <v>0.48</v>
      </c>
      <c r="BV34" s="11">
        <v>0.30129729846045078</v>
      </c>
      <c r="BW34" s="10">
        <v>9.4629999999999992</v>
      </c>
      <c r="BX34" s="10">
        <v>1.0000000000001952E-3</v>
      </c>
      <c r="BY34" s="10">
        <v>4.7992358325628128</v>
      </c>
      <c r="BZ34" s="10">
        <v>1.1003820837185936</v>
      </c>
      <c r="CA34" s="12"/>
      <c r="CB34" s="12">
        <v>1.125</v>
      </c>
      <c r="CC34" s="12">
        <v>4.75</v>
      </c>
      <c r="CD34" s="151" t="s">
        <v>85</v>
      </c>
      <c r="CF34" s="150" t="s">
        <v>304</v>
      </c>
      <c r="CG34">
        <v>1.125</v>
      </c>
      <c r="CH34">
        <v>4.75</v>
      </c>
      <c r="CI34" s="151" t="s">
        <v>261</v>
      </c>
      <c r="DU34" t="s">
        <v>1122</v>
      </c>
      <c r="EH34" s="243">
        <v>34</v>
      </c>
      <c r="EI34" s="244">
        <v>408</v>
      </c>
      <c r="EJ34" s="90">
        <v>36</v>
      </c>
      <c r="EK34" s="90">
        <v>48</v>
      </c>
      <c r="EL34" s="90">
        <v>48</v>
      </c>
      <c r="EM34" s="90">
        <v>48</v>
      </c>
      <c r="EN34" s="90">
        <v>48</v>
      </c>
      <c r="EO34" s="90">
        <v>48</v>
      </c>
      <c r="EP34" s="90">
        <v>48</v>
      </c>
      <c r="EQ34" s="90">
        <v>48</v>
      </c>
      <c r="ER34" s="90">
        <v>36</v>
      </c>
      <c r="ES34" s="90" t="s">
        <v>1137</v>
      </c>
      <c r="ET34" s="90" t="s">
        <v>1137</v>
      </c>
      <c r="EU34" s="90" t="s">
        <v>1137</v>
      </c>
      <c r="EV34" s="90" t="s">
        <v>1137</v>
      </c>
      <c r="EW34" s="90" t="s">
        <v>1137</v>
      </c>
      <c r="EX34" s="90" t="s">
        <v>1137</v>
      </c>
      <c r="EY34" s="90" t="s">
        <v>1137</v>
      </c>
      <c r="EZ34" s="90"/>
      <c r="FA34" s="224">
        <v>8</v>
      </c>
      <c r="FB34" s="245">
        <f t="shared" si="12"/>
        <v>408</v>
      </c>
      <c r="FD34" s="237">
        <f t="shared" ref="FD34:FN65" si="108">EH34</f>
        <v>34</v>
      </c>
      <c r="FE34" s="246">
        <f t="shared" si="108"/>
        <v>408</v>
      </c>
      <c r="FF34" s="247">
        <f t="shared" si="108"/>
        <v>36</v>
      </c>
      <c r="FG34" s="247">
        <f t="shared" si="107"/>
        <v>48</v>
      </c>
      <c r="FH34" s="247">
        <f t="shared" si="107"/>
        <v>48</v>
      </c>
      <c r="FI34" s="247">
        <f t="shared" si="107"/>
        <v>48</v>
      </c>
      <c r="FJ34" s="247">
        <f t="shared" si="107"/>
        <v>48</v>
      </c>
      <c r="FK34" s="247">
        <f t="shared" si="107"/>
        <v>48</v>
      </c>
      <c r="FL34" s="247">
        <f t="shared" si="107"/>
        <v>48</v>
      </c>
      <c r="FM34" s="247">
        <f t="shared" si="107"/>
        <v>48</v>
      </c>
      <c r="FN34" s="247">
        <f t="shared" si="107"/>
        <v>36</v>
      </c>
      <c r="FO34" s="247" t="str">
        <f t="shared" si="107"/>
        <v xml:space="preserve"> </v>
      </c>
      <c r="FP34" s="247" t="str">
        <f t="shared" si="107"/>
        <v xml:space="preserve"> </v>
      </c>
      <c r="FQ34" s="247" t="str">
        <f t="shared" si="107"/>
        <v xml:space="preserve"> </v>
      </c>
      <c r="FR34" s="247" t="str">
        <f t="shared" si="107"/>
        <v xml:space="preserve"> </v>
      </c>
      <c r="FS34" s="247" t="str">
        <f t="shared" si="107"/>
        <v xml:space="preserve"> </v>
      </c>
      <c r="FT34" s="247" t="str">
        <f t="shared" si="105"/>
        <v xml:space="preserve"> </v>
      </c>
      <c r="FU34" s="247" t="str">
        <f t="shared" si="105"/>
        <v xml:space="preserve"> </v>
      </c>
      <c r="FV34" s="247">
        <f t="shared" si="105"/>
        <v>0</v>
      </c>
      <c r="FW34" s="248">
        <f t="shared" si="105"/>
        <v>8</v>
      </c>
      <c r="FX34" s="241">
        <f t="shared" si="105"/>
        <v>408</v>
      </c>
      <c r="FZ34" s="249">
        <v>34</v>
      </c>
      <c r="GA34" s="244">
        <v>408</v>
      </c>
      <c r="GB34" s="90">
        <v>54</v>
      </c>
      <c r="GC34" s="90">
        <v>60</v>
      </c>
      <c r="GD34" s="90">
        <v>60</v>
      </c>
      <c r="GE34" s="90">
        <v>60</v>
      </c>
      <c r="GF34" s="90">
        <v>60</v>
      </c>
      <c r="GG34" s="90">
        <v>60</v>
      </c>
      <c r="GH34" s="90">
        <v>54</v>
      </c>
      <c r="GI34" s="90"/>
      <c r="GJ34" s="90"/>
      <c r="GK34" s="90" t="s">
        <v>1137</v>
      </c>
      <c r="GL34" s="90" t="s">
        <v>1137</v>
      </c>
      <c r="GM34" s="90" t="s">
        <v>1137</v>
      </c>
      <c r="GN34" s="90" t="s">
        <v>1137</v>
      </c>
      <c r="GO34" s="90" t="s">
        <v>1137</v>
      </c>
      <c r="GP34" s="90" t="s">
        <v>1137</v>
      </c>
      <c r="GQ34" s="90" t="s">
        <v>1137</v>
      </c>
      <c r="GR34" s="90"/>
      <c r="GS34" s="224">
        <v>6</v>
      </c>
      <c r="GT34" s="245">
        <f t="shared" si="14"/>
        <v>408</v>
      </c>
      <c r="GV34" s="237">
        <f t="shared" si="15"/>
        <v>34</v>
      </c>
      <c r="GW34" s="246">
        <f t="shared" si="15"/>
        <v>408</v>
      </c>
      <c r="GX34" s="247">
        <f t="shared" si="15"/>
        <v>54</v>
      </c>
      <c r="GY34" s="247">
        <f t="shared" si="15"/>
        <v>60</v>
      </c>
      <c r="GZ34" s="247">
        <f t="shared" si="15"/>
        <v>60</v>
      </c>
      <c r="HA34" s="247">
        <f t="shared" si="15"/>
        <v>60</v>
      </c>
      <c r="HB34" s="247">
        <f t="shared" si="15"/>
        <v>60</v>
      </c>
      <c r="HC34" s="247">
        <f t="shared" si="15"/>
        <v>60</v>
      </c>
      <c r="HD34" s="247">
        <f t="shared" si="15"/>
        <v>54</v>
      </c>
      <c r="HE34" s="247">
        <f t="shared" si="15"/>
        <v>0</v>
      </c>
      <c r="HF34" s="247">
        <f t="shared" si="15"/>
        <v>0</v>
      </c>
      <c r="HG34" s="247" t="str">
        <f t="shared" si="15"/>
        <v xml:space="preserve"> </v>
      </c>
      <c r="HH34" s="247" t="str">
        <f t="shared" si="15"/>
        <v xml:space="preserve"> </v>
      </c>
      <c r="HI34" s="247" t="str">
        <f t="shared" si="15"/>
        <v xml:space="preserve"> </v>
      </c>
      <c r="HJ34" s="247" t="str">
        <f t="shared" si="15"/>
        <v xml:space="preserve"> </v>
      </c>
      <c r="HK34" s="247" t="str">
        <f t="shared" si="15"/>
        <v xml:space="preserve"> </v>
      </c>
      <c r="HL34" s="247" t="str">
        <f t="shared" si="106"/>
        <v xml:space="preserve"> </v>
      </c>
      <c r="HM34" s="247" t="str">
        <f t="shared" si="10"/>
        <v xml:space="preserve"> </v>
      </c>
      <c r="HN34" s="247">
        <f t="shared" si="10"/>
        <v>0</v>
      </c>
      <c r="HO34" s="248">
        <f t="shared" si="10"/>
        <v>6</v>
      </c>
      <c r="HP34" s="241">
        <f t="shared" si="10"/>
        <v>408</v>
      </c>
      <c r="HR34" s="243">
        <v>34</v>
      </c>
      <c r="HS34" s="244">
        <v>408</v>
      </c>
      <c r="HT34" s="90">
        <v>60</v>
      </c>
      <c r="HU34" s="90">
        <v>72</v>
      </c>
      <c r="HV34" s="90">
        <v>72</v>
      </c>
      <c r="HW34" s="90">
        <v>72</v>
      </c>
      <c r="HX34" s="90">
        <v>72</v>
      </c>
      <c r="HY34" s="90">
        <v>60</v>
      </c>
      <c r="HZ34" s="90"/>
      <c r="IA34" s="90"/>
      <c r="IB34" s="90"/>
      <c r="IC34" s="90"/>
      <c r="ID34" s="90"/>
      <c r="IE34" s="90"/>
      <c r="IF34" s="90"/>
      <c r="IG34" s="90"/>
      <c r="IH34" s="90"/>
      <c r="II34" s="90"/>
      <c r="IJ34" s="90"/>
      <c r="IK34" s="224">
        <v>5</v>
      </c>
      <c r="IL34" s="245">
        <f t="shared" si="16"/>
        <v>408</v>
      </c>
      <c r="IN34" s="243">
        <v>34</v>
      </c>
      <c r="IO34" s="244">
        <v>408</v>
      </c>
      <c r="IP34" s="90">
        <v>78</v>
      </c>
      <c r="IQ34" s="90">
        <v>84</v>
      </c>
      <c r="IR34" s="90">
        <v>84</v>
      </c>
      <c r="IS34" s="90">
        <v>84</v>
      </c>
      <c r="IT34" s="90">
        <v>78</v>
      </c>
      <c r="IU34" s="90"/>
      <c r="IV34" s="90"/>
      <c r="IW34" s="90"/>
      <c r="IX34" s="90"/>
      <c r="IY34" s="90"/>
      <c r="IZ34" s="90"/>
      <c r="JA34" s="90"/>
      <c r="JB34" s="90"/>
      <c r="JC34" s="90"/>
      <c r="JD34" s="90"/>
      <c r="JE34" s="90"/>
      <c r="JF34" s="90"/>
      <c r="JG34" s="224">
        <v>4</v>
      </c>
      <c r="JH34" s="245">
        <f t="shared" si="17"/>
        <v>408</v>
      </c>
      <c r="JJ34" s="249">
        <v>34</v>
      </c>
      <c r="JK34" s="244">
        <v>408</v>
      </c>
      <c r="JL34" s="90">
        <v>60</v>
      </c>
      <c r="JM34" s="90">
        <v>96</v>
      </c>
      <c r="JN34" s="90">
        <v>96</v>
      </c>
      <c r="JO34" s="90">
        <v>96</v>
      </c>
      <c r="JP34" s="90">
        <v>60</v>
      </c>
      <c r="JQ34" s="90"/>
      <c r="JR34" s="90"/>
      <c r="JS34" s="90"/>
      <c r="JT34" s="90"/>
      <c r="JU34" s="90"/>
      <c r="JV34" s="90"/>
      <c r="JW34" s="90"/>
      <c r="JX34" s="90"/>
      <c r="JY34" s="90"/>
      <c r="JZ34" s="90"/>
      <c r="KA34" s="90"/>
      <c r="KB34" s="90"/>
      <c r="KC34" s="224">
        <v>4</v>
      </c>
      <c r="KD34" s="245">
        <f t="shared" si="18"/>
        <v>408</v>
      </c>
      <c r="KF34" s="243">
        <v>34</v>
      </c>
      <c r="KG34" s="244">
        <v>408</v>
      </c>
      <c r="KH34" s="90">
        <v>42</v>
      </c>
      <c r="KI34" s="90">
        <v>54</v>
      </c>
      <c r="KJ34" s="90">
        <v>54</v>
      </c>
      <c r="KK34" s="90">
        <v>54</v>
      </c>
      <c r="KL34" s="90">
        <v>54</v>
      </c>
      <c r="KM34" s="90">
        <v>54</v>
      </c>
      <c r="KN34" s="90">
        <v>54</v>
      </c>
      <c r="KO34" s="90">
        <v>42</v>
      </c>
      <c r="KP34" s="90"/>
      <c r="KQ34" s="90"/>
      <c r="KR34" s="90"/>
      <c r="KS34" s="90"/>
      <c r="KT34" s="90"/>
      <c r="KU34" s="90"/>
      <c r="KV34" s="90"/>
      <c r="KW34" s="90"/>
      <c r="KX34" s="90"/>
      <c r="KY34" s="224">
        <v>7</v>
      </c>
      <c r="KZ34" s="245">
        <f t="shared" si="19"/>
        <v>408</v>
      </c>
      <c r="LB34" s="237">
        <f t="shared" si="20"/>
        <v>34</v>
      </c>
      <c r="LC34" s="284">
        <f t="shared" si="21"/>
        <v>408</v>
      </c>
      <c r="LD34" s="237">
        <f t="shared" si="22"/>
        <v>42</v>
      </c>
      <c r="LE34" s="237">
        <f t="shared" si="23"/>
        <v>54</v>
      </c>
      <c r="LF34" s="237">
        <f t="shared" si="24"/>
        <v>54</v>
      </c>
      <c r="LG34" s="237">
        <f t="shared" si="25"/>
        <v>54</v>
      </c>
      <c r="LH34" s="237">
        <f t="shared" si="26"/>
        <v>54</v>
      </c>
      <c r="LI34" s="237">
        <f t="shared" si="27"/>
        <v>54</v>
      </c>
      <c r="LJ34" s="237">
        <f t="shared" si="28"/>
        <v>54</v>
      </c>
      <c r="LK34" s="237">
        <f t="shared" si="29"/>
        <v>42</v>
      </c>
      <c r="LL34" s="237">
        <f t="shared" si="30"/>
        <v>0</v>
      </c>
      <c r="LM34" s="237">
        <f t="shared" si="31"/>
        <v>0</v>
      </c>
      <c r="LN34" s="237">
        <f t="shared" si="32"/>
        <v>0</v>
      </c>
      <c r="LO34" s="237">
        <f t="shared" si="33"/>
        <v>0</v>
      </c>
      <c r="LP34" s="237">
        <f t="shared" si="34"/>
        <v>0</v>
      </c>
      <c r="LQ34" s="237">
        <f t="shared" si="35"/>
        <v>0</v>
      </c>
      <c r="LR34" s="237">
        <f t="shared" si="36"/>
        <v>0</v>
      </c>
      <c r="LS34" s="237">
        <f t="shared" si="37"/>
        <v>0</v>
      </c>
      <c r="LT34" s="237">
        <f t="shared" si="38"/>
        <v>0</v>
      </c>
      <c r="LU34" s="285">
        <f t="shared" si="39"/>
        <v>7</v>
      </c>
      <c r="LV34" s="280">
        <f t="shared" si="40"/>
        <v>408</v>
      </c>
      <c r="LX34" s="237">
        <f t="shared" si="41"/>
        <v>34</v>
      </c>
      <c r="LY34" s="284">
        <f t="shared" si="42"/>
        <v>408</v>
      </c>
      <c r="LZ34" s="237">
        <f t="shared" si="43"/>
        <v>42</v>
      </c>
      <c r="MA34" s="237">
        <f t="shared" si="44"/>
        <v>54</v>
      </c>
      <c r="MB34" s="237">
        <f t="shared" si="45"/>
        <v>54</v>
      </c>
      <c r="MC34" s="237">
        <f t="shared" si="46"/>
        <v>54</v>
      </c>
      <c r="MD34" s="237">
        <f t="shared" si="47"/>
        <v>54</v>
      </c>
      <c r="ME34" s="237">
        <f t="shared" si="48"/>
        <v>54</v>
      </c>
      <c r="MF34" s="237">
        <f t="shared" si="49"/>
        <v>54</v>
      </c>
      <c r="MG34" s="237">
        <f t="shared" si="50"/>
        <v>42</v>
      </c>
      <c r="MH34" s="237">
        <f t="shared" si="51"/>
        <v>0</v>
      </c>
      <c r="MI34" s="237">
        <f t="shared" si="52"/>
        <v>0</v>
      </c>
      <c r="MJ34" s="237">
        <f t="shared" si="53"/>
        <v>0</v>
      </c>
      <c r="MK34" s="237">
        <f t="shared" si="54"/>
        <v>0</v>
      </c>
      <c r="ML34" s="237">
        <f t="shared" si="55"/>
        <v>0</v>
      </c>
      <c r="MM34" s="237">
        <f t="shared" si="56"/>
        <v>0</v>
      </c>
      <c r="MN34" s="237">
        <f t="shared" si="57"/>
        <v>0</v>
      </c>
      <c r="MO34" s="237">
        <f t="shared" si="58"/>
        <v>0</v>
      </c>
      <c r="MP34" s="237">
        <f t="shared" si="59"/>
        <v>0</v>
      </c>
      <c r="MQ34" s="285">
        <f t="shared" si="60"/>
        <v>7</v>
      </c>
      <c r="MR34" s="280">
        <f t="shared" si="61"/>
        <v>408</v>
      </c>
      <c r="MT34" s="237">
        <f t="shared" si="62"/>
        <v>34</v>
      </c>
      <c r="MU34" s="284">
        <f t="shared" si="63"/>
        <v>408</v>
      </c>
      <c r="MV34" s="237">
        <f t="shared" si="64"/>
        <v>42</v>
      </c>
      <c r="MW34" s="237">
        <f t="shared" si="65"/>
        <v>54</v>
      </c>
      <c r="MX34" s="237">
        <f t="shared" si="66"/>
        <v>54</v>
      </c>
      <c r="MY34" s="237">
        <f t="shared" si="67"/>
        <v>54</v>
      </c>
      <c r="MZ34" s="237">
        <f t="shared" si="68"/>
        <v>54</v>
      </c>
      <c r="NA34" s="237">
        <f t="shared" si="69"/>
        <v>54</v>
      </c>
      <c r="NB34" s="237">
        <f t="shared" si="70"/>
        <v>54</v>
      </c>
      <c r="NC34" s="237">
        <f t="shared" si="71"/>
        <v>42</v>
      </c>
      <c r="ND34" s="237">
        <f t="shared" si="72"/>
        <v>0</v>
      </c>
      <c r="NE34" s="237">
        <f t="shared" si="73"/>
        <v>0</v>
      </c>
      <c r="NF34" s="237">
        <f t="shared" si="74"/>
        <v>0</v>
      </c>
      <c r="NG34" s="237">
        <f t="shared" si="75"/>
        <v>0</v>
      </c>
      <c r="NH34" s="237">
        <f t="shared" si="76"/>
        <v>0</v>
      </c>
      <c r="NI34" s="237">
        <f t="shared" si="77"/>
        <v>0</v>
      </c>
      <c r="NJ34" s="237">
        <f t="shared" si="78"/>
        <v>0</v>
      </c>
      <c r="NK34" s="237">
        <f t="shared" si="79"/>
        <v>0</v>
      </c>
      <c r="NL34" s="237">
        <f t="shared" si="80"/>
        <v>0</v>
      </c>
      <c r="NM34" s="285">
        <f t="shared" si="81"/>
        <v>7</v>
      </c>
      <c r="NN34" s="280">
        <f t="shared" si="82"/>
        <v>408</v>
      </c>
      <c r="NP34" s="237">
        <f t="shared" si="83"/>
        <v>34</v>
      </c>
      <c r="NQ34" s="284">
        <f t="shared" si="84"/>
        <v>408</v>
      </c>
      <c r="NR34" s="237">
        <f t="shared" si="85"/>
        <v>42</v>
      </c>
      <c r="NS34" s="237">
        <f t="shared" si="86"/>
        <v>54</v>
      </c>
      <c r="NT34" s="237">
        <f t="shared" si="87"/>
        <v>54</v>
      </c>
      <c r="NU34" s="237">
        <f t="shared" si="88"/>
        <v>54</v>
      </c>
      <c r="NV34" s="237">
        <f t="shared" si="89"/>
        <v>54</v>
      </c>
      <c r="NW34" s="237">
        <f t="shared" si="90"/>
        <v>54</v>
      </c>
      <c r="NX34" s="237">
        <f t="shared" si="91"/>
        <v>54</v>
      </c>
      <c r="NY34" s="237">
        <f t="shared" si="92"/>
        <v>42</v>
      </c>
      <c r="NZ34" s="237">
        <f t="shared" si="93"/>
        <v>0</v>
      </c>
      <c r="OA34" s="237">
        <f t="shared" si="94"/>
        <v>0</v>
      </c>
      <c r="OB34" s="237">
        <f t="shared" si="95"/>
        <v>0</v>
      </c>
      <c r="OC34" s="237">
        <f t="shared" si="96"/>
        <v>0</v>
      </c>
      <c r="OD34" s="237">
        <f t="shared" si="97"/>
        <v>0</v>
      </c>
      <c r="OE34" s="237">
        <f t="shared" si="98"/>
        <v>0</v>
      </c>
      <c r="OF34" s="237">
        <f t="shared" si="99"/>
        <v>0</v>
      </c>
      <c r="OG34" s="237">
        <f t="shared" si="100"/>
        <v>0</v>
      </c>
      <c r="OH34" s="237">
        <f t="shared" si="101"/>
        <v>0</v>
      </c>
      <c r="OI34" s="285">
        <f t="shared" si="102"/>
        <v>7</v>
      </c>
      <c r="OJ34" s="280">
        <f t="shared" si="103"/>
        <v>408</v>
      </c>
    </row>
    <row r="35" spans="12:400" ht="15" thickBot="1" x14ac:dyDescent="0.35">
      <c r="AE35" s="127" t="str">
        <f t="shared" si="0"/>
        <v>L2.5x3x0.375</v>
      </c>
      <c r="AF35" s="138">
        <v>2.5</v>
      </c>
      <c r="AG35" s="138">
        <v>3.0000000000000004</v>
      </c>
      <c r="AH35" s="138">
        <v>0.37500000000000006</v>
      </c>
      <c r="AI35" s="138">
        <v>0.3125</v>
      </c>
      <c r="AJ35" s="138">
        <v>0.3125</v>
      </c>
      <c r="AK35">
        <f t="shared" si="1"/>
        <v>6.2700000000000061E-2</v>
      </c>
      <c r="AM35" s="133" t="s">
        <v>85</v>
      </c>
      <c r="AP35" s="129" t="s">
        <v>84</v>
      </c>
      <c r="AQ35" s="96"/>
      <c r="AR35" s="96"/>
      <c r="AS35" s="96"/>
      <c r="AT35" s="96"/>
      <c r="AU35" s="96"/>
      <c r="AV35" s="96"/>
      <c r="AW35" s="96"/>
      <c r="AX35" s="96"/>
      <c r="AY35" s="96"/>
      <c r="AZ35" s="96"/>
      <c r="BA35" s="130"/>
      <c r="BD35" s="143" t="str">
        <f t="shared" si="4"/>
        <v>W10x45</v>
      </c>
      <c r="BE35">
        <v>10</v>
      </c>
      <c r="BF35" s="138">
        <v>45</v>
      </c>
      <c r="BG35" s="138">
        <v>10.1</v>
      </c>
      <c r="BH35" s="138">
        <v>0.35</v>
      </c>
      <c r="BI35" s="138">
        <v>8.02</v>
      </c>
      <c r="BJ35" s="138">
        <v>0.62</v>
      </c>
      <c r="BK35" s="138">
        <v>0.5</v>
      </c>
      <c r="BM35" s="133" t="s">
        <v>85</v>
      </c>
      <c r="BO35" s="150" t="s">
        <v>305</v>
      </c>
      <c r="BP35" s="138">
        <v>18</v>
      </c>
      <c r="BQ35" s="144">
        <v>6.0000000000000009</v>
      </c>
      <c r="BR35" s="144">
        <v>0.37899999999999995</v>
      </c>
      <c r="BS35" s="144">
        <v>3.504</v>
      </c>
      <c r="BT35" s="144">
        <v>0.47499999999999998</v>
      </c>
      <c r="BU35" s="144">
        <v>0.48</v>
      </c>
      <c r="BV35" s="144">
        <v>0.2521072695145804</v>
      </c>
      <c r="BW35" s="138">
        <v>9.4629999999999992</v>
      </c>
      <c r="BX35" s="138">
        <v>9.9999999999997313E-4</v>
      </c>
      <c r="BY35" s="138">
        <v>3.7158964200542028</v>
      </c>
      <c r="BZ35" s="138">
        <v>1.142051789972899</v>
      </c>
      <c r="CB35">
        <v>1.0625</v>
      </c>
      <c r="CC35">
        <v>3.8750000000000009</v>
      </c>
      <c r="CD35" s="151" t="s">
        <v>85</v>
      </c>
      <c r="CF35" s="150" t="s">
        <v>305</v>
      </c>
      <c r="CG35">
        <v>1.0625</v>
      </c>
      <c r="CH35">
        <v>3.8750000000000009</v>
      </c>
      <c r="CI35" s="151" t="s">
        <v>261</v>
      </c>
      <c r="EH35" s="250">
        <v>35</v>
      </c>
      <c r="EI35" s="251">
        <v>420</v>
      </c>
      <c r="EJ35" s="252">
        <v>42</v>
      </c>
      <c r="EK35" s="252">
        <v>48</v>
      </c>
      <c r="EL35" s="252">
        <v>48</v>
      </c>
      <c r="EM35" s="252">
        <v>48</v>
      </c>
      <c r="EN35" s="252">
        <v>48</v>
      </c>
      <c r="EO35" s="252">
        <v>48</v>
      </c>
      <c r="EP35" s="252">
        <v>48</v>
      </c>
      <c r="EQ35" s="252">
        <v>48</v>
      </c>
      <c r="ER35" s="252">
        <v>42</v>
      </c>
      <c r="ES35" s="252" t="s">
        <v>1137</v>
      </c>
      <c r="ET35" s="252" t="s">
        <v>1137</v>
      </c>
      <c r="EU35" s="252" t="s">
        <v>1137</v>
      </c>
      <c r="EV35" s="252" t="s">
        <v>1137</v>
      </c>
      <c r="EW35" s="252" t="s">
        <v>1137</v>
      </c>
      <c r="EX35" s="252" t="s">
        <v>1137</v>
      </c>
      <c r="EY35" s="252" t="s">
        <v>1137</v>
      </c>
      <c r="EZ35" s="252"/>
      <c r="FA35" s="253">
        <v>8</v>
      </c>
      <c r="FB35" s="254">
        <f t="shared" si="12"/>
        <v>420</v>
      </c>
      <c r="FD35" s="237">
        <f t="shared" si="108"/>
        <v>35</v>
      </c>
      <c r="FE35" s="246">
        <f t="shared" si="108"/>
        <v>420</v>
      </c>
      <c r="FF35" s="247">
        <f t="shared" si="108"/>
        <v>42</v>
      </c>
      <c r="FG35" s="247">
        <f t="shared" si="107"/>
        <v>48</v>
      </c>
      <c r="FH35" s="247">
        <f t="shared" si="107"/>
        <v>48</v>
      </c>
      <c r="FI35" s="247">
        <f t="shared" si="107"/>
        <v>48</v>
      </c>
      <c r="FJ35" s="247">
        <f t="shared" si="107"/>
        <v>48</v>
      </c>
      <c r="FK35" s="247">
        <f t="shared" si="107"/>
        <v>48</v>
      </c>
      <c r="FL35" s="247">
        <f t="shared" si="107"/>
        <v>48</v>
      </c>
      <c r="FM35" s="247">
        <f t="shared" si="107"/>
        <v>48</v>
      </c>
      <c r="FN35" s="247">
        <f t="shared" si="107"/>
        <v>42</v>
      </c>
      <c r="FO35" s="247" t="str">
        <f t="shared" si="107"/>
        <v xml:space="preserve"> </v>
      </c>
      <c r="FP35" s="247" t="str">
        <f t="shared" si="107"/>
        <v xml:space="preserve"> </v>
      </c>
      <c r="FQ35" s="247" t="str">
        <f t="shared" si="107"/>
        <v xml:space="preserve"> </v>
      </c>
      <c r="FR35" s="247" t="str">
        <f t="shared" si="107"/>
        <v xml:space="preserve"> </v>
      </c>
      <c r="FS35" s="247" t="str">
        <f t="shared" si="107"/>
        <v xml:space="preserve"> </v>
      </c>
      <c r="FT35" s="247" t="str">
        <f t="shared" si="105"/>
        <v xml:space="preserve"> </v>
      </c>
      <c r="FU35" s="247" t="str">
        <f t="shared" si="105"/>
        <v xml:space="preserve"> </v>
      </c>
      <c r="FV35" s="247">
        <f t="shared" si="105"/>
        <v>0</v>
      </c>
      <c r="FW35" s="248">
        <f t="shared" si="105"/>
        <v>8</v>
      </c>
      <c r="FX35" s="241">
        <f t="shared" si="105"/>
        <v>420</v>
      </c>
      <c r="FZ35" s="255">
        <v>35</v>
      </c>
      <c r="GA35" s="251">
        <v>420</v>
      </c>
      <c r="GB35" s="252">
        <v>60</v>
      </c>
      <c r="GC35" s="252">
        <v>60</v>
      </c>
      <c r="GD35" s="252">
        <v>60</v>
      </c>
      <c r="GE35" s="252">
        <v>60</v>
      </c>
      <c r="GF35" s="252">
        <v>60</v>
      </c>
      <c r="GG35" s="252">
        <v>60</v>
      </c>
      <c r="GH35" s="252">
        <v>60</v>
      </c>
      <c r="GI35" s="252"/>
      <c r="GJ35" s="252"/>
      <c r="GK35" s="252" t="s">
        <v>1137</v>
      </c>
      <c r="GL35" s="252" t="s">
        <v>1137</v>
      </c>
      <c r="GM35" s="252" t="s">
        <v>1137</v>
      </c>
      <c r="GN35" s="252" t="s">
        <v>1137</v>
      </c>
      <c r="GO35" s="252" t="s">
        <v>1137</v>
      </c>
      <c r="GP35" s="252" t="s">
        <v>1137</v>
      </c>
      <c r="GQ35" s="252" t="s">
        <v>1137</v>
      </c>
      <c r="GR35" s="252"/>
      <c r="GS35" s="253">
        <v>6</v>
      </c>
      <c r="GT35" s="254">
        <f t="shared" si="14"/>
        <v>420</v>
      </c>
      <c r="GV35" s="237">
        <f t="shared" si="15"/>
        <v>35</v>
      </c>
      <c r="GW35" s="246">
        <f t="shared" si="15"/>
        <v>420</v>
      </c>
      <c r="GX35" s="247">
        <f t="shared" si="15"/>
        <v>60</v>
      </c>
      <c r="GY35" s="247">
        <f t="shared" si="15"/>
        <v>60</v>
      </c>
      <c r="GZ35" s="247">
        <f t="shared" si="15"/>
        <v>60</v>
      </c>
      <c r="HA35" s="247">
        <f t="shared" si="15"/>
        <v>60</v>
      </c>
      <c r="HB35" s="247">
        <f t="shared" si="15"/>
        <v>60</v>
      </c>
      <c r="HC35" s="247">
        <f t="shared" si="15"/>
        <v>60</v>
      </c>
      <c r="HD35" s="247">
        <f t="shared" si="15"/>
        <v>60</v>
      </c>
      <c r="HE35" s="247">
        <f t="shared" si="15"/>
        <v>0</v>
      </c>
      <c r="HF35" s="247">
        <f t="shared" si="15"/>
        <v>0</v>
      </c>
      <c r="HG35" s="247" t="str">
        <f t="shared" si="15"/>
        <v xml:space="preserve"> </v>
      </c>
      <c r="HH35" s="247" t="str">
        <f t="shared" si="15"/>
        <v xml:space="preserve"> </v>
      </c>
      <c r="HI35" s="247" t="str">
        <f t="shared" si="15"/>
        <v xml:space="preserve"> </v>
      </c>
      <c r="HJ35" s="247" t="str">
        <f t="shared" si="15"/>
        <v xml:space="preserve"> </v>
      </c>
      <c r="HK35" s="247" t="str">
        <f t="shared" si="15"/>
        <v xml:space="preserve"> </v>
      </c>
      <c r="HL35" s="247" t="str">
        <f t="shared" si="106"/>
        <v xml:space="preserve"> </v>
      </c>
      <c r="HM35" s="247" t="str">
        <f t="shared" si="10"/>
        <v xml:space="preserve"> </v>
      </c>
      <c r="HN35" s="247">
        <f t="shared" si="10"/>
        <v>0</v>
      </c>
      <c r="HO35" s="248">
        <f t="shared" si="10"/>
        <v>6</v>
      </c>
      <c r="HP35" s="241">
        <f t="shared" si="10"/>
        <v>420</v>
      </c>
      <c r="HR35" s="250">
        <v>35</v>
      </c>
      <c r="HS35" s="251">
        <v>420</v>
      </c>
      <c r="HT35" s="252">
        <v>66</v>
      </c>
      <c r="HU35" s="252">
        <v>72</v>
      </c>
      <c r="HV35" s="252">
        <v>72</v>
      </c>
      <c r="HW35" s="252">
        <v>72</v>
      </c>
      <c r="HX35" s="252">
        <v>72</v>
      </c>
      <c r="HY35" s="252">
        <v>66</v>
      </c>
      <c r="HZ35" s="252"/>
      <c r="IA35" s="252"/>
      <c r="IB35" s="252"/>
      <c r="IC35" s="252"/>
      <c r="ID35" s="252"/>
      <c r="IE35" s="252"/>
      <c r="IF35" s="252"/>
      <c r="IG35" s="252"/>
      <c r="IH35" s="252"/>
      <c r="II35" s="252"/>
      <c r="IJ35" s="252"/>
      <c r="IK35" s="253">
        <v>5</v>
      </c>
      <c r="IL35" s="254">
        <f t="shared" si="16"/>
        <v>420</v>
      </c>
      <c r="IN35" s="250">
        <v>35</v>
      </c>
      <c r="IO35" s="251">
        <v>420</v>
      </c>
      <c r="IP35" s="252">
        <v>84</v>
      </c>
      <c r="IQ35" s="252">
        <v>84</v>
      </c>
      <c r="IR35" s="252">
        <v>84</v>
      </c>
      <c r="IS35" s="252">
        <v>84</v>
      </c>
      <c r="IT35" s="252">
        <v>84</v>
      </c>
      <c r="IU35" s="252"/>
      <c r="IV35" s="252"/>
      <c r="IW35" s="252"/>
      <c r="IX35" s="252"/>
      <c r="IY35" s="252"/>
      <c r="IZ35" s="252"/>
      <c r="JA35" s="252"/>
      <c r="JB35" s="252"/>
      <c r="JC35" s="252"/>
      <c r="JD35" s="252"/>
      <c r="JE35" s="252"/>
      <c r="JF35" s="252"/>
      <c r="JG35" s="253">
        <v>4</v>
      </c>
      <c r="JH35" s="254">
        <f t="shared" si="17"/>
        <v>420</v>
      </c>
      <c r="JJ35" s="255">
        <v>35</v>
      </c>
      <c r="JK35" s="251">
        <v>420</v>
      </c>
      <c r="JL35" s="252">
        <v>66</v>
      </c>
      <c r="JM35" s="252">
        <v>96</v>
      </c>
      <c r="JN35" s="252">
        <v>96</v>
      </c>
      <c r="JO35" s="252">
        <v>96</v>
      </c>
      <c r="JP35" s="252">
        <v>66</v>
      </c>
      <c r="JQ35" s="252"/>
      <c r="JR35" s="252"/>
      <c r="JS35" s="252"/>
      <c r="JT35" s="252"/>
      <c r="JU35" s="252"/>
      <c r="JV35" s="252"/>
      <c r="JW35" s="252"/>
      <c r="JX35" s="252"/>
      <c r="JY35" s="252"/>
      <c r="JZ35" s="252"/>
      <c r="KA35" s="252"/>
      <c r="KB35" s="252"/>
      <c r="KC35" s="253">
        <v>4</v>
      </c>
      <c r="KD35" s="254">
        <f t="shared" si="18"/>
        <v>420</v>
      </c>
      <c r="KF35" s="250">
        <v>35</v>
      </c>
      <c r="KG35" s="251">
        <v>420</v>
      </c>
      <c r="KH35" s="252">
        <v>48</v>
      </c>
      <c r="KI35" s="252">
        <v>54</v>
      </c>
      <c r="KJ35" s="252">
        <v>54</v>
      </c>
      <c r="KK35" s="252">
        <v>54</v>
      </c>
      <c r="KL35" s="252">
        <v>54</v>
      </c>
      <c r="KM35" s="252">
        <v>54</v>
      </c>
      <c r="KN35" s="252">
        <v>54</v>
      </c>
      <c r="KO35" s="252">
        <v>48</v>
      </c>
      <c r="KP35" s="252"/>
      <c r="KQ35" s="252"/>
      <c r="KR35" s="252"/>
      <c r="KS35" s="252"/>
      <c r="KT35" s="252"/>
      <c r="KU35" s="252"/>
      <c r="KV35" s="252"/>
      <c r="KW35" s="252"/>
      <c r="KX35" s="252"/>
      <c r="KY35" s="253">
        <v>7</v>
      </c>
      <c r="KZ35" s="254">
        <f t="shared" si="19"/>
        <v>420</v>
      </c>
      <c r="LB35" s="237">
        <f t="shared" si="20"/>
        <v>35</v>
      </c>
      <c r="LC35" s="284">
        <f t="shared" si="21"/>
        <v>420</v>
      </c>
      <c r="LD35" s="237">
        <f t="shared" si="22"/>
        <v>48</v>
      </c>
      <c r="LE35" s="237">
        <f t="shared" si="23"/>
        <v>54</v>
      </c>
      <c r="LF35" s="237">
        <f t="shared" si="24"/>
        <v>54</v>
      </c>
      <c r="LG35" s="237">
        <f t="shared" si="25"/>
        <v>54</v>
      </c>
      <c r="LH35" s="237">
        <f t="shared" si="26"/>
        <v>54</v>
      </c>
      <c r="LI35" s="237">
        <f t="shared" si="27"/>
        <v>54</v>
      </c>
      <c r="LJ35" s="237">
        <f t="shared" si="28"/>
        <v>54</v>
      </c>
      <c r="LK35" s="237">
        <f t="shared" si="29"/>
        <v>48</v>
      </c>
      <c r="LL35" s="237">
        <f t="shared" si="30"/>
        <v>0</v>
      </c>
      <c r="LM35" s="237">
        <f t="shared" si="31"/>
        <v>0</v>
      </c>
      <c r="LN35" s="237">
        <f t="shared" si="32"/>
        <v>0</v>
      </c>
      <c r="LO35" s="237">
        <f t="shared" si="33"/>
        <v>0</v>
      </c>
      <c r="LP35" s="237">
        <f t="shared" si="34"/>
        <v>0</v>
      </c>
      <c r="LQ35" s="237">
        <f t="shared" si="35"/>
        <v>0</v>
      </c>
      <c r="LR35" s="237">
        <f t="shared" si="36"/>
        <v>0</v>
      </c>
      <c r="LS35" s="237">
        <f t="shared" si="37"/>
        <v>0</v>
      </c>
      <c r="LT35" s="237">
        <f t="shared" si="38"/>
        <v>0</v>
      </c>
      <c r="LU35" s="285">
        <f t="shared" si="39"/>
        <v>7</v>
      </c>
      <c r="LV35" s="280">
        <f t="shared" si="40"/>
        <v>420</v>
      </c>
      <c r="LX35" s="237">
        <f t="shared" si="41"/>
        <v>35</v>
      </c>
      <c r="LY35" s="284">
        <f t="shared" si="42"/>
        <v>420</v>
      </c>
      <c r="LZ35" s="237">
        <f t="shared" si="43"/>
        <v>48</v>
      </c>
      <c r="MA35" s="237">
        <f t="shared" si="44"/>
        <v>54</v>
      </c>
      <c r="MB35" s="237">
        <f t="shared" si="45"/>
        <v>54</v>
      </c>
      <c r="MC35" s="237">
        <f t="shared" si="46"/>
        <v>54</v>
      </c>
      <c r="MD35" s="237">
        <f t="shared" si="47"/>
        <v>54</v>
      </c>
      <c r="ME35" s="237">
        <f t="shared" si="48"/>
        <v>54</v>
      </c>
      <c r="MF35" s="237">
        <f t="shared" si="49"/>
        <v>54</v>
      </c>
      <c r="MG35" s="237">
        <f t="shared" si="50"/>
        <v>48</v>
      </c>
      <c r="MH35" s="237">
        <f t="shared" si="51"/>
        <v>0</v>
      </c>
      <c r="MI35" s="237">
        <f t="shared" si="52"/>
        <v>0</v>
      </c>
      <c r="MJ35" s="237">
        <f t="shared" si="53"/>
        <v>0</v>
      </c>
      <c r="MK35" s="237">
        <f t="shared" si="54"/>
        <v>0</v>
      </c>
      <c r="ML35" s="237">
        <f t="shared" si="55"/>
        <v>0</v>
      </c>
      <c r="MM35" s="237">
        <f t="shared" si="56"/>
        <v>0</v>
      </c>
      <c r="MN35" s="237">
        <f t="shared" si="57"/>
        <v>0</v>
      </c>
      <c r="MO35" s="237">
        <f t="shared" si="58"/>
        <v>0</v>
      </c>
      <c r="MP35" s="237">
        <f t="shared" si="59"/>
        <v>0</v>
      </c>
      <c r="MQ35" s="285">
        <f t="shared" si="60"/>
        <v>7</v>
      </c>
      <c r="MR35" s="280">
        <f t="shared" si="61"/>
        <v>420</v>
      </c>
      <c r="MT35" s="237">
        <f t="shared" si="62"/>
        <v>35</v>
      </c>
      <c r="MU35" s="284">
        <f t="shared" si="63"/>
        <v>420</v>
      </c>
      <c r="MV35" s="237">
        <f t="shared" si="64"/>
        <v>48</v>
      </c>
      <c r="MW35" s="237">
        <f t="shared" si="65"/>
        <v>54</v>
      </c>
      <c r="MX35" s="237">
        <f t="shared" si="66"/>
        <v>54</v>
      </c>
      <c r="MY35" s="237">
        <f t="shared" si="67"/>
        <v>54</v>
      </c>
      <c r="MZ35" s="237">
        <f t="shared" si="68"/>
        <v>54</v>
      </c>
      <c r="NA35" s="237">
        <f t="shared" si="69"/>
        <v>54</v>
      </c>
      <c r="NB35" s="237">
        <f t="shared" si="70"/>
        <v>54</v>
      </c>
      <c r="NC35" s="237">
        <f t="shared" si="71"/>
        <v>48</v>
      </c>
      <c r="ND35" s="237">
        <f t="shared" si="72"/>
        <v>0</v>
      </c>
      <c r="NE35" s="237">
        <f t="shared" si="73"/>
        <v>0</v>
      </c>
      <c r="NF35" s="237">
        <f t="shared" si="74"/>
        <v>0</v>
      </c>
      <c r="NG35" s="237">
        <f t="shared" si="75"/>
        <v>0</v>
      </c>
      <c r="NH35" s="237">
        <f t="shared" si="76"/>
        <v>0</v>
      </c>
      <c r="NI35" s="237">
        <f t="shared" si="77"/>
        <v>0</v>
      </c>
      <c r="NJ35" s="237">
        <f t="shared" si="78"/>
        <v>0</v>
      </c>
      <c r="NK35" s="237">
        <f t="shared" si="79"/>
        <v>0</v>
      </c>
      <c r="NL35" s="237">
        <f t="shared" si="80"/>
        <v>0</v>
      </c>
      <c r="NM35" s="285">
        <f t="shared" si="81"/>
        <v>7</v>
      </c>
      <c r="NN35" s="280">
        <f t="shared" si="82"/>
        <v>420</v>
      </c>
      <c r="NP35" s="237">
        <f t="shared" si="83"/>
        <v>35</v>
      </c>
      <c r="NQ35" s="284">
        <f t="shared" si="84"/>
        <v>420</v>
      </c>
      <c r="NR35" s="237">
        <f t="shared" si="85"/>
        <v>48</v>
      </c>
      <c r="NS35" s="237">
        <f t="shared" si="86"/>
        <v>54</v>
      </c>
      <c r="NT35" s="237">
        <f t="shared" si="87"/>
        <v>54</v>
      </c>
      <c r="NU35" s="237">
        <f t="shared" si="88"/>
        <v>54</v>
      </c>
      <c r="NV35" s="237">
        <f t="shared" si="89"/>
        <v>54</v>
      </c>
      <c r="NW35" s="237">
        <f t="shared" si="90"/>
        <v>54</v>
      </c>
      <c r="NX35" s="237">
        <f t="shared" si="91"/>
        <v>54</v>
      </c>
      <c r="NY35" s="237">
        <f t="shared" si="92"/>
        <v>48</v>
      </c>
      <c r="NZ35" s="237">
        <f t="shared" si="93"/>
        <v>0</v>
      </c>
      <c r="OA35" s="237">
        <f t="shared" si="94"/>
        <v>0</v>
      </c>
      <c r="OB35" s="237">
        <f t="shared" si="95"/>
        <v>0</v>
      </c>
      <c r="OC35" s="237">
        <f t="shared" si="96"/>
        <v>0</v>
      </c>
      <c r="OD35" s="237">
        <f t="shared" si="97"/>
        <v>0</v>
      </c>
      <c r="OE35" s="237">
        <f t="shared" si="98"/>
        <v>0</v>
      </c>
      <c r="OF35" s="237">
        <f t="shared" si="99"/>
        <v>0</v>
      </c>
      <c r="OG35" s="237">
        <f t="shared" si="100"/>
        <v>0</v>
      </c>
      <c r="OH35" s="237">
        <f t="shared" si="101"/>
        <v>0</v>
      </c>
      <c r="OI35" s="285">
        <f t="shared" si="102"/>
        <v>7</v>
      </c>
      <c r="OJ35" s="280">
        <f t="shared" si="103"/>
        <v>420</v>
      </c>
    </row>
    <row r="36" spans="12:400" x14ac:dyDescent="0.3">
      <c r="AE36" s="127" t="str">
        <f t="shared" ref="AE36:AE67" si="109">CONCATENATE("L",AF36,"x",AG36,"x",AH36)</f>
        <v>L2.5x3x0.4375</v>
      </c>
      <c r="AF36" s="138">
        <v>2.5</v>
      </c>
      <c r="AG36" s="138">
        <v>3.0000000000000004</v>
      </c>
      <c r="AH36" s="138">
        <v>0.4375</v>
      </c>
      <c r="AI36" s="138">
        <v>0.3125</v>
      </c>
      <c r="AJ36" s="138">
        <v>0.3125</v>
      </c>
      <c r="AK36">
        <f t="shared" ref="AK36:AK67" si="110">((((SIGN(AH36-AJ36))+1)*(AH36-AJ36))/2)+0.0002</f>
        <v>0.12520000000000001</v>
      </c>
      <c r="AM36" s="133" t="s">
        <v>85</v>
      </c>
      <c r="BD36" s="143" t="str">
        <f t="shared" si="4"/>
        <v>W10x49</v>
      </c>
      <c r="BE36">
        <v>10</v>
      </c>
      <c r="BF36" s="138">
        <v>49</v>
      </c>
      <c r="BG36" s="138">
        <v>9.98</v>
      </c>
      <c r="BH36" s="138">
        <v>0.33999999999999997</v>
      </c>
      <c r="BI36" s="138">
        <v>10</v>
      </c>
      <c r="BJ36" s="138">
        <v>0.56000000000000005</v>
      </c>
      <c r="BK36" s="138">
        <v>0.5</v>
      </c>
      <c r="BM36" s="133" t="s">
        <v>85</v>
      </c>
      <c r="BO36" s="150" t="s">
        <v>306</v>
      </c>
      <c r="BP36" s="138">
        <v>15.3</v>
      </c>
      <c r="BQ36" s="144">
        <v>6.0000000000000009</v>
      </c>
      <c r="BR36" s="144">
        <v>0.33999999999999997</v>
      </c>
      <c r="BS36" s="144">
        <v>3.5</v>
      </c>
      <c r="BT36" s="144">
        <v>0.38500000000000001</v>
      </c>
      <c r="BU36" s="144">
        <v>0.39</v>
      </c>
      <c r="BV36" s="144">
        <v>0.14242125538211528</v>
      </c>
      <c r="BW36" s="138">
        <v>9.4629999999999992</v>
      </c>
      <c r="BX36" s="138">
        <v>9.9999999999991762E-4</v>
      </c>
      <c r="BY36" s="138">
        <v>4.0425437083849083</v>
      </c>
      <c r="BZ36" s="138">
        <v>0.9787281458075463</v>
      </c>
      <c r="CB36">
        <v>0.875</v>
      </c>
      <c r="CC36">
        <v>4.2500000000000009</v>
      </c>
      <c r="CD36" s="151" t="s">
        <v>85</v>
      </c>
      <c r="CF36" s="150" t="s">
        <v>306</v>
      </c>
      <c r="CG36">
        <v>0.875</v>
      </c>
      <c r="CH36">
        <v>4.2500000000000009</v>
      </c>
      <c r="CI36" s="151" t="s">
        <v>261</v>
      </c>
      <c r="EH36" s="243">
        <v>36</v>
      </c>
      <c r="EI36" s="244">
        <v>432</v>
      </c>
      <c r="EJ36" s="90">
        <v>48</v>
      </c>
      <c r="EK36" s="90">
        <v>48</v>
      </c>
      <c r="EL36" s="90">
        <v>48</v>
      </c>
      <c r="EM36" s="90">
        <v>48</v>
      </c>
      <c r="EN36" s="90">
        <v>48</v>
      </c>
      <c r="EO36" s="90">
        <v>48</v>
      </c>
      <c r="EP36" s="90">
        <v>48</v>
      </c>
      <c r="EQ36" s="90">
        <v>48</v>
      </c>
      <c r="ER36" s="90">
        <v>48</v>
      </c>
      <c r="ES36" s="90" t="s">
        <v>1137</v>
      </c>
      <c r="ET36" s="90" t="s">
        <v>1137</v>
      </c>
      <c r="EU36" s="90" t="s">
        <v>1137</v>
      </c>
      <c r="EV36" s="90" t="s">
        <v>1137</v>
      </c>
      <c r="EW36" s="90" t="s">
        <v>1137</v>
      </c>
      <c r="EX36" s="90" t="s">
        <v>1137</v>
      </c>
      <c r="EY36" s="90" t="s">
        <v>1137</v>
      </c>
      <c r="EZ36" s="90"/>
      <c r="FA36" s="224">
        <v>8</v>
      </c>
      <c r="FB36" s="245">
        <f t="shared" si="12"/>
        <v>432</v>
      </c>
      <c r="FD36" s="237">
        <f t="shared" si="108"/>
        <v>36</v>
      </c>
      <c r="FE36" s="246">
        <f t="shared" si="108"/>
        <v>432</v>
      </c>
      <c r="FF36" s="247">
        <f t="shared" si="108"/>
        <v>48</v>
      </c>
      <c r="FG36" s="247">
        <f t="shared" si="107"/>
        <v>48</v>
      </c>
      <c r="FH36" s="247">
        <f t="shared" si="107"/>
        <v>48</v>
      </c>
      <c r="FI36" s="247">
        <f t="shared" si="107"/>
        <v>48</v>
      </c>
      <c r="FJ36" s="247">
        <f t="shared" si="107"/>
        <v>48</v>
      </c>
      <c r="FK36" s="247">
        <f t="shared" si="107"/>
        <v>48</v>
      </c>
      <c r="FL36" s="247">
        <f t="shared" si="107"/>
        <v>48</v>
      </c>
      <c r="FM36" s="247">
        <f t="shared" si="107"/>
        <v>48</v>
      </c>
      <c r="FN36" s="247">
        <f t="shared" si="107"/>
        <v>48</v>
      </c>
      <c r="FO36" s="247" t="str">
        <f t="shared" si="107"/>
        <v xml:space="preserve"> </v>
      </c>
      <c r="FP36" s="247" t="str">
        <f t="shared" si="107"/>
        <v xml:space="preserve"> </v>
      </c>
      <c r="FQ36" s="247" t="str">
        <f t="shared" si="107"/>
        <v xml:space="preserve"> </v>
      </c>
      <c r="FR36" s="247" t="str">
        <f t="shared" si="107"/>
        <v xml:space="preserve"> </v>
      </c>
      <c r="FS36" s="247" t="str">
        <f t="shared" si="107"/>
        <v xml:space="preserve"> </v>
      </c>
      <c r="FT36" s="247" t="str">
        <f t="shared" si="105"/>
        <v xml:space="preserve"> </v>
      </c>
      <c r="FU36" s="247" t="str">
        <f t="shared" si="105"/>
        <v xml:space="preserve"> </v>
      </c>
      <c r="FV36" s="247">
        <f t="shared" si="105"/>
        <v>0</v>
      </c>
      <c r="FW36" s="248">
        <f t="shared" si="105"/>
        <v>8</v>
      </c>
      <c r="FX36" s="241">
        <f t="shared" si="105"/>
        <v>432</v>
      </c>
      <c r="FZ36" s="249">
        <v>36</v>
      </c>
      <c r="GA36" s="244">
        <v>432</v>
      </c>
      <c r="GB36" s="90">
        <v>36</v>
      </c>
      <c r="GC36" s="90">
        <v>60</v>
      </c>
      <c r="GD36" s="90">
        <v>60</v>
      </c>
      <c r="GE36" s="90">
        <v>60</v>
      </c>
      <c r="GF36" s="90">
        <v>60</v>
      </c>
      <c r="GG36" s="90">
        <v>60</v>
      </c>
      <c r="GH36" s="90">
        <v>60</v>
      </c>
      <c r="GI36" s="90">
        <v>36</v>
      </c>
      <c r="GJ36" s="90"/>
      <c r="GK36" s="90"/>
      <c r="GL36" s="90"/>
      <c r="GM36" s="90"/>
      <c r="GN36" s="90"/>
      <c r="GO36" s="90"/>
      <c r="GP36" s="90"/>
      <c r="GQ36" s="90"/>
      <c r="GR36" s="90"/>
      <c r="GS36" s="224">
        <v>7</v>
      </c>
      <c r="GT36" s="245">
        <f t="shared" si="14"/>
        <v>432</v>
      </c>
      <c r="GV36" s="237">
        <f t="shared" ref="GV36:HK51" si="111">FZ36</f>
        <v>36</v>
      </c>
      <c r="GW36" s="246">
        <f t="shared" si="111"/>
        <v>432</v>
      </c>
      <c r="GX36" s="247">
        <f t="shared" si="111"/>
        <v>36</v>
      </c>
      <c r="GY36" s="247">
        <f t="shared" si="111"/>
        <v>60</v>
      </c>
      <c r="GZ36" s="247">
        <f t="shared" si="111"/>
        <v>60</v>
      </c>
      <c r="HA36" s="247">
        <f t="shared" si="111"/>
        <v>60</v>
      </c>
      <c r="HB36" s="247">
        <f t="shared" si="111"/>
        <v>60</v>
      </c>
      <c r="HC36" s="247">
        <f t="shared" si="111"/>
        <v>60</v>
      </c>
      <c r="HD36" s="247">
        <f t="shared" si="111"/>
        <v>60</v>
      </c>
      <c r="HE36" s="247">
        <f t="shared" si="111"/>
        <v>36</v>
      </c>
      <c r="HF36" s="247">
        <f t="shared" si="111"/>
        <v>0</v>
      </c>
      <c r="HG36" s="247">
        <f t="shared" si="111"/>
        <v>0</v>
      </c>
      <c r="HH36" s="247">
        <f t="shared" si="111"/>
        <v>0</v>
      </c>
      <c r="HI36" s="247">
        <f t="shared" si="111"/>
        <v>0</v>
      </c>
      <c r="HJ36" s="247">
        <f t="shared" si="111"/>
        <v>0</v>
      </c>
      <c r="HK36" s="247">
        <f t="shared" si="111"/>
        <v>0</v>
      </c>
      <c r="HL36" s="247">
        <f t="shared" si="106"/>
        <v>0</v>
      </c>
      <c r="HM36" s="247">
        <f t="shared" si="10"/>
        <v>0</v>
      </c>
      <c r="HN36" s="247">
        <f t="shared" si="10"/>
        <v>0</v>
      </c>
      <c r="HO36" s="248">
        <f t="shared" si="10"/>
        <v>7</v>
      </c>
      <c r="HP36" s="241">
        <f t="shared" si="10"/>
        <v>432</v>
      </c>
      <c r="HR36" s="243">
        <v>36</v>
      </c>
      <c r="HS36" s="244">
        <v>432</v>
      </c>
      <c r="HT36" s="90">
        <v>72</v>
      </c>
      <c r="HU36" s="90">
        <v>72</v>
      </c>
      <c r="HV36" s="90">
        <v>72</v>
      </c>
      <c r="HW36" s="90">
        <v>72</v>
      </c>
      <c r="HX36" s="90">
        <v>72</v>
      </c>
      <c r="HY36" s="90">
        <v>72</v>
      </c>
      <c r="HZ36" s="90"/>
      <c r="IA36" s="90"/>
      <c r="IB36" s="90"/>
      <c r="IC36" s="90"/>
      <c r="ID36" s="90"/>
      <c r="IE36" s="90"/>
      <c r="IF36" s="90"/>
      <c r="IG36" s="90"/>
      <c r="IH36" s="90"/>
      <c r="II36" s="90"/>
      <c r="IJ36" s="90"/>
      <c r="IK36" s="224">
        <v>5</v>
      </c>
      <c r="IL36" s="245">
        <f t="shared" si="16"/>
        <v>432</v>
      </c>
      <c r="IN36" s="243">
        <v>36</v>
      </c>
      <c r="IO36" s="244">
        <v>432</v>
      </c>
      <c r="IP36" s="90">
        <v>48</v>
      </c>
      <c r="IQ36" s="90">
        <v>84</v>
      </c>
      <c r="IR36" s="90">
        <v>84</v>
      </c>
      <c r="IS36" s="90">
        <v>84</v>
      </c>
      <c r="IT36" s="90">
        <v>84</v>
      </c>
      <c r="IU36" s="90">
        <v>48</v>
      </c>
      <c r="IV36" s="90"/>
      <c r="IW36" s="90"/>
      <c r="IX36" s="90"/>
      <c r="IY36" s="90"/>
      <c r="IZ36" s="90"/>
      <c r="JA36" s="90"/>
      <c r="JB36" s="90"/>
      <c r="JC36" s="90"/>
      <c r="JD36" s="90"/>
      <c r="JE36" s="90"/>
      <c r="JF36" s="90"/>
      <c r="JG36" s="224">
        <v>5</v>
      </c>
      <c r="JH36" s="245">
        <f t="shared" si="17"/>
        <v>432</v>
      </c>
      <c r="JJ36" s="249">
        <v>36</v>
      </c>
      <c r="JK36" s="244">
        <v>432</v>
      </c>
      <c r="JL36" s="90">
        <v>72</v>
      </c>
      <c r="JM36" s="90">
        <v>96</v>
      </c>
      <c r="JN36" s="90">
        <v>96</v>
      </c>
      <c r="JO36" s="90">
        <v>96</v>
      </c>
      <c r="JP36" s="90">
        <v>72</v>
      </c>
      <c r="JQ36" s="90"/>
      <c r="JR36" s="90"/>
      <c r="JS36" s="90"/>
      <c r="JT36" s="90"/>
      <c r="JU36" s="90"/>
      <c r="JV36" s="90"/>
      <c r="JW36" s="90"/>
      <c r="JX36" s="90"/>
      <c r="JY36" s="90"/>
      <c r="JZ36" s="90"/>
      <c r="KA36" s="90"/>
      <c r="KB36" s="90"/>
      <c r="KC36" s="224">
        <v>4</v>
      </c>
      <c r="KD36" s="245">
        <f t="shared" si="18"/>
        <v>432</v>
      </c>
      <c r="KF36" s="243">
        <v>36</v>
      </c>
      <c r="KG36" s="244">
        <v>432</v>
      </c>
      <c r="KH36" s="90">
        <v>54</v>
      </c>
      <c r="KI36" s="90">
        <v>54</v>
      </c>
      <c r="KJ36" s="90">
        <v>54</v>
      </c>
      <c r="KK36" s="90">
        <v>54</v>
      </c>
      <c r="KL36" s="90">
        <v>54</v>
      </c>
      <c r="KM36" s="90">
        <v>54</v>
      </c>
      <c r="KN36" s="90">
        <v>54</v>
      </c>
      <c r="KO36" s="90">
        <v>54</v>
      </c>
      <c r="KP36" s="90"/>
      <c r="KQ36" s="90"/>
      <c r="KR36" s="90"/>
      <c r="KS36" s="90"/>
      <c r="KT36" s="90"/>
      <c r="KU36" s="90"/>
      <c r="KV36" s="90"/>
      <c r="KW36" s="90"/>
      <c r="KX36" s="90"/>
      <c r="KY36" s="224">
        <v>7</v>
      </c>
      <c r="KZ36" s="245">
        <f t="shared" si="19"/>
        <v>432</v>
      </c>
      <c r="LB36" s="237">
        <f t="shared" si="20"/>
        <v>36</v>
      </c>
      <c r="LC36" s="284">
        <f t="shared" si="21"/>
        <v>432</v>
      </c>
      <c r="LD36" s="237">
        <f t="shared" si="22"/>
        <v>54</v>
      </c>
      <c r="LE36" s="237">
        <f t="shared" si="23"/>
        <v>54</v>
      </c>
      <c r="LF36" s="237">
        <f t="shared" si="24"/>
        <v>54</v>
      </c>
      <c r="LG36" s="237">
        <f t="shared" si="25"/>
        <v>54</v>
      </c>
      <c r="LH36" s="237">
        <f t="shared" si="26"/>
        <v>54</v>
      </c>
      <c r="LI36" s="237">
        <f t="shared" si="27"/>
        <v>54</v>
      </c>
      <c r="LJ36" s="237">
        <f t="shared" si="28"/>
        <v>54</v>
      </c>
      <c r="LK36" s="237">
        <f t="shared" si="29"/>
        <v>54</v>
      </c>
      <c r="LL36" s="237">
        <f t="shared" si="30"/>
        <v>0</v>
      </c>
      <c r="LM36" s="237">
        <f t="shared" si="31"/>
        <v>0</v>
      </c>
      <c r="LN36" s="237">
        <f t="shared" si="32"/>
        <v>0</v>
      </c>
      <c r="LO36" s="237">
        <f t="shared" si="33"/>
        <v>0</v>
      </c>
      <c r="LP36" s="237">
        <f t="shared" si="34"/>
        <v>0</v>
      </c>
      <c r="LQ36" s="237">
        <f t="shared" si="35"/>
        <v>0</v>
      </c>
      <c r="LR36" s="237">
        <f t="shared" si="36"/>
        <v>0</v>
      </c>
      <c r="LS36" s="237">
        <f t="shared" si="37"/>
        <v>0</v>
      </c>
      <c r="LT36" s="237">
        <f t="shared" si="38"/>
        <v>0</v>
      </c>
      <c r="LU36" s="285">
        <f t="shared" si="39"/>
        <v>7</v>
      </c>
      <c r="LV36" s="280">
        <f t="shared" si="40"/>
        <v>432</v>
      </c>
      <c r="LX36" s="237">
        <f t="shared" si="41"/>
        <v>36</v>
      </c>
      <c r="LY36" s="284">
        <f t="shared" si="42"/>
        <v>432</v>
      </c>
      <c r="LZ36" s="237">
        <f t="shared" si="43"/>
        <v>54</v>
      </c>
      <c r="MA36" s="237">
        <f t="shared" si="44"/>
        <v>54</v>
      </c>
      <c r="MB36" s="237">
        <f t="shared" si="45"/>
        <v>54</v>
      </c>
      <c r="MC36" s="237">
        <f t="shared" si="46"/>
        <v>54</v>
      </c>
      <c r="MD36" s="237">
        <f t="shared" si="47"/>
        <v>54</v>
      </c>
      <c r="ME36" s="237">
        <f t="shared" si="48"/>
        <v>54</v>
      </c>
      <c r="MF36" s="237">
        <f t="shared" si="49"/>
        <v>54</v>
      </c>
      <c r="MG36" s="237">
        <f t="shared" si="50"/>
        <v>54</v>
      </c>
      <c r="MH36" s="237">
        <f t="shared" si="51"/>
        <v>0</v>
      </c>
      <c r="MI36" s="237">
        <f t="shared" si="52"/>
        <v>0</v>
      </c>
      <c r="MJ36" s="237">
        <f t="shared" si="53"/>
        <v>0</v>
      </c>
      <c r="MK36" s="237">
        <f t="shared" si="54"/>
        <v>0</v>
      </c>
      <c r="ML36" s="237">
        <f t="shared" si="55"/>
        <v>0</v>
      </c>
      <c r="MM36" s="237">
        <f t="shared" si="56"/>
        <v>0</v>
      </c>
      <c r="MN36" s="237">
        <f t="shared" si="57"/>
        <v>0</v>
      </c>
      <c r="MO36" s="237">
        <f t="shared" si="58"/>
        <v>0</v>
      </c>
      <c r="MP36" s="237">
        <f t="shared" si="59"/>
        <v>0</v>
      </c>
      <c r="MQ36" s="285">
        <f t="shared" si="60"/>
        <v>7</v>
      </c>
      <c r="MR36" s="280">
        <f t="shared" si="61"/>
        <v>432</v>
      </c>
      <c r="MT36" s="237">
        <f t="shared" si="62"/>
        <v>36</v>
      </c>
      <c r="MU36" s="284">
        <f t="shared" si="63"/>
        <v>432</v>
      </c>
      <c r="MV36" s="237">
        <f t="shared" si="64"/>
        <v>54</v>
      </c>
      <c r="MW36" s="237">
        <f t="shared" si="65"/>
        <v>54</v>
      </c>
      <c r="MX36" s="237">
        <f t="shared" si="66"/>
        <v>54</v>
      </c>
      <c r="MY36" s="237">
        <f t="shared" si="67"/>
        <v>54</v>
      </c>
      <c r="MZ36" s="237">
        <f t="shared" si="68"/>
        <v>54</v>
      </c>
      <c r="NA36" s="237">
        <f t="shared" si="69"/>
        <v>54</v>
      </c>
      <c r="NB36" s="237">
        <f t="shared" si="70"/>
        <v>54</v>
      </c>
      <c r="NC36" s="237">
        <f t="shared" si="71"/>
        <v>54</v>
      </c>
      <c r="ND36" s="237">
        <f t="shared" si="72"/>
        <v>0</v>
      </c>
      <c r="NE36" s="237">
        <f t="shared" si="73"/>
        <v>0</v>
      </c>
      <c r="NF36" s="237">
        <f t="shared" si="74"/>
        <v>0</v>
      </c>
      <c r="NG36" s="237">
        <f t="shared" si="75"/>
        <v>0</v>
      </c>
      <c r="NH36" s="237">
        <f t="shared" si="76"/>
        <v>0</v>
      </c>
      <c r="NI36" s="237">
        <f t="shared" si="77"/>
        <v>0</v>
      </c>
      <c r="NJ36" s="237">
        <f t="shared" si="78"/>
        <v>0</v>
      </c>
      <c r="NK36" s="237">
        <f t="shared" si="79"/>
        <v>0</v>
      </c>
      <c r="NL36" s="237">
        <f t="shared" si="80"/>
        <v>0</v>
      </c>
      <c r="NM36" s="285">
        <f t="shared" si="81"/>
        <v>7</v>
      </c>
      <c r="NN36" s="280">
        <f t="shared" si="82"/>
        <v>432</v>
      </c>
      <c r="NP36" s="237">
        <f t="shared" si="83"/>
        <v>36</v>
      </c>
      <c r="NQ36" s="284">
        <f t="shared" si="84"/>
        <v>432</v>
      </c>
      <c r="NR36" s="237">
        <f t="shared" si="85"/>
        <v>54</v>
      </c>
      <c r="NS36" s="237">
        <f t="shared" si="86"/>
        <v>54</v>
      </c>
      <c r="NT36" s="237">
        <f t="shared" si="87"/>
        <v>54</v>
      </c>
      <c r="NU36" s="237">
        <f t="shared" si="88"/>
        <v>54</v>
      </c>
      <c r="NV36" s="237">
        <f t="shared" si="89"/>
        <v>54</v>
      </c>
      <c r="NW36" s="237">
        <f t="shared" si="90"/>
        <v>54</v>
      </c>
      <c r="NX36" s="237">
        <f t="shared" si="91"/>
        <v>54</v>
      </c>
      <c r="NY36" s="237">
        <f t="shared" si="92"/>
        <v>54</v>
      </c>
      <c r="NZ36" s="237">
        <f t="shared" si="93"/>
        <v>0</v>
      </c>
      <c r="OA36" s="237">
        <f t="shared" si="94"/>
        <v>0</v>
      </c>
      <c r="OB36" s="237">
        <f t="shared" si="95"/>
        <v>0</v>
      </c>
      <c r="OC36" s="237">
        <f t="shared" si="96"/>
        <v>0</v>
      </c>
      <c r="OD36" s="237">
        <f t="shared" si="97"/>
        <v>0</v>
      </c>
      <c r="OE36" s="237">
        <f t="shared" si="98"/>
        <v>0</v>
      </c>
      <c r="OF36" s="237">
        <f t="shared" si="99"/>
        <v>0</v>
      </c>
      <c r="OG36" s="237">
        <f t="shared" si="100"/>
        <v>0</v>
      </c>
      <c r="OH36" s="237">
        <f t="shared" si="101"/>
        <v>0</v>
      </c>
      <c r="OI36" s="285">
        <f t="shared" si="102"/>
        <v>7</v>
      </c>
      <c r="OJ36" s="280">
        <f t="shared" si="103"/>
        <v>432</v>
      </c>
    </row>
    <row r="37" spans="12:400" x14ac:dyDescent="0.3">
      <c r="AE37" s="127" t="str">
        <f t="shared" si="109"/>
        <v>L2.5x3x0.5</v>
      </c>
      <c r="AF37" s="138">
        <v>2.5</v>
      </c>
      <c r="AG37" s="138">
        <v>3.0000000000000004</v>
      </c>
      <c r="AH37" s="138">
        <v>0.5</v>
      </c>
      <c r="AI37" s="138">
        <v>0.3125</v>
      </c>
      <c r="AJ37" s="138">
        <v>0.3125</v>
      </c>
      <c r="AK37">
        <f t="shared" si="110"/>
        <v>0.18770000000000001</v>
      </c>
      <c r="AM37" s="133" t="s">
        <v>85</v>
      </c>
      <c r="BD37" s="143" t="str">
        <f t="shared" si="4"/>
        <v>W10x54</v>
      </c>
      <c r="BE37">
        <v>10</v>
      </c>
      <c r="BF37" s="138">
        <v>54</v>
      </c>
      <c r="BG37" s="138">
        <v>10.090000000000002</v>
      </c>
      <c r="BH37" s="138">
        <v>0.37</v>
      </c>
      <c r="BI37" s="138">
        <v>10.029999999999999</v>
      </c>
      <c r="BJ37" s="138">
        <v>0.61499999999999999</v>
      </c>
      <c r="BK37" s="138">
        <v>0.5</v>
      </c>
      <c r="BM37" s="133" t="s">
        <v>85</v>
      </c>
      <c r="BO37" s="150" t="s">
        <v>307</v>
      </c>
      <c r="BP37" s="138">
        <v>16.3</v>
      </c>
      <c r="BQ37" s="144">
        <v>6.0000000000000009</v>
      </c>
      <c r="BR37" s="144">
        <v>0.37500000000000006</v>
      </c>
      <c r="BS37" s="144">
        <v>3.0000000000000004</v>
      </c>
      <c r="BT37" s="144">
        <v>0.47499999999999998</v>
      </c>
      <c r="BU37" s="144">
        <v>0.48</v>
      </c>
      <c r="BV37" s="144">
        <v>0.30129729846045078</v>
      </c>
      <c r="BW37" s="138">
        <v>9.4629999999999992</v>
      </c>
      <c r="BX37" s="138">
        <v>1.0000000000001952E-3</v>
      </c>
      <c r="BY37" s="138">
        <v>3.7992358325628137</v>
      </c>
      <c r="BZ37" s="138">
        <v>1.1003820837185936</v>
      </c>
      <c r="CB37">
        <v>1.0625</v>
      </c>
      <c r="CC37">
        <v>3.8750000000000009</v>
      </c>
      <c r="CD37" s="151" t="s">
        <v>85</v>
      </c>
      <c r="CF37" s="150" t="s">
        <v>307</v>
      </c>
      <c r="CG37">
        <v>1.0625</v>
      </c>
      <c r="CH37">
        <v>3.8750000000000009</v>
      </c>
      <c r="CI37" s="151" t="s">
        <v>261</v>
      </c>
      <c r="EH37" s="232">
        <v>37</v>
      </c>
      <c r="EI37" s="256">
        <v>444</v>
      </c>
      <c r="EJ37" s="257">
        <v>30</v>
      </c>
      <c r="EK37" s="257">
        <v>48</v>
      </c>
      <c r="EL37" s="257">
        <v>48</v>
      </c>
      <c r="EM37" s="257">
        <v>48</v>
      </c>
      <c r="EN37" s="257">
        <v>48</v>
      </c>
      <c r="EO37" s="257">
        <v>48</v>
      </c>
      <c r="EP37" s="257">
        <v>48</v>
      </c>
      <c r="EQ37" s="257">
        <v>48</v>
      </c>
      <c r="ER37" s="257">
        <v>48</v>
      </c>
      <c r="ES37" s="257">
        <v>30</v>
      </c>
      <c r="ET37" s="257" t="s">
        <v>1137</v>
      </c>
      <c r="EU37" s="257" t="s">
        <v>1137</v>
      </c>
      <c r="EV37" s="257" t="s">
        <v>1137</v>
      </c>
      <c r="EW37" s="257" t="s">
        <v>1137</v>
      </c>
      <c r="EX37" s="257" t="s">
        <v>1137</v>
      </c>
      <c r="EY37" s="257" t="s">
        <v>1137</v>
      </c>
      <c r="EZ37" s="257"/>
      <c r="FA37" s="258">
        <v>9</v>
      </c>
      <c r="FB37" s="236">
        <f t="shared" si="12"/>
        <v>444</v>
      </c>
      <c r="FD37" s="237">
        <f t="shared" si="108"/>
        <v>37</v>
      </c>
      <c r="FE37" s="246">
        <f t="shared" si="108"/>
        <v>444</v>
      </c>
      <c r="FF37" s="247">
        <f t="shared" si="108"/>
        <v>30</v>
      </c>
      <c r="FG37" s="247">
        <f t="shared" si="107"/>
        <v>48</v>
      </c>
      <c r="FH37" s="247">
        <f t="shared" si="107"/>
        <v>48</v>
      </c>
      <c r="FI37" s="247">
        <f t="shared" si="107"/>
        <v>48</v>
      </c>
      <c r="FJ37" s="247">
        <f t="shared" si="107"/>
        <v>48</v>
      </c>
      <c r="FK37" s="247">
        <f t="shared" si="107"/>
        <v>48</v>
      </c>
      <c r="FL37" s="247">
        <f t="shared" si="107"/>
        <v>48</v>
      </c>
      <c r="FM37" s="247">
        <f t="shared" si="107"/>
        <v>48</v>
      </c>
      <c r="FN37" s="247">
        <f t="shared" si="107"/>
        <v>48</v>
      </c>
      <c r="FO37" s="247">
        <f t="shared" si="107"/>
        <v>30</v>
      </c>
      <c r="FP37" s="247" t="str">
        <f t="shared" si="107"/>
        <v xml:space="preserve"> </v>
      </c>
      <c r="FQ37" s="247" t="str">
        <f t="shared" si="107"/>
        <v xml:space="preserve"> </v>
      </c>
      <c r="FR37" s="247" t="str">
        <f t="shared" si="107"/>
        <v xml:space="preserve"> </v>
      </c>
      <c r="FS37" s="247" t="str">
        <f t="shared" si="107"/>
        <v xml:space="preserve"> </v>
      </c>
      <c r="FT37" s="247" t="str">
        <f t="shared" si="105"/>
        <v xml:space="preserve"> </v>
      </c>
      <c r="FU37" s="247" t="str">
        <f t="shared" si="105"/>
        <v xml:space="preserve"> </v>
      </c>
      <c r="FV37" s="247">
        <f t="shared" si="105"/>
        <v>0</v>
      </c>
      <c r="FW37" s="248">
        <f t="shared" si="105"/>
        <v>9</v>
      </c>
      <c r="FX37" s="241">
        <f t="shared" si="105"/>
        <v>444</v>
      </c>
      <c r="FZ37" s="242">
        <v>37</v>
      </c>
      <c r="GA37" s="256">
        <v>444</v>
      </c>
      <c r="GB37" s="257">
        <v>42</v>
      </c>
      <c r="GC37" s="257">
        <v>60</v>
      </c>
      <c r="GD37" s="257">
        <v>60</v>
      </c>
      <c r="GE37" s="257">
        <v>60</v>
      </c>
      <c r="GF37" s="257">
        <v>60</v>
      </c>
      <c r="GG37" s="257">
        <v>60</v>
      </c>
      <c r="GH37" s="257">
        <v>60</v>
      </c>
      <c r="GI37" s="257">
        <v>42</v>
      </c>
      <c r="GJ37" s="257"/>
      <c r="GK37" s="257"/>
      <c r="GL37" s="257"/>
      <c r="GM37" s="257"/>
      <c r="GN37" s="257"/>
      <c r="GO37" s="257"/>
      <c r="GP37" s="257"/>
      <c r="GQ37" s="257"/>
      <c r="GR37" s="257"/>
      <c r="GS37" s="258">
        <v>7</v>
      </c>
      <c r="GT37" s="236">
        <f t="shared" si="14"/>
        <v>444</v>
      </c>
      <c r="GV37" s="237">
        <f t="shared" si="111"/>
        <v>37</v>
      </c>
      <c r="GW37" s="246">
        <f t="shared" si="111"/>
        <v>444</v>
      </c>
      <c r="GX37" s="247">
        <f t="shared" si="111"/>
        <v>42</v>
      </c>
      <c r="GY37" s="247">
        <f t="shared" si="111"/>
        <v>60</v>
      </c>
      <c r="GZ37" s="247">
        <f t="shared" si="111"/>
        <v>60</v>
      </c>
      <c r="HA37" s="247">
        <f t="shared" si="111"/>
        <v>60</v>
      </c>
      <c r="HB37" s="247">
        <f t="shared" si="111"/>
        <v>60</v>
      </c>
      <c r="HC37" s="247">
        <f t="shared" si="111"/>
        <v>60</v>
      </c>
      <c r="HD37" s="247">
        <f t="shared" si="111"/>
        <v>60</v>
      </c>
      <c r="HE37" s="247">
        <f t="shared" si="111"/>
        <v>42</v>
      </c>
      <c r="HF37" s="247">
        <f t="shared" si="111"/>
        <v>0</v>
      </c>
      <c r="HG37" s="247">
        <f t="shared" si="111"/>
        <v>0</v>
      </c>
      <c r="HH37" s="247">
        <f t="shared" si="111"/>
        <v>0</v>
      </c>
      <c r="HI37" s="247">
        <f t="shared" si="111"/>
        <v>0</v>
      </c>
      <c r="HJ37" s="247">
        <f t="shared" si="111"/>
        <v>0</v>
      </c>
      <c r="HK37" s="247">
        <f t="shared" si="111"/>
        <v>0</v>
      </c>
      <c r="HL37" s="247">
        <f t="shared" si="106"/>
        <v>0</v>
      </c>
      <c r="HM37" s="247">
        <f t="shared" si="10"/>
        <v>0</v>
      </c>
      <c r="HN37" s="247">
        <f t="shared" si="10"/>
        <v>0</v>
      </c>
      <c r="HO37" s="248">
        <f t="shared" si="10"/>
        <v>7</v>
      </c>
      <c r="HP37" s="241">
        <f t="shared" si="10"/>
        <v>444</v>
      </c>
      <c r="HR37" s="232">
        <v>37</v>
      </c>
      <c r="HS37" s="256">
        <v>444</v>
      </c>
      <c r="HT37" s="257">
        <v>42</v>
      </c>
      <c r="HU37" s="257">
        <v>72</v>
      </c>
      <c r="HV37" s="257">
        <v>72</v>
      </c>
      <c r="HW37" s="257">
        <v>72</v>
      </c>
      <c r="HX37" s="257">
        <v>72</v>
      </c>
      <c r="HY37" s="257">
        <v>72</v>
      </c>
      <c r="HZ37" s="257">
        <v>42</v>
      </c>
      <c r="IA37" s="257"/>
      <c r="IB37" s="257"/>
      <c r="IC37" s="257"/>
      <c r="ID37" s="257"/>
      <c r="IE37" s="257"/>
      <c r="IF37" s="257"/>
      <c r="IG37" s="257"/>
      <c r="IH37" s="257"/>
      <c r="II37" s="257"/>
      <c r="IJ37" s="257"/>
      <c r="IK37" s="258">
        <v>6</v>
      </c>
      <c r="IL37" s="236">
        <f t="shared" si="16"/>
        <v>444</v>
      </c>
      <c r="IN37" s="232">
        <v>37</v>
      </c>
      <c r="IO37" s="256">
        <v>444</v>
      </c>
      <c r="IP37" s="257">
        <v>54</v>
      </c>
      <c r="IQ37" s="257">
        <v>84</v>
      </c>
      <c r="IR37" s="257">
        <v>84</v>
      </c>
      <c r="IS37" s="257">
        <v>84</v>
      </c>
      <c r="IT37" s="257">
        <v>84</v>
      </c>
      <c r="IU37" s="257">
        <v>54</v>
      </c>
      <c r="IV37" s="257"/>
      <c r="IW37" s="257"/>
      <c r="IX37" s="257"/>
      <c r="IY37" s="257"/>
      <c r="IZ37" s="257"/>
      <c r="JA37" s="257"/>
      <c r="JB37" s="257"/>
      <c r="JC37" s="257"/>
      <c r="JD37" s="257"/>
      <c r="JE37" s="257"/>
      <c r="JF37" s="257"/>
      <c r="JG37" s="258">
        <v>5</v>
      </c>
      <c r="JH37" s="236">
        <f t="shared" si="17"/>
        <v>444</v>
      </c>
      <c r="JJ37" s="242">
        <v>37</v>
      </c>
      <c r="JK37" s="256">
        <v>444</v>
      </c>
      <c r="JL37" s="257">
        <v>78</v>
      </c>
      <c r="JM37" s="257">
        <v>96</v>
      </c>
      <c r="JN37" s="257">
        <v>96</v>
      </c>
      <c r="JO37" s="257">
        <v>96</v>
      </c>
      <c r="JP37" s="257">
        <v>78</v>
      </c>
      <c r="JQ37" s="257"/>
      <c r="JR37" s="257"/>
      <c r="JS37" s="257"/>
      <c r="JT37" s="257"/>
      <c r="JU37" s="257"/>
      <c r="JV37" s="257"/>
      <c r="JW37" s="257"/>
      <c r="JX37" s="257"/>
      <c r="JY37" s="257"/>
      <c r="JZ37" s="257"/>
      <c r="KA37" s="257"/>
      <c r="KB37" s="257"/>
      <c r="KC37" s="258">
        <v>4</v>
      </c>
      <c r="KD37" s="236">
        <f t="shared" si="18"/>
        <v>444</v>
      </c>
      <c r="KF37" s="232">
        <v>37</v>
      </c>
      <c r="KG37" s="256">
        <v>444</v>
      </c>
      <c r="KH37" s="257">
        <v>33</v>
      </c>
      <c r="KI37" s="257">
        <v>54</v>
      </c>
      <c r="KJ37" s="257">
        <v>54</v>
      </c>
      <c r="KK37" s="257">
        <v>54</v>
      </c>
      <c r="KL37" s="257">
        <v>54</v>
      </c>
      <c r="KM37" s="257">
        <v>54</v>
      </c>
      <c r="KN37" s="257">
        <v>54</v>
      </c>
      <c r="KO37" s="257">
        <v>54</v>
      </c>
      <c r="KP37" s="257">
        <v>33</v>
      </c>
      <c r="KQ37" s="257"/>
      <c r="KR37" s="257"/>
      <c r="KS37" s="257"/>
      <c r="KT37" s="257"/>
      <c r="KU37" s="257"/>
      <c r="KV37" s="257"/>
      <c r="KW37" s="257"/>
      <c r="KX37" s="257"/>
      <c r="KY37" s="258">
        <v>8</v>
      </c>
      <c r="KZ37" s="236">
        <f t="shared" si="19"/>
        <v>444</v>
      </c>
      <c r="LB37" s="237">
        <f t="shared" si="20"/>
        <v>37</v>
      </c>
      <c r="LC37" s="284">
        <f t="shared" si="21"/>
        <v>444</v>
      </c>
      <c r="LD37" s="237">
        <f t="shared" si="22"/>
        <v>33</v>
      </c>
      <c r="LE37" s="237">
        <f t="shared" si="23"/>
        <v>54</v>
      </c>
      <c r="LF37" s="237">
        <f t="shared" si="24"/>
        <v>54</v>
      </c>
      <c r="LG37" s="237">
        <f t="shared" si="25"/>
        <v>54</v>
      </c>
      <c r="LH37" s="237">
        <f t="shared" si="26"/>
        <v>54</v>
      </c>
      <c r="LI37" s="237">
        <f t="shared" si="27"/>
        <v>54</v>
      </c>
      <c r="LJ37" s="237">
        <f t="shared" si="28"/>
        <v>54</v>
      </c>
      <c r="LK37" s="237">
        <f t="shared" si="29"/>
        <v>54</v>
      </c>
      <c r="LL37" s="237">
        <f t="shared" si="30"/>
        <v>33</v>
      </c>
      <c r="LM37" s="237">
        <f t="shared" si="31"/>
        <v>0</v>
      </c>
      <c r="LN37" s="237">
        <f t="shared" si="32"/>
        <v>0</v>
      </c>
      <c r="LO37" s="237">
        <f t="shared" si="33"/>
        <v>0</v>
      </c>
      <c r="LP37" s="237">
        <f t="shared" si="34"/>
        <v>0</v>
      </c>
      <c r="LQ37" s="237">
        <f t="shared" si="35"/>
        <v>0</v>
      </c>
      <c r="LR37" s="237">
        <f t="shared" si="36"/>
        <v>0</v>
      </c>
      <c r="LS37" s="237">
        <f t="shared" si="37"/>
        <v>0</v>
      </c>
      <c r="LT37" s="237">
        <f t="shared" si="38"/>
        <v>0</v>
      </c>
      <c r="LU37" s="285">
        <f t="shared" si="39"/>
        <v>8</v>
      </c>
      <c r="LV37" s="280">
        <f t="shared" si="40"/>
        <v>444</v>
      </c>
      <c r="LX37" s="237">
        <f t="shared" si="41"/>
        <v>37</v>
      </c>
      <c r="LY37" s="284">
        <f t="shared" si="42"/>
        <v>444</v>
      </c>
      <c r="LZ37" s="237">
        <f t="shared" si="43"/>
        <v>33</v>
      </c>
      <c r="MA37" s="237">
        <f t="shared" si="44"/>
        <v>54</v>
      </c>
      <c r="MB37" s="237">
        <f t="shared" si="45"/>
        <v>54</v>
      </c>
      <c r="MC37" s="237">
        <f t="shared" si="46"/>
        <v>54</v>
      </c>
      <c r="MD37" s="237">
        <f t="shared" si="47"/>
        <v>54</v>
      </c>
      <c r="ME37" s="237">
        <f t="shared" si="48"/>
        <v>54</v>
      </c>
      <c r="MF37" s="237">
        <f t="shared" si="49"/>
        <v>54</v>
      </c>
      <c r="MG37" s="237">
        <f t="shared" si="50"/>
        <v>54</v>
      </c>
      <c r="MH37" s="237">
        <f t="shared" si="51"/>
        <v>33</v>
      </c>
      <c r="MI37" s="237">
        <f t="shared" si="52"/>
        <v>0</v>
      </c>
      <c r="MJ37" s="237">
        <f t="shared" si="53"/>
        <v>0</v>
      </c>
      <c r="MK37" s="237">
        <f t="shared" si="54"/>
        <v>0</v>
      </c>
      <c r="ML37" s="237">
        <f t="shared" si="55"/>
        <v>0</v>
      </c>
      <c r="MM37" s="237">
        <f t="shared" si="56"/>
        <v>0</v>
      </c>
      <c r="MN37" s="237">
        <f t="shared" si="57"/>
        <v>0</v>
      </c>
      <c r="MO37" s="237">
        <f t="shared" si="58"/>
        <v>0</v>
      </c>
      <c r="MP37" s="237">
        <f t="shared" si="59"/>
        <v>0</v>
      </c>
      <c r="MQ37" s="285">
        <f t="shared" si="60"/>
        <v>8</v>
      </c>
      <c r="MR37" s="280">
        <f t="shared" si="61"/>
        <v>444</v>
      </c>
      <c r="MT37" s="237">
        <f t="shared" si="62"/>
        <v>37</v>
      </c>
      <c r="MU37" s="284">
        <f t="shared" si="63"/>
        <v>444</v>
      </c>
      <c r="MV37" s="237">
        <f t="shared" si="64"/>
        <v>33</v>
      </c>
      <c r="MW37" s="237">
        <f t="shared" si="65"/>
        <v>54</v>
      </c>
      <c r="MX37" s="237">
        <f t="shared" si="66"/>
        <v>54</v>
      </c>
      <c r="MY37" s="237">
        <f t="shared" si="67"/>
        <v>54</v>
      </c>
      <c r="MZ37" s="237">
        <f t="shared" si="68"/>
        <v>54</v>
      </c>
      <c r="NA37" s="237">
        <f t="shared" si="69"/>
        <v>54</v>
      </c>
      <c r="NB37" s="237">
        <f t="shared" si="70"/>
        <v>54</v>
      </c>
      <c r="NC37" s="237">
        <f t="shared" si="71"/>
        <v>54</v>
      </c>
      <c r="ND37" s="237">
        <f t="shared" si="72"/>
        <v>33</v>
      </c>
      <c r="NE37" s="237">
        <f t="shared" si="73"/>
        <v>0</v>
      </c>
      <c r="NF37" s="237">
        <f t="shared" si="74"/>
        <v>0</v>
      </c>
      <c r="NG37" s="237">
        <f t="shared" si="75"/>
        <v>0</v>
      </c>
      <c r="NH37" s="237">
        <f t="shared" si="76"/>
        <v>0</v>
      </c>
      <c r="NI37" s="237">
        <f t="shared" si="77"/>
        <v>0</v>
      </c>
      <c r="NJ37" s="237">
        <f t="shared" si="78"/>
        <v>0</v>
      </c>
      <c r="NK37" s="237">
        <f t="shared" si="79"/>
        <v>0</v>
      </c>
      <c r="NL37" s="237">
        <f t="shared" si="80"/>
        <v>0</v>
      </c>
      <c r="NM37" s="285">
        <f t="shared" si="81"/>
        <v>8</v>
      </c>
      <c r="NN37" s="280">
        <f t="shared" si="82"/>
        <v>444</v>
      </c>
      <c r="NP37" s="237">
        <f t="shared" si="83"/>
        <v>37</v>
      </c>
      <c r="NQ37" s="284">
        <f t="shared" si="84"/>
        <v>444</v>
      </c>
      <c r="NR37" s="237">
        <f t="shared" si="85"/>
        <v>33</v>
      </c>
      <c r="NS37" s="237">
        <f t="shared" si="86"/>
        <v>54</v>
      </c>
      <c r="NT37" s="237">
        <f t="shared" si="87"/>
        <v>54</v>
      </c>
      <c r="NU37" s="237">
        <f t="shared" si="88"/>
        <v>54</v>
      </c>
      <c r="NV37" s="237">
        <f t="shared" si="89"/>
        <v>54</v>
      </c>
      <c r="NW37" s="237">
        <f t="shared" si="90"/>
        <v>54</v>
      </c>
      <c r="NX37" s="237">
        <f t="shared" si="91"/>
        <v>54</v>
      </c>
      <c r="NY37" s="237">
        <f t="shared" si="92"/>
        <v>54</v>
      </c>
      <c r="NZ37" s="237">
        <f t="shared" si="93"/>
        <v>33</v>
      </c>
      <c r="OA37" s="237">
        <f t="shared" si="94"/>
        <v>0</v>
      </c>
      <c r="OB37" s="237">
        <f t="shared" si="95"/>
        <v>0</v>
      </c>
      <c r="OC37" s="237">
        <f t="shared" si="96"/>
        <v>0</v>
      </c>
      <c r="OD37" s="237">
        <f t="shared" si="97"/>
        <v>0</v>
      </c>
      <c r="OE37" s="237">
        <f t="shared" si="98"/>
        <v>0</v>
      </c>
      <c r="OF37" s="237">
        <f t="shared" si="99"/>
        <v>0</v>
      </c>
      <c r="OG37" s="237">
        <f t="shared" si="100"/>
        <v>0</v>
      </c>
      <c r="OH37" s="237">
        <f t="shared" si="101"/>
        <v>0</v>
      </c>
      <c r="OI37" s="285">
        <f t="shared" si="102"/>
        <v>8</v>
      </c>
      <c r="OJ37" s="280">
        <f t="shared" si="103"/>
        <v>444</v>
      </c>
    </row>
    <row r="38" spans="12:400" x14ac:dyDescent="0.3">
      <c r="AE38" s="127" t="str">
        <f t="shared" si="109"/>
        <v>L2.5x3.5x0.25</v>
      </c>
      <c r="AF38" s="138">
        <v>2.5</v>
      </c>
      <c r="AG38" s="138">
        <v>3.5</v>
      </c>
      <c r="AH38" s="138">
        <v>0.25</v>
      </c>
      <c r="AI38" s="138">
        <v>0.3125</v>
      </c>
      <c r="AJ38" s="138">
        <v>0.25</v>
      </c>
      <c r="AK38">
        <f t="shared" si="110"/>
        <v>2.0000000000000001E-4</v>
      </c>
      <c r="AL38" t="s">
        <v>108</v>
      </c>
      <c r="AM38" s="133" t="s">
        <v>85</v>
      </c>
      <c r="BD38" s="143" t="str">
        <f t="shared" si="4"/>
        <v>W10x60</v>
      </c>
      <c r="BE38">
        <v>10</v>
      </c>
      <c r="BF38" s="138">
        <v>60</v>
      </c>
      <c r="BG38" s="138">
        <v>10.219999999999999</v>
      </c>
      <c r="BH38" s="138">
        <v>0.42</v>
      </c>
      <c r="BI38" s="138">
        <v>10.08</v>
      </c>
      <c r="BJ38" s="138">
        <v>0.67999999999999994</v>
      </c>
      <c r="BK38" s="138">
        <v>0.5</v>
      </c>
      <c r="BM38" s="133" t="s">
        <v>85</v>
      </c>
      <c r="BO38" s="150" t="s">
        <v>308</v>
      </c>
      <c r="BP38" s="138">
        <v>15.1</v>
      </c>
      <c r="BQ38" s="144">
        <v>6.0000000000000009</v>
      </c>
      <c r="BR38" s="144">
        <v>0.316</v>
      </c>
      <c r="BS38" s="144">
        <v>2.9409999999999994</v>
      </c>
      <c r="BT38" s="144">
        <v>0.47499999999999998</v>
      </c>
      <c r="BU38" s="144">
        <v>0.48</v>
      </c>
      <c r="BV38" s="144">
        <v>0.30129729846045078</v>
      </c>
      <c r="BW38" s="138">
        <v>9.4629999999999992</v>
      </c>
      <c r="BX38" s="138">
        <v>1.0000000000002784E-3</v>
      </c>
      <c r="BY38" s="138">
        <v>3.7992358325628137</v>
      </c>
      <c r="BZ38" s="138">
        <v>1.1003820837185936</v>
      </c>
      <c r="CB38">
        <v>1.0625</v>
      </c>
      <c r="CC38">
        <v>3.8750000000000009</v>
      </c>
      <c r="CD38" s="151" t="s">
        <v>85</v>
      </c>
      <c r="CF38" s="150" t="s">
        <v>308</v>
      </c>
      <c r="CG38">
        <v>1.0625</v>
      </c>
      <c r="CH38">
        <v>3.8750000000000009</v>
      </c>
      <c r="CI38" s="151" t="s">
        <v>261</v>
      </c>
      <c r="EH38" s="243">
        <v>38</v>
      </c>
      <c r="EI38" s="244">
        <v>456</v>
      </c>
      <c r="EJ38" s="90">
        <v>36</v>
      </c>
      <c r="EK38" s="90">
        <v>48</v>
      </c>
      <c r="EL38" s="90">
        <v>48</v>
      </c>
      <c r="EM38" s="90">
        <v>48</v>
      </c>
      <c r="EN38" s="90">
        <v>48</v>
      </c>
      <c r="EO38" s="90">
        <v>48</v>
      </c>
      <c r="EP38" s="90">
        <v>48</v>
      </c>
      <c r="EQ38" s="90">
        <v>48</v>
      </c>
      <c r="ER38" s="90">
        <v>48</v>
      </c>
      <c r="ES38" s="90">
        <v>36</v>
      </c>
      <c r="ET38" s="90" t="s">
        <v>1137</v>
      </c>
      <c r="EU38" s="90" t="s">
        <v>1137</v>
      </c>
      <c r="EV38" s="90" t="s">
        <v>1137</v>
      </c>
      <c r="EW38" s="90" t="s">
        <v>1137</v>
      </c>
      <c r="EX38" s="90" t="s">
        <v>1137</v>
      </c>
      <c r="EY38" s="90" t="s">
        <v>1137</v>
      </c>
      <c r="EZ38" s="90"/>
      <c r="FA38" s="224">
        <v>9</v>
      </c>
      <c r="FB38" s="245">
        <f t="shared" si="12"/>
        <v>456</v>
      </c>
      <c r="FD38" s="237">
        <f t="shared" si="108"/>
        <v>38</v>
      </c>
      <c r="FE38" s="246">
        <f t="shared" si="108"/>
        <v>456</v>
      </c>
      <c r="FF38" s="247">
        <f t="shared" si="108"/>
        <v>36</v>
      </c>
      <c r="FG38" s="247">
        <f t="shared" si="107"/>
        <v>48</v>
      </c>
      <c r="FH38" s="247">
        <f t="shared" si="107"/>
        <v>48</v>
      </c>
      <c r="FI38" s="247">
        <f t="shared" si="107"/>
        <v>48</v>
      </c>
      <c r="FJ38" s="247">
        <f t="shared" si="107"/>
        <v>48</v>
      </c>
      <c r="FK38" s="247">
        <f t="shared" si="107"/>
        <v>48</v>
      </c>
      <c r="FL38" s="247">
        <f t="shared" si="107"/>
        <v>48</v>
      </c>
      <c r="FM38" s="247">
        <f t="shared" si="107"/>
        <v>48</v>
      </c>
      <c r="FN38" s="247">
        <f t="shared" si="107"/>
        <v>48</v>
      </c>
      <c r="FO38" s="247">
        <f t="shared" si="107"/>
        <v>36</v>
      </c>
      <c r="FP38" s="247" t="str">
        <f t="shared" si="107"/>
        <v xml:space="preserve"> </v>
      </c>
      <c r="FQ38" s="247" t="str">
        <f t="shared" si="107"/>
        <v xml:space="preserve"> </v>
      </c>
      <c r="FR38" s="247" t="str">
        <f t="shared" si="107"/>
        <v xml:space="preserve"> </v>
      </c>
      <c r="FS38" s="247" t="str">
        <f t="shared" si="107"/>
        <v xml:space="preserve"> </v>
      </c>
      <c r="FT38" s="247" t="str">
        <f t="shared" si="105"/>
        <v xml:space="preserve"> </v>
      </c>
      <c r="FU38" s="247" t="str">
        <f t="shared" si="105"/>
        <v xml:space="preserve"> </v>
      </c>
      <c r="FV38" s="247">
        <f t="shared" si="105"/>
        <v>0</v>
      </c>
      <c r="FW38" s="248">
        <f t="shared" si="105"/>
        <v>9</v>
      </c>
      <c r="FX38" s="241">
        <f t="shared" si="105"/>
        <v>456</v>
      </c>
      <c r="FZ38" s="249">
        <v>38</v>
      </c>
      <c r="GA38" s="244">
        <v>456</v>
      </c>
      <c r="GB38" s="90">
        <v>48</v>
      </c>
      <c r="GC38" s="90">
        <v>60</v>
      </c>
      <c r="GD38" s="90">
        <v>60</v>
      </c>
      <c r="GE38" s="90">
        <v>60</v>
      </c>
      <c r="GF38" s="90">
        <v>60</v>
      </c>
      <c r="GG38" s="90">
        <v>60</v>
      </c>
      <c r="GH38" s="90">
        <v>60</v>
      </c>
      <c r="GI38" s="90">
        <v>48</v>
      </c>
      <c r="GJ38" s="90"/>
      <c r="GK38" s="90"/>
      <c r="GL38" s="90"/>
      <c r="GM38" s="90"/>
      <c r="GN38" s="90"/>
      <c r="GO38" s="90"/>
      <c r="GP38" s="90"/>
      <c r="GQ38" s="90"/>
      <c r="GR38" s="90"/>
      <c r="GS38" s="224">
        <v>7</v>
      </c>
      <c r="GT38" s="245">
        <f t="shared" si="14"/>
        <v>456</v>
      </c>
      <c r="GV38" s="237">
        <f t="shared" si="111"/>
        <v>38</v>
      </c>
      <c r="GW38" s="246">
        <f t="shared" si="111"/>
        <v>456</v>
      </c>
      <c r="GX38" s="247">
        <f t="shared" si="111"/>
        <v>48</v>
      </c>
      <c r="GY38" s="247">
        <f t="shared" si="111"/>
        <v>60</v>
      </c>
      <c r="GZ38" s="247">
        <f t="shared" si="111"/>
        <v>60</v>
      </c>
      <c r="HA38" s="247">
        <f t="shared" si="111"/>
        <v>60</v>
      </c>
      <c r="HB38" s="247">
        <f t="shared" si="111"/>
        <v>60</v>
      </c>
      <c r="HC38" s="247">
        <f t="shared" si="111"/>
        <v>60</v>
      </c>
      <c r="HD38" s="247">
        <f t="shared" si="111"/>
        <v>60</v>
      </c>
      <c r="HE38" s="247">
        <f t="shared" si="111"/>
        <v>48</v>
      </c>
      <c r="HF38" s="247">
        <f t="shared" si="111"/>
        <v>0</v>
      </c>
      <c r="HG38" s="247">
        <f t="shared" si="111"/>
        <v>0</v>
      </c>
      <c r="HH38" s="247">
        <f t="shared" si="111"/>
        <v>0</v>
      </c>
      <c r="HI38" s="247">
        <f t="shared" si="111"/>
        <v>0</v>
      </c>
      <c r="HJ38" s="247">
        <f t="shared" si="111"/>
        <v>0</v>
      </c>
      <c r="HK38" s="247">
        <f t="shared" si="111"/>
        <v>0</v>
      </c>
      <c r="HL38" s="247">
        <f t="shared" si="106"/>
        <v>0</v>
      </c>
      <c r="HM38" s="247">
        <f t="shared" si="10"/>
        <v>0</v>
      </c>
      <c r="HN38" s="247">
        <f t="shared" si="10"/>
        <v>0</v>
      </c>
      <c r="HO38" s="248">
        <f t="shared" si="10"/>
        <v>7</v>
      </c>
      <c r="HP38" s="241">
        <f t="shared" si="10"/>
        <v>456</v>
      </c>
      <c r="HR38" s="243">
        <v>38</v>
      </c>
      <c r="HS38" s="244">
        <v>456</v>
      </c>
      <c r="HT38" s="90">
        <v>48</v>
      </c>
      <c r="HU38" s="90">
        <v>72</v>
      </c>
      <c r="HV38" s="90">
        <v>72</v>
      </c>
      <c r="HW38" s="90">
        <v>72</v>
      </c>
      <c r="HX38" s="90">
        <v>72</v>
      </c>
      <c r="HY38" s="90">
        <v>72</v>
      </c>
      <c r="HZ38" s="90">
        <v>48</v>
      </c>
      <c r="IA38" s="90"/>
      <c r="IB38" s="90"/>
      <c r="IC38" s="90"/>
      <c r="ID38" s="90"/>
      <c r="IE38" s="90"/>
      <c r="IF38" s="90"/>
      <c r="IG38" s="90"/>
      <c r="IH38" s="90"/>
      <c r="II38" s="90"/>
      <c r="IJ38" s="90"/>
      <c r="IK38" s="224">
        <v>6</v>
      </c>
      <c r="IL38" s="245">
        <f t="shared" si="16"/>
        <v>456</v>
      </c>
      <c r="IN38" s="243">
        <v>38</v>
      </c>
      <c r="IO38" s="244">
        <v>456</v>
      </c>
      <c r="IP38" s="90">
        <v>60</v>
      </c>
      <c r="IQ38" s="90">
        <v>84</v>
      </c>
      <c r="IR38" s="90">
        <v>84</v>
      </c>
      <c r="IS38" s="90">
        <v>84</v>
      </c>
      <c r="IT38" s="90">
        <v>84</v>
      </c>
      <c r="IU38" s="90">
        <v>60</v>
      </c>
      <c r="IV38" s="90"/>
      <c r="IW38" s="90"/>
      <c r="IX38" s="90"/>
      <c r="IY38" s="90"/>
      <c r="IZ38" s="90"/>
      <c r="JA38" s="90"/>
      <c r="JB38" s="90"/>
      <c r="JC38" s="90"/>
      <c r="JD38" s="90"/>
      <c r="JE38" s="90"/>
      <c r="JF38" s="90"/>
      <c r="JG38" s="224">
        <v>5</v>
      </c>
      <c r="JH38" s="245">
        <f t="shared" si="17"/>
        <v>456</v>
      </c>
      <c r="JJ38" s="249">
        <v>38</v>
      </c>
      <c r="JK38" s="244">
        <v>456</v>
      </c>
      <c r="JL38" s="90">
        <v>84</v>
      </c>
      <c r="JM38" s="90">
        <v>96</v>
      </c>
      <c r="JN38" s="90">
        <v>96</v>
      </c>
      <c r="JO38" s="90">
        <v>96</v>
      </c>
      <c r="JP38" s="90">
        <v>84</v>
      </c>
      <c r="JQ38" s="90"/>
      <c r="JR38" s="90"/>
      <c r="JS38" s="90"/>
      <c r="JT38" s="90"/>
      <c r="JU38" s="90"/>
      <c r="JV38" s="90"/>
      <c r="JW38" s="90"/>
      <c r="JX38" s="90"/>
      <c r="JY38" s="90"/>
      <c r="JZ38" s="90"/>
      <c r="KA38" s="90"/>
      <c r="KB38" s="90"/>
      <c r="KC38" s="224">
        <v>4</v>
      </c>
      <c r="KD38" s="245">
        <f t="shared" si="18"/>
        <v>456</v>
      </c>
      <c r="KF38" s="243">
        <v>38</v>
      </c>
      <c r="KG38" s="244">
        <v>456</v>
      </c>
      <c r="KH38" s="90">
        <v>39</v>
      </c>
      <c r="KI38" s="90">
        <v>54</v>
      </c>
      <c r="KJ38" s="90">
        <v>54</v>
      </c>
      <c r="KK38" s="90">
        <v>54</v>
      </c>
      <c r="KL38" s="90">
        <v>54</v>
      </c>
      <c r="KM38" s="90">
        <v>54</v>
      </c>
      <c r="KN38" s="90">
        <v>54</v>
      </c>
      <c r="KO38" s="90">
        <v>54</v>
      </c>
      <c r="KP38" s="90">
        <v>39</v>
      </c>
      <c r="KQ38" s="90"/>
      <c r="KR38" s="90"/>
      <c r="KS38" s="90"/>
      <c r="KT38" s="90"/>
      <c r="KU38" s="90"/>
      <c r="KV38" s="90"/>
      <c r="KW38" s="90"/>
      <c r="KX38" s="90"/>
      <c r="KY38" s="224">
        <v>8</v>
      </c>
      <c r="KZ38" s="245">
        <f t="shared" si="19"/>
        <v>456</v>
      </c>
      <c r="LB38" s="237">
        <f t="shared" si="20"/>
        <v>38</v>
      </c>
      <c r="LC38" s="284">
        <f t="shared" si="21"/>
        <v>456</v>
      </c>
      <c r="LD38" s="237">
        <f t="shared" si="22"/>
        <v>39</v>
      </c>
      <c r="LE38" s="237">
        <f t="shared" si="23"/>
        <v>54</v>
      </c>
      <c r="LF38" s="237">
        <f t="shared" si="24"/>
        <v>54</v>
      </c>
      <c r="LG38" s="237">
        <f t="shared" si="25"/>
        <v>54</v>
      </c>
      <c r="LH38" s="237">
        <f t="shared" si="26"/>
        <v>54</v>
      </c>
      <c r="LI38" s="237">
        <f t="shared" si="27"/>
        <v>54</v>
      </c>
      <c r="LJ38" s="237">
        <f t="shared" si="28"/>
        <v>54</v>
      </c>
      <c r="LK38" s="237">
        <f t="shared" si="29"/>
        <v>54</v>
      </c>
      <c r="LL38" s="237">
        <f t="shared" si="30"/>
        <v>39</v>
      </c>
      <c r="LM38" s="237">
        <f t="shared" si="31"/>
        <v>0</v>
      </c>
      <c r="LN38" s="237">
        <f t="shared" si="32"/>
        <v>0</v>
      </c>
      <c r="LO38" s="237">
        <f t="shared" si="33"/>
        <v>0</v>
      </c>
      <c r="LP38" s="237">
        <f t="shared" si="34"/>
        <v>0</v>
      </c>
      <c r="LQ38" s="237">
        <f t="shared" si="35"/>
        <v>0</v>
      </c>
      <c r="LR38" s="237">
        <f t="shared" si="36"/>
        <v>0</v>
      </c>
      <c r="LS38" s="237">
        <f t="shared" si="37"/>
        <v>0</v>
      </c>
      <c r="LT38" s="237">
        <f t="shared" si="38"/>
        <v>0</v>
      </c>
      <c r="LU38" s="285">
        <f t="shared" si="39"/>
        <v>8</v>
      </c>
      <c r="LV38" s="280">
        <f t="shared" si="40"/>
        <v>456</v>
      </c>
      <c r="LX38" s="237">
        <f t="shared" si="41"/>
        <v>38</v>
      </c>
      <c r="LY38" s="284">
        <f t="shared" si="42"/>
        <v>456</v>
      </c>
      <c r="LZ38" s="237">
        <f t="shared" si="43"/>
        <v>39</v>
      </c>
      <c r="MA38" s="237">
        <f t="shared" si="44"/>
        <v>54</v>
      </c>
      <c r="MB38" s="237">
        <f t="shared" si="45"/>
        <v>54</v>
      </c>
      <c r="MC38" s="237">
        <f t="shared" si="46"/>
        <v>54</v>
      </c>
      <c r="MD38" s="237">
        <f t="shared" si="47"/>
        <v>54</v>
      </c>
      <c r="ME38" s="237">
        <f t="shared" si="48"/>
        <v>54</v>
      </c>
      <c r="MF38" s="237">
        <f t="shared" si="49"/>
        <v>54</v>
      </c>
      <c r="MG38" s="237">
        <f t="shared" si="50"/>
        <v>54</v>
      </c>
      <c r="MH38" s="237">
        <f t="shared" si="51"/>
        <v>39</v>
      </c>
      <c r="MI38" s="237">
        <f t="shared" si="52"/>
        <v>0</v>
      </c>
      <c r="MJ38" s="237">
        <f t="shared" si="53"/>
        <v>0</v>
      </c>
      <c r="MK38" s="237">
        <f t="shared" si="54"/>
        <v>0</v>
      </c>
      <c r="ML38" s="237">
        <f t="shared" si="55"/>
        <v>0</v>
      </c>
      <c r="MM38" s="237">
        <f t="shared" si="56"/>
        <v>0</v>
      </c>
      <c r="MN38" s="237">
        <f t="shared" si="57"/>
        <v>0</v>
      </c>
      <c r="MO38" s="237">
        <f t="shared" si="58"/>
        <v>0</v>
      </c>
      <c r="MP38" s="237">
        <f t="shared" si="59"/>
        <v>0</v>
      </c>
      <c r="MQ38" s="285">
        <f t="shared" si="60"/>
        <v>8</v>
      </c>
      <c r="MR38" s="280">
        <f t="shared" si="61"/>
        <v>456</v>
      </c>
      <c r="MT38" s="237">
        <f t="shared" si="62"/>
        <v>38</v>
      </c>
      <c r="MU38" s="284">
        <f t="shared" si="63"/>
        <v>456</v>
      </c>
      <c r="MV38" s="237">
        <f t="shared" si="64"/>
        <v>39</v>
      </c>
      <c r="MW38" s="237">
        <f t="shared" si="65"/>
        <v>54</v>
      </c>
      <c r="MX38" s="237">
        <f t="shared" si="66"/>
        <v>54</v>
      </c>
      <c r="MY38" s="237">
        <f t="shared" si="67"/>
        <v>54</v>
      </c>
      <c r="MZ38" s="237">
        <f t="shared" si="68"/>
        <v>54</v>
      </c>
      <c r="NA38" s="237">
        <f t="shared" si="69"/>
        <v>54</v>
      </c>
      <c r="NB38" s="237">
        <f t="shared" si="70"/>
        <v>54</v>
      </c>
      <c r="NC38" s="237">
        <f t="shared" si="71"/>
        <v>54</v>
      </c>
      <c r="ND38" s="237">
        <f t="shared" si="72"/>
        <v>39</v>
      </c>
      <c r="NE38" s="237">
        <f t="shared" si="73"/>
        <v>0</v>
      </c>
      <c r="NF38" s="237">
        <f t="shared" si="74"/>
        <v>0</v>
      </c>
      <c r="NG38" s="237">
        <f t="shared" si="75"/>
        <v>0</v>
      </c>
      <c r="NH38" s="237">
        <f t="shared" si="76"/>
        <v>0</v>
      </c>
      <c r="NI38" s="237">
        <f t="shared" si="77"/>
        <v>0</v>
      </c>
      <c r="NJ38" s="237">
        <f t="shared" si="78"/>
        <v>0</v>
      </c>
      <c r="NK38" s="237">
        <f t="shared" si="79"/>
        <v>0</v>
      </c>
      <c r="NL38" s="237">
        <f t="shared" si="80"/>
        <v>0</v>
      </c>
      <c r="NM38" s="285">
        <f t="shared" si="81"/>
        <v>8</v>
      </c>
      <c r="NN38" s="280">
        <f t="shared" si="82"/>
        <v>456</v>
      </c>
      <c r="NP38" s="237">
        <f t="shared" si="83"/>
        <v>38</v>
      </c>
      <c r="NQ38" s="284">
        <f t="shared" si="84"/>
        <v>456</v>
      </c>
      <c r="NR38" s="237">
        <f t="shared" si="85"/>
        <v>39</v>
      </c>
      <c r="NS38" s="237">
        <f t="shared" si="86"/>
        <v>54</v>
      </c>
      <c r="NT38" s="237">
        <f t="shared" si="87"/>
        <v>54</v>
      </c>
      <c r="NU38" s="237">
        <f t="shared" si="88"/>
        <v>54</v>
      </c>
      <c r="NV38" s="237">
        <f t="shared" si="89"/>
        <v>54</v>
      </c>
      <c r="NW38" s="237">
        <f t="shared" si="90"/>
        <v>54</v>
      </c>
      <c r="NX38" s="237">
        <f t="shared" si="91"/>
        <v>54</v>
      </c>
      <c r="NY38" s="237">
        <f t="shared" si="92"/>
        <v>54</v>
      </c>
      <c r="NZ38" s="237">
        <f t="shared" si="93"/>
        <v>39</v>
      </c>
      <c r="OA38" s="237">
        <f t="shared" si="94"/>
        <v>0</v>
      </c>
      <c r="OB38" s="237">
        <f t="shared" si="95"/>
        <v>0</v>
      </c>
      <c r="OC38" s="237">
        <f t="shared" si="96"/>
        <v>0</v>
      </c>
      <c r="OD38" s="237">
        <f t="shared" si="97"/>
        <v>0</v>
      </c>
      <c r="OE38" s="237">
        <f t="shared" si="98"/>
        <v>0</v>
      </c>
      <c r="OF38" s="237">
        <f t="shared" si="99"/>
        <v>0</v>
      </c>
      <c r="OG38" s="237">
        <f t="shared" si="100"/>
        <v>0</v>
      </c>
      <c r="OH38" s="237">
        <f t="shared" si="101"/>
        <v>0</v>
      </c>
      <c r="OI38" s="285">
        <f t="shared" si="102"/>
        <v>8</v>
      </c>
      <c r="OJ38" s="280">
        <f t="shared" si="103"/>
        <v>456</v>
      </c>
    </row>
    <row r="39" spans="12:400" x14ac:dyDescent="0.3">
      <c r="AE39" s="127" t="str">
        <f t="shared" si="109"/>
        <v>L2.5x3.5x0.3125</v>
      </c>
      <c r="AF39" s="138">
        <v>2.5</v>
      </c>
      <c r="AG39" s="138">
        <v>3.5</v>
      </c>
      <c r="AH39" s="138">
        <v>0.3125</v>
      </c>
      <c r="AI39" s="138">
        <v>0.3125</v>
      </c>
      <c r="AJ39" s="138">
        <v>0.3125</v>
      </c>
      <c r="AK39">
        <f t="shared" si="110"/>
        <v>2.0000000000000001E-4</v>
      </c>
      <c r="AM39" s="133" t="s">
        <v>85</v>
      </c>
      <c r="BD39" s="143" t="str">
        <f t="shared" si="4"/>
        <v>W10x68</v>
      </c>
      <c r="BE39">
        <v>10</v>
      </c>
      <c r="BF39" s="138">
        <v>68</v>
      </c>
      <c r="BG39" s="138">
        <v>10.4</v>
      </c>
      <c r="BH39" s="138">
        <v>0.47</v>
      </c>
      <c r="BI39" s="138">
        <v>10.130000000000001</v>
      </c>
      <c r="BJ39" s="138">
        <v>0.77</v>
      </c>
      <c r="BK39" s="138">
        <v>0.5</v>
      </c>
      <c r="BM39" s="133" t="s">
        <v>85</v>
      </c>
      <c r="BO39" s="150" t="s">
        <v>309</v>
      </c>
      <c r="BP39" s="138">
        <v>12.000000000000002</v>
      </c>
      <c r="BQ39" s="144">
        <v>6.0000000000000009</v>
      </c>
      <c r="BR39" s="144">
        <v>0.31</v>
      </c>
      <c r="BS39" s="144">
        <v>2.4969999999999994</v>
      </c>
      <c r="BT39" s="144">
        <v>0.37500000000000006</v>
      </c>
      <c r="BU39" s="144">
        <v>0.37999999999999995</v>
      </c>
      <c r="BV39" s="144">
        <v>0.22634030592119583</v>
      </c>
      <c r="BW39" s="138">
        <v>9.4629999999999992</v>
      </c>
      <c r="BX39" s="138">
        <v>1.0000000000000842E-3</v>
      </c>
      <c r="BY39" s="138">
        <v>4.2416645437051441</v>
      </c>
      <c r="BZ39" s="138">
        <v>0.87916772814742838</v>
      </c>
      <c r="CA39" t="s">
        <v>349</v>
      </c>
      <c r="CB39">
        <v>0.875</v>
      </c>
      <c r="CC39">
        <v>4.2500000000000009</v>
      </c>
      <c r="CD39" s="151" t="s">
        <v>85</v>
      </c>
      <c r="CF39" s="150" t="s">
        <v>309</v>
      </c>
      <c r="CG39">
        <v>0.875</v>
      </c>
      <c r="CH39">
        <v>4.2500000000000009</v>
      </c>
      <c r="CI39" s="151" t="s">
        <v>261</v>
      </c>
      <c r="EH39" s="250">
        <v>39</v>
      </c>
      <c r="EI39" s="251">
        <v>468</v>
      </c>
      <c r="EJ39" s="252">
        <v>42</v>
      </c>
      <c r="EK39" s="252">
        <v>48</v>
      </c>
      <c r="EL39" s="252">
        <v>48</v>
      </c>
      <c r="EM39" s="252">
        <v>48</v>
      </c>
      <c r="EN39" s="252">
        <v>48</v>
      </c>
      <c r="EO39" s="252">
        <v>48</v>
      </c>
      <c r="EP39" s="252">
        <v>48</v>
      </c>
      <c r="EQ39" s="252">
        <v>48</v>
      </c>
      <c r="ER39" s="252">
        <v>48</v>
      </c>
      <c r="ES39" s="252">
        <v>42</v>
      </c>
      <c r="ET39" s="252" t="s">
        <v>1137</v>
      </c>
      <c r="EU39" s="252" t="s">
        <v>1137</v>
      </c>
      <c r="EV39" s="252" t="s">
        <v>1137</v>
      </c>
      <c r="EW39" s="252" t="s">
        <v>1137</v>
      </c>
      <c r="EX39" s="252" t="s">
        <v>1137</v>
      </c>
      <c r="EY39" s="252" t="s">
        <v>1137</v>
      </c>
      <c r="EZ39" s="252"/>
      <c r="FA39" s="253">
        <v>9</v>
      </c>
      <c r="FB39" s="254">
        <f t="shared" si="12"/>
        <v>468</v>
      </c>
      <c r="FD39" s="237">
        <f t="shared" si="108"/>
        <v>39</v>
      </c>
      <c r="FE39" s="246">
        <f t="shared" si="108"/>
        <v>468</v>
      </c>
      <c r="FF39" s="247">
        <f t="shared" si="108"/>
        <v>42</v>
      </c>
      <c r="FG39" s="247">
        <f t="shared" si="107"/>
        <v>48</v>
      </c>
      <c r="FH39" s="247">
        <f t="shared" si="107"/>
        <v>48</v>
      </c>
      <c r="FI39" s="247">
        <f t="shared" si="107"/>
        <v>48</v>
      </c>
      <c r="FJ39" s="247">
        <f t="shared" si="107"/>
        <v>48</v>
      </c>
      <c r="FK39" s="247">
        <f t="shared" si="107"/>
        <v>48</v>
      </c>
      <c r="FL39" s="247">
        <f t="shared" si="107"/>
        <v>48</v>
      </c>
      <c r="FM39" s="247">
        <f t="shared" si="107"/>
        <v>48</v>
      </c>
      <c r="FN39" s="247">
        <f t="shared" si="107"/>
        <v>48</v>
      </c>
      <c r="FO39" s="247">
        <f t="shared" si="107"/>
        <v>42</v>
      </c>
      <c r="FP39" s="247" t="str">
        <f t="shared" si="107"/>
        <v xml:space="preserve"> </v>
      </c>
      <c r="FQ39" s="247" t="str">
        <f t="shared" si="107"/>
        <v xml:space="preserve"> </v>
      </c>
      <c r="FR39" s="247" t="str">
        <f t="shared" si="107"/>
        <v xml:space="preserve"> </v>
      </c>
      <c r="FS39" s="247" t="str">
        <f t="shared" si="107"/>
        <v xml:space="preserve"> </v>
      </c>
      <c r="FT39" s="247" t="str">
        <f t="shared" si="105"/>
        <v xml:space="preserve"> </v>
      </c>
      <c r="FU39" s="247" t="str">
        <f t="shared" si="105"/>
        <v xml:space="preserve"> </v>
      </c>
      <c r="FV39" s="247">
        <f t="shared" si="105"/>
        <v>0</v>
      </c>
      <c r="FW39" s="248">
        <f t="shared" si="105"/>
        <v>9</v>
      </c>
      <c r="FX39" s="241">
        <f t="shared" si="105"/>
        <v>468</v>
      </c>
      <c r="FZ39" s="255">
        <v>39</v>
      </c>
      <c r="GA39" s="251">
        <v>468</v>
      </c>
      <c r="GB39" s="252">
        <v>54</v>
      </c>
      <c r="GC39" s="252">
        <v>60</v>
      </c>
      <c r="GD39" s="252">
        <v>60</v>
      </c>
      <c r="GE39" s="252">
        <v>60</v>
      </c>
      <c r="GF39" s="252">
        <v>60</v>
      </c>
      <c r="GG39" s="252">
        <v>60</v>
      </c>
      <c r="GH39" s="252">
        <v>60</v>
      </c>
      <c r="GI39" s="252">
        <v>54</v>
      </c>
      <c r="GJ39" s="252"/>
      <c r="GK39" s="252"/>
      <c r="GL39" s="252"/>
      <c r="GM39" s="252"/>
      <c r="GN39" s="252"/>
      <c r="GO39" s="252"/>
      <c r="GP39" s="252"/>
      <c r="GQ39" s="252"/>
      <c r="GR39" s="252"/>
      <c r="GS39" s="253">
        <v>7</v>
      </c>
      <c r="GT39" s="254">
        <f t="shared" si="14"/>
        <v>468</v>
      </c>
      <c r="GV39" s="237">
        <f t="shared" si="111"/>
        <v>39</v>
      </c>
      <c r="GW39" s="246">
        <f t="shared" si="111"/>
        <v>468</v>
      </c>
      <c r="GX39" s="247">
        <f t="shared" si="111"/>
        <v>54</v>
      </c>
      <c r="GY39" s="247">
        <f t="shared" si="111"/>
        <v>60</v>
      </c>
      <c r="GZ39" s="247">
        <f t="shared" si="111"/>
        <v>60</v>
      </c>
      <c r="HA39" s="247">
        <f t="shared" si="111"/>
        <v>60</v>
      </c>
      <c r="HB39" s="247">
        <f t="shared" si="111"/>
        <v>60</v>
      </c>
      <c r="HC39" s="247">
        <f t="shared" si="111"/>
        <v>60</v>
      </c>
      <c r="HD39" s="247">
        <f t="shared" si="111"/>
        <v>60</v>
      </c>
      <c r="HE39" s="247">
        <f t="shared" si="111"/>
        <v>54</v>
      </c>
      <c r="HF39" s="247">
        <f t="shared" si="111"/>
        <v>0</v>
      </c>
      <c r="HG39" s="247">
        <f t="shared" si="111"/>
        <v>0</v>
      </c>
      <c r="HH39" s="247">
        <f t="shared" si="111"/>
        <v>0</v>
      </c>
      <c r="HI39" s="247">
        <f t="shared" si="111"/>
        <v>0</v>
      </c>
      <c r="HJ39" s="247">
        <f t="shared" si="111"/>
        <v>0</v>
      </c>
      <c r="HK39" s="247">
        <f t="shared" si="111"/>
        <v>0</v>
      </c>
      <c r="HL39" s="247">
        <f t="shared" si="106"/>
        <v>0</v>
      </c>
      <c r="HM39" s="247">
        <f t="shared" si="10"/>
        <v>0</v>
      </c>
      <c r="HN39" s="247">
        <f t="shared" si="10"/>
        <v>0</v>
      </c>
      <c r="HO39" s="248">
        <f t="shared" si="10"/>
        <v>7</v>
      </c>
      <c r="HP39" s="241">
        <f t="shared" si="10"/>
        <v>468</v>
      </c>
      <c r="HR39" s="250">
        <v>39</v>
      </c>
      <c r="HS39" s="251">
        <v>468</v>
      </c>
      <c r="HT39" s="252">
        <v>54</v>
      </c>
      <c r="HU39" s="252">
        <v>72</v>
      </c>
      <c r="HV39" s="252">
        <v>72</v>
      </c>
      <c r="HW39" s="252">
        <v>72</v>
      </c>
      <c r="HX39" s="252">
        <v>72</v>
      </c>
      <c r="HY39" s="252">
        <v>72</v>
      </c>
      <c r="HZ39" s="252">
        <v>54</v>
      </c>
      <c r="IA39" s="252"/>
      <c r="IB39" s="252"/>
      <c r="IC39" s="252"/>
      <c r="ID39" s="252"/>
      <c r="IE39" s="252"/>
      <c r="IF39" s="252"/>
      <c r="IG39" s="252"/>
      <c r="IH39" s="252"/>
      <c r="II39" s="252"/>
      <c r="IJ39" s="252"/>
      <c r="IK39" s="253">
        <v>6</v>
      </c>
      <c r="IL39" s="254">
        <f t="shared" si="16"/>
        <v>468</v>
      </c>
      <c r="IN39" s="250">
        <v>39</v>
      </c>
      <c r="IO39" s="251">
        <v>468</v>
      </c>
      <c r="IP39" s="252">
        <v>66</v>
      </c>
      <c r="IQ39" s="252">
        <v>84</v>
      </c>
      <c r="IR39" s="252">
        <v>84</v>
      </c>
      <c r="IS39" s="252">
        <v>84</v>
      </c>
      <c r="IT39" s="252">
        <v>84</v>
      </c>
      <c r="IU39" s="252">
        <v>66</v>
      </c>
      <c r="IV39" s="252"/>
      <c r="IW39" s="252"/>
      <c r="IX39" s="252"/>
      <c r="IY39" s="252"/>
      <c r="IZ39" s="252"/>
      <c r="JA39" s="252"/>
      <c r="JB39" s="252"/>
      <c r="JC39" s="252"/>
      <c r="JD39" s="252"/>
      <c r="JE39" s="252"/>
      <c r="JF39" s="252"/>
      <c r="JG39" s="253">
        <v>5</v>
      </c>
      <c r="JH39" s="254">
        <f t="shared" si="17"/>
        <v>468</v>
      </c>
      <c r="JJ39" s="255">
        <v>39</v>
      </c>
      <c r="JK39" s="251">
        <v>468</v>
      </c>
      <c r="JL39" s="252">
        <v>90</v>
      </c>
      <c r="JM39" s="252">
        <v>96</v>
      </c>
      <c r="JN39" s="252">
        <v>96</v>
      </c>
      <c r="JO39" s="252">
        <v>96</v>
      </c>
      <c r="JP39" s="252">
        <v>90</v>
      </c>
      <c r="JQ39" s="252"/>
      <c r="JR39" s="252"/>
      <c r="JS39" s="252"/>
      <c r="JT39" s="252"/>
      <c r="JU39" s="252"/>
      <c r="JV39" s="252"/>
      <c r="JW39" s="252"/>
      <c r="JX39" s="252"/>
      <c r="JY39" s="252"/>
      <c r="JZ39" s="252"/>
      <c r="KA39" s="252"/>
      <c r="KB39" s="252"/>
      <c r="KC39" s="253">
        <v>4</v>
      </c>
      <c r="KD39" s="254">
        <f t="shared" si="18"/>
        <v>468</v>
      </c>
      <c r="KF39" s="250">
        <v>39</v>
      </c>
      <c r="KG39" s="251">
        <v>468</v>
      </c>
      <c r="KH39" s="252">
        <v>45</v>
      </c>
      <c r="KI39" s="252">
        <v>54</v>
      </c>
      <c r="KJ39" s="252">
        <v>54</v>
      </c>
      <c r="KK39" s="252">
        <v>54</v>
      </c>
      <c r="KL39" s="252">
        <v>54</v>
      </c>
      <c r="KM39" s="252">
        <v>54</v>
      </c>
      <c r="KN39" s="252">
        <v>54</v>
      </c>
      <c r="KO39" s="252">
        <v>54</v>
      </c>
      <c r="KP39" s="252">
        <v>45</v>
      </c>
      <c r="KQ39" s="252"/>
      <c r="KR39" s="252"/>
      <c r="KS39" s="252"/>
      <c r="KT39" s="252"/>
      <c r="KU39" s="252"/>
      <c r="KV39" s="252"/>
      <c r="KW39" s="252"/>
      <c r="KX39" s="252"/>
      <c r="KY39" s="253">
        <v>8</v>
      </c>
      <c r="KZ39" s="254">
        <f t="shared" si="19"/>
        <v>468</v>
      </c>
      <c r="LB39" s="237">
        <f t="shared" si="20"/>
        <v>39</v>
      </c>
      <c r="LC39" s="284">
        <f t="shared" si="21"/>
        <v>468</v>
      </c>
      <c r="LD39" s="237">
        <f t="shared" si="22"/>
        <v>45</v>
      </c>
      <c r="LE39" s="237">
        <f t="shared" si="23"/>
        <v>54</v>
      </c>
      <c r="LF39" s="237">
        <f t="shared" si="24"/>
        <v>54</v>
      </c>
      <c r="LG39" s="237">
        <f t="shared" si="25"/>
        <v>54</v>
      </c>
      <c r="LH39" s="237">
        <f t="shared" si="26"/>
        <v>54</v>
      </c>
      <c r="LI39" s="237">
        <f t="shared" si="27"/>
        <v>54</v>
      </c>
      <c r="LJ39" s="237">
        <f t="shared" si="28"/>
        <v>54</v>
      </c>
      <c r="LK39" s="237">
        <f t="shared" si="29"/>
        <v>54</v>
      </c>
      <c r="LL39" s="237">
        <f t="shared" si="30"/>
        <v>45</v>
      </c>
      <c r="LM39" s="237">
        <f t="shared" si="31"/>
        <v>0</v>
      </c>
      <c r="LN39" s="237">
        <f t="shared" si="32"/>
        <v>0</v>
      </c>
      <c r="LO39" s="237">
        <f t="shared" si="33"/>
        <v>0</v>
      </c>
      <c r="LP39" s="237">
        <f t="shared" si="34"/>
        <v>0</v>
      </c>
      <c r="LQ39" s="237">
        <f t="shared" si="35"/>
        <v>0</v>
      </c>
      <c r="LR39" s="237">
        <f t="shared" si="36"/>
        <v>0</v>
      </c>
      <c r="LS39" s="237">
        <f t="shared" si="37"/>
        <v>0</v>
      </c>
      <c r="LT39" s="237">
        <f t="shared" si="38"/>
        <v>0</v>
      </c>
      <c r="LU39" s="285">
        <f t="shared" si="39"/>
        <v>8</v>
      </c>
      <c r="LV39" s="280">
        <f t="shared" si="40"/>
        <v>468</v>
      </c>
      <c r="LX39" s="237">
        <f t="shared" si="41"/>
        <v>39</v>
      </c>
      <c r="LY39" s="284">
        <f t="shared" si="42"/>
        <v>468</v>
      </c>
      <c r="LZ39" s="237">
        <f t="shared" si="43"/>
        <v>45</v>
      </c>
      <c r="MA39" s="237">
        <f t="shared" si="44"/>
        <v>54</v>
      </c>
      <c r="MB39" s="237">
        <f t="shared" si="45"/>
        <v>54</v>
      </c>
      <c r="MC39" s="237">
        <f t="shared" si="46"/>
        <v>54</v>
      </c>
      <c r="MD39" s="237">
        <f t="shared" si="47"/>
        <v>54</v>
      </c>
      <c r="ME39" s="237">
        <f t="shared" si="48"/>
        <v>54</v>
      </c>
      <c r="MF39" s="237">
        <f t="shared" si="49"/>
        <v>54</v>
      </c>
      <c r="MG39" s="237">
        <f t="shared" si="50"/>
        <v>54</v>
      </c>
      <c r="MH39" s="237">
        <f t="shared" si="51"/>
        <v>45</v>
      </c>
      <c r="MI39" s="237">
        <f t="shared" si="52"/>
        <v>0</v>
      </c>
      <c r="MJ39" s="237">
        <f t="shared" si="53"/>
        <v>0</v>
      </c>
      <c r="MK39" s="237">
        <f t="shared" si="54"/>
        <v>0</v>
      </c>
      <c r="ML39" s="237">
        <f t="shared" si="55"/>
        <v>0</v>
      </c>
      <c r="MM39" s="237">
        <f t="shared" si="56"/>
        <v>0</v>
      </c>
      <c r="MN39" s="237">
        <f t="shared" si="57"/>
        <v>0</v>
      </c>
      <c r="MO39" s="237">
        <f t="shared" si="58"/>
        <v>0</v>
      </c>
      <c r="MP39" s="237">
        <f t="shared" si="59"/>
        <v>0</v>
      </c>
      <c r="MQ39" s="285">
        <f t="shared" si="60"/>
        <v>8</v>
      </c>
      <c r="MR39" s="280">
        <f t="shared" si="61"/>
        <v>468</v>
      </c>
      <c r="MT39" s="237">
        <f t="shared" si="62"/>
        <v>39</v>
      </c>
      <c r="MU39" s="284">
        <f t="shared" si="63"/>
        <v>468</v>
      </c>
      <c r="MV39" s="237">
        <f t="shared" si="64"/>
        <v>45</v>
      </c>
      <c r="MW39" s="237">
        <f t="shared" si="65"/>
        <v>54</v>
      </c>
      <c r="MX39" s="237">
        <f t="shared" si="66"/>
        <v>54</v>
      </c>
      <c r="MY39" s="237">
        <f t="shared" si="67"/>
        <v>54</v>
      </c>
      <c r="MZ39" s="237">
        <f t="shared" si="68"/>
        <v>54</v>
      </c>
      <c r="NA39" s="237">
        <f t="shared" si="69"/>
        <v>54</v>
      </c>
      <c r="NB39" s="237">
        <f t="shared" si="70"/>
        <v>54</v>
      </c>
      <c r="NC39" s="237">
        <f t="shared" si="71"/>
        <v>54</v>
      </c>
      <c r="ND39" s="237">
        <f t="shared" si="72"/>
        <v>45</v>
      </c>
      <c r="NE39" s="237">
        <f t="shared" si="73"/>
        <v>0</v>
      </c>
      <c r="NF39" s="237">
        <f t="shared" si="74"/>
        <v>0</v>
      </c>
      <c r="NG39" s="237">
        <f t="shared" si="75"/>
        <v>0</v>
      </c>
      <c r="NH39" s="237">
        <f t="shared" si="76"/>
        <v>0</v>
      </c>
      <c r="NI39" s="237">
        <f t="shared" si="77"/>
        <v>0</v>
      </c>
      <c r="NJ39" s="237">
        <f t="shared" si="78"/>
        <v>0</v>
      </c>
      <c r="NK39" s="237">
        <f t="shared" si="79"/>
        <v>0</v>
      </c>
      <c r="NL39" s="237">
        <f t="shared" si="80"/>
        <v>0</v>
      </c>
      <c r="NM39" s="285">
        <f t="shared" si="81"/>
        <v>8</v>
      </c>
      <c r="NN39" s="280">
        <f t="shared" si="82"/>
        <v>468</v>
      </c>
      <c r="NP39" s="237">
        <f t="shared" si="83"/>
        <v>39</v>
      </c>
      <c r="NQ39" s="284">
        <f t="shared" si="84"/>
        <v>468</v>
      </c>
      <c r="NR39" s="237">
        <f t="shared" si="85"/>
        <v>45</v>
      </c>
      <c r="NS39" s="237">
        <f t="shared" si="86"/>
        <v>54</v>
      </c>
      <c r="NT39" s="237">
        <f t="shared" si="87"/>
        <v>54</v>
      </c>
      <c r="NU39" s="237">
        <f t="shared" si="88"/>
        <v>54</v>
      </c>
      <c r="NV39" s="237">
        <f t="shared" si="89"/>
        <v>54</v>
      </c>
      <c r="NW39" s="237">
        <f t="shared" si="90"/>
        <v>54</v>
      </c>
      <c r="NX39" s="237">
        <f t="shared" si="91"/>
        <v>54</v>
      </c>
      <c r="NY39" s="237">
        <f t="shared" si="92"/>
        <v>54</v>
      </c>
      <c r="NZ39" s="237">
        <f t="shared" si="93"/>
        <v>45</v>
      </c>
      <c r="OA39" s="237">
        <f t="shared" si="94"/>
        <v>0</v>
      </c>
      <c r="OB39" s="237">
        <f t="shared" si="95"/>
        <v>0</v>
      </c>
      <c r="OC39" s="237">
        <f t="shared" si="96"/>
        <v>0</v>
      </c>
      <c r="OD39" s="237">
        <f t="shared" si="97"/>
        <v>0</v>
      </c>
      <c r="OE39" s="237">
        <f t="shared" si="98"/>
        <v>0</v>
      </c>
      <c r="OF39" s="237">
        <f t="shared" si="99"/>
        <v>0</v>
      </c>
      <c r="OG39" s="237">
        <f t="shared" si="100"/>
        <v>0</v>
      </c>
      <c r="OH39" s="237">
        <f t="shared" si="101"/>
        <v>0</v>
      </c>
      <c r="OI39" s="285">
        <f t="shared" si="102"/>
        <v>8</v>
      </c>
      <c r="OJ39" s="280">
        <f t="shared" si="103"/>
        <v>468</v>
      </c>
    </row>
    <row r="40" spans="12:400" ht="15" thickBot="1" x14ac:dyDescent="0.35">
      <c r="AE40" s="127" t="str">
        <f t="shared" si="109"/>
        <v>L2.5x3.5x0.375</v>
      </c>
      <c r="AF40" s="138">
        <v>2.5</v>
      </c>
      <c r="AG40" s="138">
        <v>3.5</v>
      </c>
      <c r="AH40" s="138">
        <v>0.37500000000000006</v>
      </c>
      <c r="AI40" s="138">
        <v>0.3125</v>
      </c>
      <c r="AJ40" s="138">
        <v>0.3125</v>
      </c>
      <c r="AK40">
        <f t="shared" si="110"/>
        <v>6.2700000000000061E-2</v>
      </c>
      <c r="AM40" s="133" t="s">
        <v>85</v>
      </c>
      <c r="BD40" s="143" t="str">
        <f t="shared" si="4"/>
        <v>W10x77</v>
      </c>
      <c r="BE40">
        <v>10</v>
      </c>
      <c r="BF40" s="138">
        <v>77</v>
      </c>
      <c r="BG40" s="138">
        <v>10.6</v>
      </c>
      <c r="BH40" s="138">
        <v>0.53</v>
      </c>
      <c r="BI40" s="138">
        <v>10.19</v>
      </c>
      <c r="BJ40" s="138">
        <v>0.87</v>
      </c>
      <c r="BK40" s="138">
        <v>0.5</v>
      </c>
      <c r="BM40" s="133" t="s">
        <v>85</v>
      </c>
      <c r="BO40" s="153" t="s">
        <v>83</v>
      </c>
      <c r="BP40" s="154"/>
      <c r="BQ40" s="154"/>
      <c r="BR40" s="154"/>
      <c r="BS40" s="154"/>
      <c r="BT40" s="154"/>
      <c r="BU40" s="154"/>
      <c r="BV40" s="154"/>
      <c r="BW40" s="154"/>
      <c r="BX40" s="154"/>
      <c r="BY40" s="154"/>
      <c r="BZ40" s="154"/>
      <c r="CA40" s="154"/>
      <c r="CB40" s="154"/>
      <c r="CC40" s="154"/>
      <c r="CD40" s="155"/>
      <c r="CF40" s="150" t="s">
        <v>310</v>
      </c>
      <c r="CG40">
        <v>1.4375</v>
      </c>
      <c r="CH40">
        <v>12.125</v>
      </c>
      <c r="CI40" s="151" t="s">
        <v>261</v>
      </c>
      <c r="EH40" s="243">
        <v>40</v>
      </c>
      <c r="EI40" s="244">
        <v>480</v>
      </c>
      <c r="EJ40" s="90">
        <v>48</v>
      </c>
      <c r="EK40" s="90">
        <v>48</v>
      </c>
      <c r="EL40" s="90">
        <v>48</v>
      </c>
      <c r="EM40" s="90">
        <v>48</v>
      </c>
      <c r="EN40" s="90">
        <v>48</v>
      </c>
      <c r="EO40" s="90">
        <v>48</v>
      </c>
      <c r="EP40" s="90">
        <v>48</v>
      </c>
      <c r="EQ40" s="90">
        <v>48</v>
      </c>
      <c r="ER40" s="90">
        <v>48</v>
      </c>
      <c r="ES40" s="90">
        <v>48</v>
      </c>
      <c r="ET40" s="90" t="s">
        <v>1137</v>
      </c>
      <c r="EU40" s="90" t="s">
        <v>1137</v>
      </c>
      <c r="EV40" s="90" t="s">
        <v>1137</v>
      </c>
      <c r="EW40" s="90" t="s">
        <v>1137</v>
      </c>
      <c r="EX40" s="90" t="s">
        <v>1137</v>
      </c>
      <c r="EY40" s="90" t="s">
        <v>1137</v>
      </c>
      <c r="EZ40" s="90"/>
      <c r="FA40" s="224">
        <v>9</v>
      </c>
      <c r="FB40" s="245">
        <f t="shared" si="12"/>
        <v>480</v>
      </c>
      <c r="FD40" s="237">
        <f t="shared" si="108"/>
        <v>40</v>
      </c>
      <c r="FE40" s="246">
        <f t="shared" si="108"/>
        <v>480</v>
      </c>
      <c r="FF40" s="247">
        <f t="shared" si="108"/>
        <v>48</v>
      </c>
      <c r="FG40" s="247">
        <f t="shared" si="107"/>
        <v>48</v>
      </c>
      <c r="FH40" s="247">
        <f t="shared" si="107"/>
        <v>48</v>
      </c>
      <c r="FI40" s="247">
        <f t="shared" si="107"/>
        <v>48</v>
      </c>
      <c r="FJ40" s="247">
        <f t="shared" si="107"/>
        <v>48</v>
      </c>
      <c r="FK40" s="247">
        <f t="shared" si="107"/>
        <v>48</v>
      </c>
      <c r="FL40" s="247">
        <f t="shared" si="107"/>
        <v>48</v>
      </c>
      <c r="FM40" s="247">
        <f t="shared" si="107"/>
        <v>48</v>
      </c>
      <c r="FN40" s="247">
        <f t="shared" si="107"/>
        <v>48</v>
      </c>
      <c r="FO40" s="247">
        <f t="shared" si="107"/>
        <v>48</v>
      </c>
      <c r="FP40" s="247" t="str">
        <f t="shared" si="107"/>
        <v xml:space="preserve"> </v>
      </c>
      <c r="FQ40" s="247" t="str">
        <f t="shared" si="107"/>
        <v xml:space="preserve"> </v>
      </c>
      <c r="FR40" s="247" t="str">
        <f t="shared" si="107"/>
        <v xml:space="preserve"> </v>
      </c>
      <c r="FS40" s="247" t="str">
        <f t="shared" si="107"/>
        <v xml:space="preserve"> </v>
      </c>
      <c r="FT40" s="247" t="str">
        <f t="shared" si="105"/>
        <v xml:space="preserve"> </v>
      </c>
      <c r="FU40" s="247" t="str">
        <f t="shared" si="105"/>
        <v xml:space="preserve"> </v>
      </c>
      <c r="FV40" s="247">
        <f t="shared" si="105"/>
        <v>0</v>
      </c>
      <c r="FW40" s="248">
        <f t="shared" si="105"/>
        <v>9</v>
      </c>
      <c r="FX40" s="241">
        <f t="shared" si="105"/>
        <v>480</v>
      </c>
      <c r="FZ40" s="249">
        <v>40</v>
      </c>
      <c r="GA40" s="244">
        <v>480</v>
      </c>
      <c r="GB40" s="90">
        <v>60</v>
      </c>
      <c r="GC40" s="90">
        <v>60</v>
      </c>
      <c r="GD40" s="90">
        <v>60</v>
      </c>
      <c r="GE40" s="90">
        <v>60</v>
      </c>
      <c r="GF40" s="90">
        <v>60</v>
      </c>
      <c r="GG40" s="90">
        <v>60</v>
      </c>
      <c r="GH40" s="90">
        <v>60</v>
      </c>
      <c r="GI40" s="90">
        <v>60</v>
      </c>
      <c r="GJ40" s="90"/>
      <c r="GK40" s="90"/>
      <c r="GL40" s="90"/>
      <c r="GM40" s="90"/>
      <c r="GN40" s="90"/>
      <c r="GO40" s="90"/>
      <c r="GP40" s="90"/>
      <c r="GQ40" s="90"/>
      <c r="GR40" s="90"/>
      <c r="GS40" s="224">
        <v>7</v>
      </c>
      <c r="GT40" s="245">
        <f t="shared" si="14"/>
        <v>480</v>
      </c>
      <c r="GV40" s="237">
        <f t="shared" si="111"/>
        <v>40</v>
      </c>
      <c r="GW40" s="246">
        <f t="shared" si="111"/>
        <v>480</v>
      </c>
      <c r="GX40" s="247">
        <f t="shared" si="111"/>
        <v>60</v>
      </c>
      <c r="GY40" s="247">
        <f t="shared" si="111"/>
        <v>60</v>
      </c>
      <c r="GZ40" s="247">
        <f t="shared" si="111"/>
        <v>60</v>
      </c>
      <c r="HA40" s="247">
        <f t="shared" si="111"/>
        <v>60</v>
      </c>
      <c r="HB40" s="247">
        <f t="shared" si="111"/>
        <v>60</v>
      </c>
      <c r="HC40" s="247">
        <f t="shared" si="111"/>
        <v>60</v>
      </c>
      <c r="HD40" s="247">
        <f t="shared" si="111"/>
        <v>60</v>
      </c>
      <c r="HE40" s="247">
        <f t="shared" si="111"/>
        <v>60</v>
      </c>
      <c r="HF40" s="247">
        <f t="shared" si="111"/>
        <v>0</v>
      </c>
      <c r="HG40" s="247">
        <f t="shared" si="111"/>
        <v>0</v>
      </c>
      <c r="HH40" s="247">
        <f t="shared" si="111"/>
        <v>0</v>
      </c>
      <c r="HI40" s="247">
        <f t="shared" si="111"/>
        <v>0</v>
      </c>
      <c r="HJ40" s="247">
        <f t="shared" si="111"/>
        <v>0</v>
      </c>
      <c r="HK40" s="247">
        <f t="shared" si="111"/>
        <v>0</v>
      </c>
      <c r="HL40" s="247">
        <f t="shared" si="106"/>
        <v>0</v>
      </c>
      <c r="HM40" s="247">
        <f t="shared" si="10"/>
        <v>0</v>
      </c>
      <c r="HN40" s="247">
        <f t="shared" si="10"/>
        <v>0</v>
      </c>
      <c r="HO40" s="248">
        <f t="shared" si="10"/>
        <v>7</v>
      </c>
      <c r="HP40" s="241">
        <f t="shared" si="10"/>
        <v>480</v>
      </c>
      <c r="HR40" s="243">
        <v>40</v>
      </c>
      <c r="HS40" s="244">
        <v>480</v>
      </c>
      <c r="HT40" s="90">
        <v>60</v>
      </c>
      <c r="HU40" s="90">
        <v>72</v>
      </c>
      <c r="HV40" s="90">
        <v>72</v>
      </c>
      <c r="HW40" s="90">
        <v>72</v>
      </c>
      <c r="HX40" s="90">
        <v>72</v>
      </c>
      <c r="HY40" s="90">
        <v>72</v>
      </c>
      <c r="HZ40" s="90">
        <v>60</v>
      </c>
      <c r="IA40" s="90"/>
      <c r="IB40" s="90"/>
      <c r="IC40" s="90"/>
      <c r="ID40" s="90"/>
      <c r="IE40" s="90"/>
      <c r="IF40" s="90"/>
      <c r="IG40" s="90"/>
      <c r="IH40" s="90"/>
      <c r="II40" s="90"/>
      <c r="IJ40" s="90"/>
      <c r="IK40" s="224">
        <v>6</v>
      </c>
      <c r="IL40" s="245">
        <f t="shared" si="16"/>
        <v>480</v>
      </c>
      <c r="IN40" s="243">
        <v>40</v>
      </c>
      <c r="IO40" s="244">
        <v>480</v>
      </c>
      <c r="IP40" s="90">
        <v>72</v>
      </c>
      <c r="IQ40" s="90">
        <v>84</v>
      </c>
      <c r="IR40" s="90">
        <v>84</v>
      </c>
      <c r="IS40" s="90">
        <v>84</v>
      </c>
      <c r="IT40" s="90">
        <v>84</v>
      </c>
      <c r="IU40" s="90">
        <v>72</v>
      </c>
      <c r="IV40" s="90"/>
      <c r="IW40" s="90"/>
      <c r="IX40" s="90"/>
      <c r="IY40" s="90"/>
      <c r="IZ40" s="90"/>
      <c r="JA40" s="90"/>
      <c r="JB40" s="90"/>
      <c r="JC40" s="90"/>
      <c r="JD40" s="90"/>
      <c r="JE40" s="90"/>
      <c r="JF40" s="90"/>
      <c r="JG40" s="224">
        <v>5</v>
      </c>
      <c r="JH40" s="245">
        <f t="shared" si="17"/>
        <v>480</v>
      </c>
      <c r="JJ40" s="249">
        <v>40</v>
      </c>
      <c r="JK40" s="244">
        <v>480</v>
      </c>
      <c r="JL40" s="90">
        <v>96</v>
      </c>
      <c r="JM40" s="90">
        <v>96</v>
      </c>
      <c r="JN40" s="90">
        <v>96</v>
      </c>
      <c r="JO40" s="90">
        <v>96</v>
      </c>
      <c r="JP40" s="90">
        <v>96</v>
      </c>
      <c r="JQ40" s="90"/>
      <c r="JR40" s="90"/>
      <c r="JS40" s="90"/>
      <c r="JT40" s="90"/>
      <c r="JU40" s="90"/>
      <c r="JV40" s="90"/>
      <c r="JW40" s="90"/>
      <c r="JX40" s="90"/>
      <c r="JY40" s="90"/>
      <c r="JZ40" s="90"/>
      <c r="KA40" s="90"/>
      <c r="KB40" s="90"/>
      <c r="KC40" s="224">
        <v>4</v>
      </c>
      <c r="KD40" s="245">
        <f t="shared" si="18"/>
        <v>480</v>
      </c>
      <c r="KF40" s="243">
        <v>40</v>
      </c>
      <c r="KG40" s="244">
        <v>480</v>
      </c>
      <c r="KH40" s="90">
        <v>51</v>
      </c>
      <c r="KI40" s="90">
        <v>54</v>
      </c>
      <c r="KJ40" s="90">
        <v>54</v>
      </c>
      <c r="KK40" s="90">
        <v>54</v>
      </c>
      <c r="KL40" s="90">
        <v>54</v>
      </c>
      <c r="KM40" s="90">
        <v>54</v>
      </c>
      <c r="KN40" s="90">
        <v>54</v>
      </c>
      <c r="KO40" s="90">
        <v>54</v>
      </c>
      <c r="KP40" s="90">
        <v>51</v>
      </c>
      <c r="KQ40" s="90"/>
      <c r="KR40" s="90"/>
      <c r="KS40" s="90"/>
      <c r="KT40" s="90"/>
      <c r="KU40" s="90"/>
      <c r="KV40" s="90"/>
      <c r="KW40" s="90"/>
      <c r="KX40" s="90"/>
      <c r="KY40" s="224">
        <v>8</v>
      </c>
      <c r="KZ40" s="245">
        <f t="shared" si="19"/>
        <v>480</v>
      </c>
      <c r="LB40" s="237">
        <f t="shared" si="20"/>
        <v>40</v>
      </c>
      <c r="LC40" s="284">
        <f t="shared" si="21"/>
        <v>480</v>
      </c>
      <c r="LD40" s="237">
        <f t="shared" si="22"/>
        <v>51</v>
      </c>
      <c r="LE40" s="237">
        <f t="shared" si="23"/>
        <v>54</v>
      </c>
      <c r="LF40" s="237">
        <f t="shared" si="24"/>
        <v>54</v>
      </c>
      <c r="LG40" s="237">
        <f t="shared" si="25"/>
        <v>54</v>
      </c>
      <c r="LH40" s="237">
        <f t="shared" si="26"/>
        <v>54</v>
      </c>
      <c r="LI40" s="237">
        <f t="shared" si="27"/>
        <v>54</v>
      </c>
      <c r="LJ40" s="237">
        <f t="shared" si="28"/>
        <v>54</v>
      </c>
      <c r="LK40" s="237">
        <f t="shared" si="29"/>
        <v>54</v>
      </c>
      <c r="LL40" s="237">
        <f t="shared" si="30"/>
        <v>51</v>
      </c>
      <c r="LM40" s="237">
        <f t="shared" si="31"/>
        <v>0</v>
      </c>
      <c r="LN40" s="237">
        <f t="shared" si="32"/>
        <v>0</v>
      </c>
      <c r="LO40" s="237">
        <f t="shared" si="33"/>
        <v>0</v>
      </c>
      <c r="LP40" s="237">
        <f t="shared" si="34"/>
        <v>0</v>
      </c>
      <c r="LQ40" s="237">
        <f t="shared" si="35"/>
        <v>0</v>
      </c>
      <c r="LR40" s="237">
        <f t="shared" si="36"/>
        <v>0</v>
      </c>
      <c r="LS40" s="237">
        <f t="shared" si="37"/>
        <v>0</v>
      </c>
      <c r="LT40" s="237">
        <f t="shared" si="38"/>
        <v>0</v>
      </c>
      <c r="LU40" s="285">
        <f t="shared" si="39"/>
        <v>8</v>
      </c>
      <c r="LV40" s="280">
        <f t="shared" si="40"/>
        <v>480</v>
      </c>
      <c r="LX40" s="237">
        <f t="shared" si="41"/>
        <v>40</v>
      </c>
      <c r="LY40" s="284">
        <f t="shared" si="42"/>
        <v>480</v>
      </c>
      <c r="LZ40" s="237">
        <f t="shared" si="43"/>
        <v>51</v>
      </c>
      <c r="MA40" s="237">
        <f t="shared" si="44"/>
        <v>54</v>
      </c>
      <c r="MB40" s="237">
        <f t="shared" si="45"/>
        <v>54</v>
      </c>
      <c r="MC40" s="237">
        <f t="shared" si="46"/>
        <v>54</v>
      </c>
      <c r="MD40" s="237">
        <f t="shared" si="47"/>
        <v>54</v>
      </c>
      <c r="ME40" s="237">
        <f t="shared" si="48"/>
        <v>54</v>
      </c>
      <c r="MF40" s="237">
        <f t="shared" si="49"/>
        <v>54</v>
      </c>
      <c r="MG40" s="237">
        <f t="shared" si="50"/>
        <v>54</v>
      </c>
      <c r="MH40" s="237">
        <f t="shared" si="51"/>
        <v>51</v>
      </c>
      <c r="MI40" s="237">
        <f t="shared" si="52"/>
        <v>0</v>
      </c>
      <c r="MJ40" s="237">
        <f t="shared" si="53"/>
        <v>0</v>
      </c>
      <c r="MK40" s="237">
        <f t="shared" si="54"/>
        <v>0</v>
      </c>
      <c r="ML40" s="237">
        <f t="shared" si="55"/>
        <v>0</v>
      </c>
      <c r="MM40" s="237">
        <f t="shared" si="56"/>
        <v>0</v>
      </c>
      <c r="MN40" s="237">
        <f t="shared" si="57"/>
        <v>0</v>
      </c>
      <c r="MO40" s="237">
        <f t="shared" si="58"/>
        <v>0</v>
      </c>
      <c r="MP40" s="237">
        <f t="shared" si="59"/>
        <v>0</v>
      </c>
      <c r="MQ40" s="285">
        <f t="shared" si="60"/>
        <v>8</v>
      </c>
      <c r="MR40" s="280">
        <f t="shared" si="61"/>
        <v>480</v>
      </c>
      <c r="MT40" s="237">
        <f t="shared" si="62"/>
        <v>40</v>
      </c>
      <c r="MU40" s="284">
        <f t="shared" si="63"/>
        <v>480</v>
      </c>
      <c r="MV40" s="237">
        <f t="shared" si="64"/>
        <v>51</v>
      </c>
      <c r="MW40" s="237">
        <f t="shared" si="65"/>
        <v>54</v>
      </c>
      <c r="MX40" s="237">
        <f t="shared" si="66"/>
        <v>54</v>
      </c>
      <c r="MY40" s="237">
        <f t="shared" si="67"/>
        <v>54</v>
      </c>
      <c r="MZ40" s="237">
        <f t="shared" si="68"/>
        <v>54</v>
      </c>
      <c r="NA40" s="237">
        <f t="shared" si="69"/>
        <v>54</v>
      </c>
      <c r="NB40" s="237">
        <f t="shared" si="70"/>
        <v>54</v>
      </c>
      <c r="NC40" s="237">
        <f t="shared" si="71"/>
        <v>54</v>
      </c>
      <c r="ND40" s="237">
        <f t="shared" si="72"/>
        <v>51</v>
      </c>
      <c r="NE40" s="237">
        <f t="shared" si="73"/>
        <v>0</v>
      </c>
      <c r="NF40" s="237">
        <f t="shared" si="74"/>
        <v>0</v>
      </c>
      <c r="NG40" s="237">
        <f t="shared" si="75"/>
        <v>0</v>
      </c>
      <c r="NH40" s="237">
        <f t="shared" si="76"/>
        <v>0</v>
      </c>
      <c r="NI40" s="237">
        <f t="shared" si="77"/>
        <v>0</v>
      </c>
      <c r="NJ40" s="237">
        <f t="shared" si="78"/>
        <v>0</v>
      </c>
      <c r="NK40" s="237">
        <f t="shared" si="79"/>
        <v>0</v>
      </c>
      <c r="NL40" s="237">
        <f t="shared" si="80"/>
        <v>0</v>
      </c>
      <c r="NM40" s="285">
        <f t="shared" si="81"/>
        <v>8</v>
      </c>
      <c r="NN40" s="280">
        <f t="shared" si="82"/>
        <v>480</v>
      </c>
      <c r="NP40" s="237">
        <f t="shared" si="83"/>
        <v>40</v>
      </c>
      <c r="NQ40" s="284">
        <f t="shared" si="84"/>
        <v>480</v>
      </c>
      <c r="NR40" s="237">
        <f t="shared" si="85"/>
        <v>51</v>
      </c>
      <c r="NS40" s="237">
        <f t="shared" si="86"/>
        <v>54</v>
      </c>
      <c r="NT40" s="237">
        <f t="shared" si="87"/>
        <v>54</v>
      </c>
      <c r="NU40" s="237">
        <f t="shared" si="88"/>
        <v>54</v>
      </c>
      <c r="NV40" s="237">
        <f t="shared" si="89"/>
        <v>54</v>
      </c>
      <c r="NW40" s="237">
        <f t="shared" si="90"/>
        <v>54</v>
      </c>
      <c r="NX40" s="237">
        <f t="shared" si="91"/>
        <v>54</v>
      </c>
      <c r="NY40" s="237">
        <f t="shared" si="92"/>
        <v>54</v>
      </c>
      <c r="NZ40" s="237">
        <f t="shared" si="93"/>
        <v>51</v>
      </c>
      <c r="OA40" s="237">
        <f t="shared" si="94"/>
        <v>0</v>
      </c>
      <c r="OB40" s="237">
        <f t="shared" si="95"/>
        <v>0</v>
      </c>
      <c r="OC40" s="237">
        <f t="shared" si="96"/>
        <v>0</v>
      </c>
      <c r="OD40" s="237">
        <f t="shared" si="97"/>
        <v>0</v>
      </c>
      <c r="OE40" s="237">
        <f t="shared" si="98"/>
        <v>0</v>
      </c>
      <c r="OF40" s="237">
        <f t="shared" si="99"/>
        <v>0</v>
      </c>
      <c r="OG40" s="237">
        <f t="shared" si="100"/>
        <v>0</v>
      </c>
      <c r="OH40" s="237">
        <f t="shared" si="101"/>
        <v>0</v>
      </c>
      <c r="OI40" s="285">
        <f t="shared" si="102"/>
        <v>8</v>
      </c>
      <c r="OJ40" s="280">
        <f t="shared" si="103"/>
        <v>480</v>
      </c>
    </row>
    <row r="41" spans="12:400" ht="15" thickTop="1" x14ac:dyDescent="0.3">
      <c r="AE41" s="127" t="str">
        <f t="shared" si="109"/>
        <v>L2.5x3.5x0.4375</v>
      </c>
      <c r="AF41" s="138">
        <v>2.5</v>
      </c>
      <c r="AG41" s="138">
        <v>3.5</v>
      </c>
      <c r="AH41" s="138">
        <v>0.4375</v>
      </c>
      <c r="AI41" s="138">
        <v>0.3125</v>
      </c>
      <c r="AJ41" s="138">
        <v>0.3125</v>
      </c>
      <c r="AK41">
        <f t="shared" si="110"/>
        <v>0.12520000000000001</v>
      </c>
      <c r="AM41" s="133" t="s">
        <v>85</v>
      </c>
      <c r="BD41" s="143" t="str">
        <f t="shared" si="4"/>
        <v>W10x88</v>
      </c>
      <c r="BE41">
        <v>10</v>
      </c>
      <c r="BF41" s="138">
        <v>88</v>
      </c>
      <c r="BG41" s="138">
        <v>10.84</v>
      </c>
      <c r="BH41" s="138">
        <v>0.60499999999999998</v>
      </c>
      <c r="BI41" s="138">
        <v>10.265000000000001</v>
      </c>
      <c r="BJ41" s="138">
        <v>0.99</v>
      </c>
      <c r="BK41" s="138">
        <v>0.5</v>
      </c>
      <c r="BM41" s="133" t="s">
        <v>85</v>
      </c>
      <c r="CF41" s="150" t="s">
        <v>311</v>
      </c>
      <c r="CG41">
        <v>1.4375</v>
      </c>
      <c r="CH41">
        <v>12.125</v>
      </c>
      <c r="CI41" s="151" t="s">
        <v>261</v>
      </c>
      <c r="EH41" s="232">
        <v>41</v>
      </c>
      <c r="EI41" s="256">
        <v>492</v>
      </c>
      <c r="EJ41" s="257">
        <v>30</v>
      </c>
      <c r="EK41" s="257">
        <v>48</v>
      </c>
      <c r="EL41" s="257">
        <v>48</v>
      </c>
      <c r="EM41" s="257">
        <v>48</v>
      </c>
      <c r="EN41" s="257">
        <v>48</v>
      </c>
      <c r="EO41" s="257">
        <v>48</v>
      </c>
      <c r="EP41" s="257">
        <v>48</v>
      </c>
      <c r="EQ41" s="257">
        <v>48</v>
      </c>
      <c r="ER41" s="257">
        <v>48</v>
      </c>
      <c r="ES41" s="257">
        <v>48</v>
      </c>
      <c r="ET41" s="257">
        <v>30</v>
      </c>
      <c r="EU41" s="257" t="s">
        <v>1137</v>
      </c>
      <c r="EV41" s="257" t="s">
        <v>1137</v>
      </c>
      <c r="EW41" s="257" t="s">
        <v>1137</v>
      </c>
      <c r="EX41" s="257" t="s">
        <v>1137</v>
      </c>
      <c r="EY41" s="257" t="s">
        <v>1137</v>
      </c>
      <c r="EZ41" s="257"/>
      <c r="FA41" s="258">
        <v>10</v>
      </c>
      <c r="FB41" s="236">
        <f t="shared" si="12"/>
        <v>492</v>
      </c>
      <c r="FD41" s="237">
        <f t="shared" si="108"/>
        <v>41</v>
      </c>
      <c r="FE41" s="246">
        <f t="shared" si="108"/>
        <v>492</v>
      </c>
      <c r="FF41" s="247">
        <f t="shared" si="108"/>
        <v>30</v>
      </c>
      <c r="FG41" s="247">
        <f t="shared" si="107"/>
        <v>48</v>
      </c>
      <c r="FH41" s="247">
        <f t="shared" si="107"/>
        <v>48</v>
      </c>
      <c r="FI41" s="247">
        <f t="shared" si="107"/>
        <v>48</v>
      </c>
      <c r="FJ41" s="247">
        <f t="shared" si="107"/>
        <v>48</v>
      </c>
      <c r="FK41" s="247">
        <f t="shared" si="107"/>
        <v>48</v>
      </c>
      <c r="FL41" s="247">
        <f t="shared" si="107"/>
        <v>48</v>
      </c>
      <c r="FM41" s="247">
        <f t="shared" si="107"/>
        <v>48</v>
      </c>
      <c r="FN41" s="247">
        <f t="shared" si="107"/>
        <v>48</v>
      </c>
      <c r="FO41" s="247">
        <f t="shared" si="107"/>
        <v>48</v>
      </c>
      <c r="FP41" s="247">
        <f t="shared" si="107"/>
        <v>30</v>
      </c>
      <c r="FQ41" s="247" t="str">
        <f t="shared" si="107"/>
        <v xml:space="preserve"> </v>
      </c>
      <c r="FR41" s="247" t="str">
        <f t="shared" si="107"/>
        <v xml:space="preserve"> </v>
      </c>
      <c r="FS41" s="247" t="str">
        <f t="shared" si="107"/>
        <v xml:space="preserve"> </v>
      </c>
      <c r="FT41" s="247" t="str">
        <f t="shared" si="105"/>
        <v xml:space="preserve"> </v>
      </c>
      <c r="FU41" s="247" t="str">
        <f t="shared" si="105"/>
        <v xml:space="preserve"> </v>
      </c>
      <c r="FV41" s="247">
        <f t="shared" si="105"/>
        <v>0</v>
      </c>
      <c r="FW41" s="248">
        <f t="shared" si="105"/>
        <v>10</v>
      </c>
      <c r="FX41" s="241">
        <f t="shared" si="105"/>
        <v>492</v>
      </c>
      <c r="FZ41" s="242">
        <v>41</v>
      </c>
      <c r="GA41" s="256">
        <v>492</v>
      </c>
      <c r="GB41" s="257">
        <v>36</v>
      </c>
      <c r="GC41" s="257">
        <v>60</v>
      </c>
      <c r="GD41" s="257">
        <v>60</v>
      </c>
      <c r="GE41" s="257">
        <v>60</v>
      </c>
      <c r="GF41" s="257">
        <v>60</v>
      </c>
      <c r="GG41" s="257">
        <v>60</v>
      </c>
      <c r="GH41" s="257">
        <v>60</v>
      </c>
      <c r="GI41" s="257">
        <v>60</v>
      </c>
      <c r="GJ41" s="257">
        <v>36</v>
      </c>
      <c r="GK41" s="257"/>
      <c r="GL41" s="257"/>
      <c r="GM41" s="257"/>
      <c r="GN41" s="257"/>
      <c r="GO41" s="257"/>
      <c r="GP41" s="257"/>
      <c r="GQ41" s="257"/>
      <c r="GR41" s="257"/>
      <c r="GS41" s="258">
        <v>8</v>
      </c>
      <c r="GT41" s="236">
        <f t="shared" si="14"/>
        <v>492</v>
      </c>
      <c r="GV41" s="237">
        <f t="shared" si="111"/>
        <v>41</v>
      </c>
      <c r="GW41" s="246">
        <f t="shared" si="111"/>
        <v>492</v>
      </c>
      <c r="GX41" s="247">
        <f t="shared" si="111"/>
        <v>36</v>
      </c>
      <c r="GY41" s="247">
        <f t="shared" si="111"/>
        <v>60</v>
      </c>
      <c r="GZ41" s="247">
        <f t="shared" si="111"/>
        <v>60</v>
      </c>
      <c r="HA41" s="247">
        <f t="shared" si="111"/>
        <v>60</v>
      </c>
      <c r="HB41" s="247">
        <f t="shared" si="111"/>
        <v>60</v>
      </c>
      <c r="HC41" s="247">
        <f t="shared" si="111"/>
        <v>60</v>
      </c>
      <c r="HD41" s="247">
        <f t="shared" si="111"/>
        <v>60</v>
      </c>
      <c r="HE41" s="247">
        <f t="shared" si="111"/>
        <v>60</v>
      </c>
      <c r="HF41" s="247">
        <f t="shared" si="111"/>
        <v>36</v>
      </c>
      <c r="HG41" s="247">
        <f t="shared" si="111"/>
        <v>0</v>
      </c>
      <c r="HH41" s="247">
        <f t="shared" si="111"/>
        <v>0</v>
      </c>
      <c r="HI41" s="247">
        <f t="shared" si="111"/>
        <v>0</v>
      </c>
      <c r="HJ41" s="247">
        <f t="shared" si="111"/>
        <v>0</v>
      </c>
      <c r="HK41" s="247">
        <f t="shared" si="111"/>
        <v>0</v>
      </c>
      <c r="HL41" s="247">
        <f t="shared" si="106"/>
        <v>0</v>
      </c>
      <c r="HM41" s="247">
        <f t="shared" si="10"/>
        <v>0</v>
      </c>
      <c r="HN41" s="247">
        <f t="shared" si="10"/>
        <v>0</v>
      </c>
      <c r="HO41" s="248">
        <f t="shared" si="10"/>
        <v>8</v>
      </c>
      <c r="HP41" s="241">
        <f t="shared" si="10"/>
        <v>492</v>
      </c>
      <c r="HR41" s="232">
        <v>41</v>
      </c>
      <c r="HS41" s="256">
        <v>492</v>
      </c>
      <c r="HT41" s="257">
        <v>66</v>
      </c>
      <c r="HU41" s="257">
        <v>72</v>
      </c>
      <c r="HV41" s="257">
        <v>72</v>
      </c>
      <c r="HW41" s="257">
        <v>72</v>
      </c>
      <c r="HX41" s="257">
        <v>72</v>
      </c>
      <c r="HY41" s="257">
        <v>72</v>
      </c>
      <c r="HZ41" s="257">
        <v>66</v>
      </c>
      <c r="IA41" s="257"/>
      <c r="IB41" s="257"/>
      <c r="IC41" s="257"/>
      <c r="ID41" s="257"/>
      <c r="IE41" s="257"/>
      <c r="IF41" s="257"/>
      <c r="IG41" s="257"/>
      <c r="IH41" s="257"/>
      <c r="II41" s="257"/>
      <c r="IJ41" s="257"/>
      <c r="IK41" s="258">
        <v>6</v>
      </c>
      <c r="IL41" s="236">
        <f t="shared" si="16"/>
        <v>492</v>
      </c>
      <c r="IN41" s="232">
        <v>41</v>
      </c>
      <c r="IO41" s="256">
        <v>492</v>
      </c>
      <c r="IP41" s="257">
        <v>78</v>
      </c>
      <c r="IQ41" s="257">
        <v>84</v>
      </c>
      <c r="IR41" s="257">
        <v>84</v>
      </c>
      <c r="IS41" s="257">
        <v>84</v>
      </c>
      <c r="IT41" s="257">
        <v>84</v>
      </c>
      <c r="IU41" s="257">
        <v>78</v>
      </c>
      <c r="IV41" s="257"/>
      <c r="IW41" s="257"/>
      <c r="IX41" s="257"/>
      <c r="IY41" s="257"/>
      <c r="IZ41" s="257"/>
      <c r="JA41" s="257"/>
      <c r="JB41" s="257"/>
      <c r="JC41" s="257"/>
      <c r="JD41" s="257"/>
      <c r="JE41" s="257"/>
      <c r="JF41" s="257"/>
      <c r="JG41" s="258">
        <v>5</v>
      </c>
      <c r="JH41" s="236">
        <f t="shared" si="17"/>
        <v>492</v>
      </c>
      <c r="JJ41" s="242">
        <v>41</v>
      </c>
      <c r="JK41" s="256">
        <v>492</v>
      </c>
      <c r="JL41" s="257">
        <v>54</v>
      </c>
      <c r="JM41" s="257">
        <v>96</v>
      </c>
      <c r="JN41" s="257">
        <v>96</v>
      </c>
      <c r="JO41" s="257">
        <v>96</v>
      </c>
      <c r="JP41" s="257">
        <v>96</v>
      </c>
      <c r="JQ41" s="257">
        <v>54</v>
      </c>
      <c r="JR41" s="257"/>
      <c r="JS41" s="257"/>
      <c r="JT41" s="257"/>
      <c r="JU41" s="257"/>
      <c r="JV41" s="257"/>
      <c r="JW41" s="257"/>
      <c r="JX41" s="257"/>
      <c r="JY41" s="257"/>
      <c r="JZ41" s="257"/>
      <c r="KA41" s="257"/>
      <c r="KB41" s="257"/>
      <c r="KC41" s="258">
        <v>5</v>
      </c>
      <c r="KD41" s="236">
        <f t="shared" si="18"/>
        <v>492</v>
      </c>
      <c r="KF41" s="232">
        <v>41</v>
      </c>
      <c r="KG41" s="256">
        <v>492</v>
      </c>
      <c r="KH41" s="257">
        <v>30</v>
      </c>
      <c r="KI41" s="257">
        <v>54</v>
      </c>
      <c r="KJ41" s="257">
        <v>54</v>
      </c>
      <c r="KK41" s="257">
        <v>54</v>
      </c>
      <c r="KL41" s="257">
        <v>54</v>
      </c>
      <c r="KM41" s="257">
        <v>54</v>
      </c>
      <c r="KN41" s="257">
        <v>54</v>
      </c>
      <c r="KO41" s="257">
        <v>54</v>
      </c>
      <c r="KP41" s="257">
        <v>54</v>
      </c>
      <c r="KQ41" s="257">
        <v>30</v>
      </c>
      <c r="KR41" s="257"/>
      <c r="KS41" s="257"/>
      <c r="KT41" s="257"/>
      <c r="KU41" s="257"/>
      <c r="KV41" s="257"/>
      <c r="KW41" s="257"/>
      <c r="KX41" s="257"/>
      <c r="KY41" s="258">
        <v>9</v>
      </c>
      <c r="KZ41" s="236">
        <f t="shared" si="19"/>
        <v>492</v>
      </c>
      <c r="LB41" s="237">
        <f t="shared" si="20"/>
        <v>41</v>
      </c>
      <c r="LC41" s="284">
        <f t="shared" si="21"/>
        <v>492</v>
      </c>
      <c r="LD41" s="237">
        <f t="shared" si="22"/>
        <v>30</v>
      </c>
      <c r="LE41" s="237">
        <f t="shared" si="23"/>
        <v>54</v>
      </c>
      <c r="LF41" s="237">
        <f t="shared" si="24"/>
        <v>54</v>
      </c>
      <c r="LG41" s="237">
        <f t="shared" si="25"/>
        <v>54</v>
      </c>
      <c r="LH41" s="237">
        <f t="shared" si="26"/>
        <v>54</v>
      </c>
      <c r="LI41" s="237">
        <f t="shared" si="27"/>
        <v>54</v>
      </c>
      <c r="LJ41" s="237">
        <f t="shared" si="28"/>
        <v>54</v>
      </c>
      <c r="LK41" s="237">
        <f t="shared" si="29"/>
        <v>54</v>
      </c>
      <c r="LL41" s="237">
        <f t="shared" si="30"/>
        <v>54</v>
      </c>
      <c r="LM41" s="237">
        <f t="shared" si="31"/>
        <v>30</v>
      </c>
      <c r="LN41" s="237">
        <f t="shared" si="32"/>
        <v>0</v>
      </c>
      <c r="LO41" s="237">
        <f t="shared" si="33"/>
        <v>0</v>
      </c>
      <c r="LP41" s="237">
        <f t="shared" si="34"/>
        <v>0</v>
      </c>
      <c r="LQ41" s="237">
        <f t="shared" si="35"/>
        <v>0</v>
      </c>
      <c r="LR41" s="237">
        <f t="shared" si="36"/>
        <v>0</v>
      </c>
      <c r="LS41" s="237">
        <f t="shared" si="37"/>
        <v>0</v>
      </c>
      <c r="LT41" s="237">
        <f t="shared" si="38"/>
        <v>0</v>
      </c>
      <c r="LU41" s="285">
        <f t="shared" si="39"/>
        <v>9</v>
      </c>
      <c r="LV41" s="280">
        <f t="shared" si="40"/>
        <v>492</v>
      </c>
      <c r="LX41" s="237">
        <f t="shared" si="41"/>
        <v>41</v>
      </c>
      <c r="LY41" s="284">
        <f t="shared" si="42"/>
        <v>492</v>
      </c>
      <c r="LZ41" s="237">
        <f t="shared" si="43"/>
        <v>30</v>
      </c>
      <c r="MA41" s="237">
        <f t="shared" si="44"/>
        <v>54</v>
      </c>
      <c r="MB41" s="237">
        <f t="shared" si="45"/>
        <v>54</v>
      </c>
      <c r="MC41" s="237">
        <f t="shared" si="46"/>
        <v>54</v>
      </c>
      <c r="MD41" s="237">
        <f t="shared" si="47"/>
        <v>54</v>
      </c>
      <c r="ME41" s="237">
        <f t="shared" si="48"/>
        <v>54</v>
      </c>
      <c r="MF41" s="237">
        <f t="shared" si="49"/>
        <v>54</v>
      </c>
      <c r="MG41" s="237">
        <f t="shared" si="50"/>
        <v>54</v>
      </c>
      <c r="MH41" s="237">
        <f t="shared" si="51"/>
        <v>54</v>
      </c>
      <c r="MI41" s="237">
        <f t="shared" si="52"/>
        <v>30</v>
      </c>
      <c r="MJ41" s="237">
        <f t="shared" si="53"/>
        <v>0</v>
      </c>
      <c r="MK41" s="237">
        <f t="shared" si="54"/>
        <v>0</v>
      </c>
      <c r="ML41" s="237">
        <f t="shared" si="55"/>
        <v>0</v>
      </c>
      <c r="MM41" s="237">
        <f t="shared" si="56"/>
        <v>0</v>
      </c>
      <c r="MN41" s="237">
        <f t="shared" si="57"/>
        <v>0</v>
      </c>
      <c r="MO41" s="237">
        <f t="shared" si="58"/>
        <v>0</v>
      </c>
      <c r="MP41" s="237">
        <f t="shared" si="59"/>
        <v>0</v>
      </c>
      <c r="MQ41" s="285">
        <f t="shared" si="60"/>
        <v>9</v>
      </c>
      <c r="MR41" s="280">
        <f t="shared" si="61"/>
        <v>492</v>
      </c>
      <c r="MT41" s="237">
        <f t="shared" si="62"/>
        <v>41</v>
      </c>
      <c r="MU41" s="284">
        <f t="shared" si="63"/>
        <v>492</v>
      </c>
      <c r="MV41" s="237">
        <f t="shared" si="64"/>
        <v>30</v>
      </c>
      <c r="MW41" s="237">
        <f t="shared" si="65"/>
        <v>54</v>
      </c>
      <c r="MX41" s="237">
        <f t="shared" si="66"/>
        <v>54</v>
      </c>
      <c r="MY41" s="237">
        <f t="shared" si="67"/>
        <v>54</v>
      </c>
      <c r="MZ41" s="237">
        <f t="shared" si="68"/>
        <v>54</v>
      </c>
      <c r="NA41" s="237">
        <f t="shared" si="69"/>
        <v>54</v>
      </c>
      <c r="NB41" s="237">
        <f t="shared" si="70"/>
        <v>54</v>
      </c>
      <c r="NC41" s="237">
        <f t="shared" si="71"/>
        <v>54</v>
      </c>
      <c r="ND41" s="237">
        <f t="shared" si="72"/>
        <v>54</v>
      </c>
      <c r="NE41" s="237">
        <f t="shared" si="73"/>
        <v>30</v>
      </c>
      <c r="NF41" s="237">
        <f t="shared" si="74"/>
        <v>0</v>
      </c>
      <c r="NG41" s="237">
        <f t="shared" si="75"/>
        <v>0</v>
      </c>
      <c r="NH41" s="237">
        <f t="shared" si="76"/>
        <v>0</v>
      </c>
      <c r="NI41" s="237">
        <f t="shared" si="77"/>
        <v>0</v>
      </c>
      <c r="NJ41" s="237">
        <f t="shared" si="78"/>
        <v>0</v>
      </c>
      <c r="NK41" s="237">
        <f t="shared" si="79"/>
        <v>0</v>
      </c>
      <c r="NL41" s="237">
        <f t="shared" si="80"/>
        <v>0</v>
      </c>
      <c r="NM41" s="285">
        <f t="shared" si="81"/>
        <v>9</v>
      </c>
      <c r="NN41" s="280">
        <f t="shared" si="82"/>
        <v>492</v>
      </c>
      <c r="NP41" s="237">
        <f t="shared" si="83"/>
        <v>41</v>
      </c>
      <c r="NQ41" s="284">
        <f t="shared" si="84"/>
        <v>492</v>
      </c>
      <c r="NR41" s="237">
        <f t="shared" si="85"/>
        <v>30</v>
      </c>
      <c r="NS41" s="237">
        <f t="shared" si="86"/>
        <v>54</v>
      </c>
      <c r="NT41" s="237">
        <f t="shared" si="87"/>
        <v>54</v>
      </c>
      <c r="NU41" s="237">
        <f t="shared" si="88"/>
        <v>54</v>
      </c>
      <c r="NV41" s="237">
        <f t="shared" si="89"/>
        <v>54</v>
      </c>
      <c r="NW41" s="237">
        <f t="shared" si="90"/>
        <v>54</v>
      </c>
      <c r="NX41" s="237">
        <f t="shared" si="91"/>
        <v>54</v>
      </c>
      <c r="NY41" s="237">
        <f t="shared" si="92"/>
        <v>54</v>
      </c>
      <c r="NZ41" s="237">
        <f t="shared" si="93"/>
        <v>54</v>
      </c>
      <c r="OA41" s="237">
        <f t="shared" si="94"/>
        <v>30</v>
      </c>
      <c r="OB41" s="237">
        <f t="shared" si="95"/>
        <v>0</v>
      </c>
      <c r="OC41" s="237">
        <f t="shared" si="96"/>
        <v>0</v>
      </c>
      <c r="OD41" s="237">
        <f t="shared" si="97"/>
        <v>0</v>
      </c>
      <c r="OE41" s="237">
        <f t="shared" si="98"/>
        <v>0</v>
      </c>
      <c r="OF41" s="237">
        <f t="shared" si="99"/>
        <v>0</v>
      </c>
      <c r="OG41" s="237">
        <f t="shared" si="100"/>
        <v>0</v>
      </c>
      <c r="OH41" s="237">
        <f t="shared" si="101"/>
        <v>0</v>
      </c>
      <c r="OI41" s="285">
        <f t="shared" si="102"/>
        <v>9</v>
      </c>
      <c r="OJ41" s="280">
        <f t="shared" si="103"/>
        <v>492</v>
      </c>
    </row>
    <row r="42" spans="12:400" x14ac:dyDescent="0.3">
      <c r="AE42" s="127" t="str">
        <f t="shared" si="109"/>
        <v>L2.5x3.5x0.5</v>
      </c>
      <c r="AF42" s="138">
        <v>2.5</v>
      </c>
      <c r="AG42" s="138">
        <v>3.5</v>
      </c>
      <c r="AH42" s="138">
        <v>0.5</v>
      </c>
      <c r="AI42" s="138">
        <v>0.3125</v>
      </c>
      <c r="AJ42" s="138">
        <v>0.3125</v>
      </c>
      <c r="AK42">
        <f t="shared" si="110"/>
        <v>0.18770000000000001</v>
      </c>
      <c r="AM42" s="133" t="s">
        <v>85</v>
      </c>
      <c r="BD42" s="143" t="str">
        <f t="shared" si="4"/>
        <v>W10x100</v>
      </c>
      <c r="BE42">
        <v>10</v>
      </c>
      <c r="BF42" s="138">
        <v>100</v>
      </c>
      <c r="BG42" s="138">
        <v>11.1</v>
      </c>
      <c r="BH42" s="138">
        <v>0.67999999999999994</v>
      </c>
      <c r="BI42" s="138">
        <v>10.34</v>
      </c>
      <c r="BJ42" s="138">
        <v>1.1200000000000001</v>
      </c>
      <c r="BK42" s="138">
        <v>0.5</v>
      </c>
      <c r="BM42" s="133" t="s">
        <v>85</v>
      </c>
      <c r="CF42" s="150" t="s">
        <v>264</v>
      </c>
      <c r="CG42">
        <v>1.4375</v>
      </c>
      <c r="CH42">
        <v>12.125</v>
      </c>
      <c r="CI42" s="151" t="s">
        <v>261</v>
      </c>
      <c r="EH42" s="243">
        <v>42</v>
      </c>
      <c r="EI42" s="244">
        <v>504</v>
      </c>
      <c r="EJ42" s="90">
        <v>36</v>
      </c>
      <c r="EK42" s="90">
        <v>48</v>
      </c>
      <c r="EL42" s="90">
        <v>48</v>
      </c>
      <c r="EM42" s="90">
        <v>48</v>
      </c>
      <c r="EN42" s="90">
        <v>48</v>
      </c>
      <c r="EO42" s="90">
        <v>48</v>
      </c>
      <c r="EP42" s="90">
        <v>48</v>
      </c>
      <c r="EQ42" s="90">
        <v>48</v>
      </c>
      <c r="ER42" s="90">
        <v>48</v>
      </c>
      <c r="ES42" s="90">
        <v>48</v>
      </c>
      <c r="ET42" s="90">
        <v>36</v>
      </c>
      <c r="EU42" s="90" t="s">
        <v>1137</v>
      </c>
      <c r="EV42" s="90" t="s">
        <v>1137</v>
      </c>
      <c r="EW42" s="90" t="s">
        <v>1137</v>
      </c>
      <c r="EX42" s="90" t="s">
        <v>1137</v>
      </c>
      <c r="EY42" s="90" t="s">
        <v>1137</v>
      </c>
      <c r="EZ42" s="90"/>
      <c r="FA42" s="224">
        <v>10</v>
      </c>
      <c r="FB42" s="245">
        <f t="shared" si="12"/>
        <v>504</v>
      </c>
      <c r="FD42" s="237">
        <f t="shared" si="108"/>
        <v>42</v>
      </c>
      <c r="FE42" s="246">
        <f t="shared" si="108"/>
        <v>504</v>
      </c>
      <c r="FF42" s="247">
        <f t="shared" si="108"/>
        <v>36</v>
      </c>
      <c r="FG42" s="247">
        <f t="shared" si="107"/>
        <v>48</v>
      </c>
      <c r="FH42" s="247">
        <f t="shared" si="107"/>
        <v>48</v>
      </c>
      <c r="FI42" s="247">
        <f t="shared" si="107"/>
        <v>48</v>
      </c>
      <c r="FJ42" s="247">
        <f t="shared" si="107"/>
        <v>48</v>
      </c>
      <c r="FK42" s="247">
        <f t="shared" si="107"/>
        <v>48</v>
      </c>
      <c r="FL42" s="247">
        <f t="shared" si="107"/>
        <v>48</v>
      </c>
      <c r="FM42" s="247">
        <f t="shared" si="107"/>
        <v>48</v>
      </c>
      <c r="FN42" s="247">
        <f t="shared" si="107"/>
        <v>48</v>
      </c>
      <c r="FO42" s="247">
        <f t="shared" si="107"/>
        <v>48</v>
      </c>
      <c r="FP42" s="247">
        <f t="shared" si="107"/>
        <v>36</v>
      </c>
      <c r="FQ42" s="247" t="str">
        <f t="shared" si="107"/>
        <v xml:space="preserve"> </v>
      </c>
      <c r="FR42" s="247" t="str">
        <f t="shared" si="107"/>
        <v xml:space="preserve"> </v>
      </c>
      <c r="FS42" s="247" t="str">
        <f t="shared" si="107"/>
        <v xml:space="preserve"> </v>
      </c>
      <c r="FT42" s="247" t="str">
        <f t="shared" si="105"/>
        <v xml:space="preserve"> </v>
      </c>
      <c r="FU42" s="247" t="str">
        <f t="shared" si="105"/>
        <v xml:space="preserve"> </v>
      </c>
      <c r="FV42" s="247">
        <f t="shared" si="105"/>
        <v>0</v>
      </c>
      <c r="FW42" s="248">
        <f t="shared" si="105"/>
        <v>10</v>
      </c>
      <c r="FX42" s="241">
        <f t="shared" si="105"/>
        <v>504</v>
      </c>
      <c r="FZ42" s="249">
        <v>42</v>
      </c>
      <c r="GA42" s="244">
        <v>504</v>
      </c>
      <c r="GB42" s="90">
        <v>42</v>
      </c>
      <c r="GC42" s="90">
        <v>60</v>
      </c>
      <c r="GD42" s="90">
        <v>60</v>
      </c>
      <c r="GE42" s="90">
        <v>60</v>
      </c>
      <c r="GF42" s="90">
        <v>60</v>
      </c>
      <c r="GG42" s="90">
        <v>60</v>
      </c>
      <c r="GH42" s="90">
        <v>60</v>
      </c>
      <c r="GI42" s="90">
        <v>60</v>
      </c>
      <c r="GJ42" s="90">
        <v>42</v>
      </c>
      <c r="GK42" s="90"/>
      <c r="GL42" s="90"/>
      <c r="GM42" s="90"/>
      <c r="GN42" s="90"/>
      <c r="GO42" s="90"/>
      <c r="GP42" s="90"/>
      <c r="GQ42" s="90"/>
      <c r="GR42" s="90"/>
      <c r="GS42" s="224">
        <v>8</v>
      </c>
      <c r="GT42" s="245">
        <f t="shared" si="14"/>
        <v>504</v>
      </c>
      <c r="GV42" s="237">
        <f t="shared" si="111"/>
        <v>42</v>
      </c>
      <c r="GW42" s="246">
        <f t="shared" si="111"/>
        <v>504</v>
      </c>
      <c r="GX42" s="247">
        <f t="shared" si="111"/>
        <v>42</v>
      </c>
      <c r="GY42" s="247">
        <f t="shared" si="111"/>
        <v>60</v>
      </c>
      <c r="GZ42" s="247">
        <f t="shared" si="111"/>
        <v>60</v>
      </c>
      <c r="HA42" s="247">
        <f t="shared" si="111"/>
        <v>60</v>
      </c>
      <c r="HB42" s="247">
        <f t="shared" si="111"/>
        <v>60</v>
      </c>
      <c r="HC42" s="247">
        <f t="shared" si="111"/>
        <v>60</v>
      </c>
      <c r="HD42" s="247">
        <f t="shared" si="111"/>
        <v>60</v>
      </c>
      <c r="HE42" s="247">
        <f t="shared" si="111"/>
        <v>60</v>
      </c>
      <c r="HF42" s="247">
        <f t="shared" si="111"/>
        <v>42</v>
      </c>
      <c r="HG42" s="247">
        <f t="shared" si="111"/>
        <v>0</v>
      </c>
      <c r="HH42" s="247">
        <f t="shared" si="111"/>
        <v>0</v>
      </c>
      <c r="HI42" s="247">
        <f t="shared" si="111"/>
        <v>0</v>
      </c>
      <c r="HJ42" s="247">
        <f t="shared" si="111"/>
        <v>0</v>
      </c>
      <c r="HK42" s="247">
        <f t="shared" si="111"/>
        <v>0</v>
      </c>
      <c r="HL42" s="247">
        <f t="shared" si="106"/>
        <v>0</v>
      </c>
      <c r="HM42" s="247">
        <f t="shared" si="10"/>
        <v>0</v>
      </c>
      <c r="HN42" s="247">
        <f t="shared" si="10"/>
        <v>0</v>
      </c>
      <c r="HO42" s="248">
        <f t="shared" si="10"/>
        <v>8</v>
      </c>
      <c r="HP42" s="241">
        <f t="shared" si="10"/>
        <v>504</v>
      </c>
      <c r="HR42" s="243">
        <v>42</v>
      </c>
      <c r="HS42" s="244">
        <v>504</v>
      </c>
      <c r="HT42" s="90">
        <v>72</v>
      </c>
      <c r="HU42" s="90">
        <v>72</v>
      </c>
      <c r="HV42" s="90">
        <v>72</v>
      </c>
      <c r="HW42" s="90">
        <v>72</v>
      </c>
      <c r="HX42" s="90">
        <v>72</v>
      </c>
      <c r="HY42" s="90">
        <v>72</v>
      </c>
      <c r="HZ42" s="90">
        <v>72</v>
      </c>
      <c r="IA42" s="90"/>
      <c r="IB42" s="90"/>
      <c r="IC42" s="90"/>
      <c r="ID42" s="90"/>
      <c r="IE42" s="90"/>
      <c r="IF42" s="90"/>
      <c r="IG42" s="90"/>
      <c r="IH42" s="90"/>
      <c r="II42" s="90"/>
      <c r="IJ42" s="90"/>
      <c r="IK42" s="224">
        <v>6</v>
      </c>
      <c r="IL42" s="245">
        <f t="shared" si="16"/>
        <v>504</v>
      </c>
      <c r="IN42" s="243">
        <v>42</v>
      </c>
      <c r="IO42" s="244">
        <v>504</v>
      </c>
      <c r="IP42" s="90">
        <v>84</v>
      </c>
      <c r="IQ42" s="90">
        <v>84</v>
      </c>
      <c r="IR42" s="90">
        <v>84</v>
      </c>
      <c r="IS42" s="90">
        <v>84</v>
      </c>
      <c r="IT42" s="90">
        <v>84</v>
      </c>
      <c r="IU42" s="90">
        <v>84</v>
      </c>
      <c r="IV42" s="90"/>
      <c r="IW42" s="90"/>
      <c r="IX42" s="90"/>
      <c r="IY42" s="90"/>
      <c r="IZ42" s="90"/>
      <c r="JA42" s="90"/>
      <c r="JB42" s="90"/>
      <c r="JC42" s="90"/>
      <c r="JD42" s="90"/>
      <c r="JE42" s="90"/>
      <c r="JF42" s="90"/>
      <c r="JG42" s="224">
        <v>5</v>
      </c>
      <c r="JH42" s="245">
        <f t="shared" si="17"/>
        <v>504</v>
      </c>
      <c r="JJ42" s="249">
        <v>42</v>
      </c>
      <c r="JK42" s="244">
        <v>504</v>
      </c>
      <c r="JL42" s="90">
        <v>60</v>
      </c>
      <c r="JM42" s="90">
        <v>96</v>
      </c>
      <c r="JN42" s="90">
        <v>96</v>
      </c>
      <c r="JO42" s="90">
        <v>96</v>
      </c>
      <c r="JP42" s="90">
        <v>96</v>
      </c>
      <c r="JQ42" s="90">
        <v>60</v>
      </c>
      <c r="JR42" s="90"/>
      <c r="JS42" s="90"/>
      <c r="JT42" s="90"/>
      <c r="JU42" s="90"/>
      <c r="JV42" s="90"/>
      <c r="JW42" s="90"/>
      <c r="JX42" s="90"/>
      <c r="JY42" s="90"/>
      <c r="JZ42" s="90"/>
      <c r="KA42" s="90"/>
      <c r="KB42" s="90"/>
      <c r="KC42" s="224">
        <v>5</v>
      </c>
      <c r="KD42" s="245">
        <f t="shared" si="18"/>
        <v>504</v>
      </c>
      <c r="KF42" s="243">
        <v>42</v>
      </c>
      <c r="KG42" s="244">
        <v>504</v>
      </c>
      <c r="KH42" s="90">
        <v>36</v>
      </c>
      <c r="KI42" s="90">
        <v>54</v>
      </c>
      <c r="KJ42" s="90">
        <v>54</v>
      </c>
      <c r="KK42" s="90">
        <v>54</v>
      </c>
      <c r="KL42" s="90">
        <v>54</v>
      </c>
      <c r="KM42" s="90">
        <v>54</v>
      </c>
      <c r="KN42" s="90">
        <v>54</v>
      </c>
      <c r="KO42" s="90">
        <v>54</v>
      </c>
      <c r="KP42" s="90">
        <v>54</v>
      </c>
      <c r="KQ42" s="90">
        <v>36</v>
      </c>
      <c r="KR42" s="90"/>
      <c r="KS42" s="90"/>
      <c r="KT42" s="90"/>
      <c r="KU42" s="90"/>
      <c r="KV42" s="90"/>
      <c r="KW42" s="90"/>
      <c r="KX42" s="90"/>
      <c r="KY42" s="224">
        <v>9</v>
      </c>
      <c r="KZ42" s="245">
        <f t="shared" si="19"/>
        <v>504</v>
      </c>
      <c r="LB42" s="237">
        <f t="shared" si="20"/>
        <v>42</v>
      </c>
      <c r="LC42" s="284">
        <f t="shared" si="21"/>
        <v>504</v>
      </c>
      <c r="LD42" s="237">
        <f t="shared" si="22"/>
        <v>36</v>
      </c>
      <c r="LE42" s="237">
        <f t="shared" si="23"/>
        <v>54</v>
      </c>
      <c r="LF42" s="237">
        <f t="shared" si="24"/>
        <v>54</v>
      </c>
      <c r="LG42" s="237">
        <f t="shared" si="25"/>
        <v>54</v>
      </c>
      <c r="LH42" s="237">
        <f t="shared" si="26"/>
        <v>54</v>
      </c>
      <c r="LI42" s="237">
        <f t="shared" si="27"/>
        <v>54</v>
      </c>
      <c r="LJ42" s="237">
        <f t="shared" si="28"/>
        <v>54</v>
      </c>
      <c r="LK42" s="237">
        <f t="shared" si="29"/>
        <v>54</v>
      </c>
      <c r="LL42" s="237">
        <f t="shared" si="30"/>
        <v>54</v>
      </c>
      <c r="LM42" s="237">
        <f t="shared" si="31"/>
        <v>36</v>
      </c>
      <c r="LN42" s="237">
        <f t="shared" si="32"/>
        <v>0</v>
      </c>
      <c r="LO42" s="237">
        <f t="shared" si="33"/>
        <v>0</v>
      </c>
      <c r="LP42" s="237">
        <f t="shared" si="34"/>
        <v>0</v>
      </c>
      <c r="LQ42" s="237">
        <f t="shared" si="35"/>
        <v>0</v>
      </c>
      <c r="LR42" s="237">
        <f t="shared" si="36"/>
        <v>0</v>
      </c>
      <c r="LS42" s="237">
        <f t="shared" si="37"/>
        <v>0</v>
      </c>
      <c r="LT42" s="237">
        <f t="shared" si="38"/>
        <v>0</v>
      </c>
      <c r="LU42" s="285">
        <f t="shared" si="39"/>
        <v>9</v>
      </c>
      <c r="LV42" s="280">
        <f t="shared" si="40"/>
        <v>504</v>
      </c>
      <c r="LX42" s="237">
        <f t="shared" si="41"/>
        <v>42</v>
      </c>
      <c r="LY42" s="284">
        <f t="shared" si="42"/>
        <v>504</v>
      </c>
      <c r="LZ42" s="237">
        <f t="shared" si="43"/>
        <v>36</v>
      </c>
      <c r="MA42" s="237">
        <f t="shared" si="44"/>
        <v>54</v>
      </c>
      <c r="MB42" s="237">
        <f t="shared" si="45"/>
        <v>54</v>
      </c>
      <c r="MC42" s="237">
        <f t="shared" si="46"/>
        <v>54</v>
      </c>
      <c r="MD42" s="237">
        <f t="shared" si="47"/>
        <v>54</v>
      </c>
      <c r="ME42" s="237">
        <f t="shared" si="48"/>
        <v>54</v>
      </c>
      <c r="MF42" s="237">
        <f t="shared" si="49"/>
        <v>54</v>
      </c>
      <c r="MG42" s="237">
        <f t="shared" si="50"/>
        <v>54</v>
      </c>
      <c r="MH42" s="237">
        <f t="shared" si="51"/>
        <v>54</v>
      </c>
      <c r="MI42" s="237">
        <f t="shared" si="52"/>
        <v>36</v>
      </c>
      <c r="MJ42" s="237">
        <f t="shared" si="53"/>
        <v>0</v>
      </c>
      <c r="MK42" s="237">
        <f t="shared" si="54"/>
        <v>0</v>
      </c>
      <c r="ML42" s="237">
        <f t="shared" si="55"/>
        <v>0</v>
      </c>
      <c r="MM42" s="237">
        <f t="shared" si="56"/>
        <v>0</v>
      </c>
      <c r="MN42" s="237">
        <f t="shared" si="57"/>
        <v>0</v>
      </c>
      <c r="MO42" s="237">
        <f t="shared" si="58"/>
        <v>0</v>
      </c>
      <c r="MP42" s="237">
        <f t="shared" si="59"/>
        <v>0</v>
      </c>
      <c r="MQ42" s="285">
        <f t="shared" si="60"/>
        <v>9</v>
      </c>
      <c r="MR42" s="280">
        <f t="shared" si="61"/>
        <v>504</v>
      </c>
      <c r="MT42" s="237">
        <f t="shared" si="62"/>
        <v>42</v>
      </c>
      <c r="MU42" s="284">
        <f t="shared" si="63"/>
        <v>504</v>
      </c>
      <c r="MV42" s="237">
        <f t="shared" si="64"/>
        <v>36</v>
      </c>
      <c r="MW42" s="237">
        <f t="shared" si="65"/>
        <v>54</v>
      </c>
      <c r="MX42" s="237">
        <f t="shared" si="66"/>
        <v>54</v>
      </c>
      <c r="MY42" s="237">
        <f t="shared" si="67"/>
        <v>54</v>
      </c>
      <c r="MZ42" s="237">
        <f t="shared" si="68"/>
        <v>54</v>
      </c>
      <c r="NA42" s="237">
        <f t="shared" si="69"/>
        <v>54</v>
      </c>
      <c r="NB42" s="237">
        <f t="shared" si="70"/>
        <v>54</v>
      </c>
      <c r="NC42" s="237">
        <f t="shared" si="71"/>
        <v>54</v>
      </c>
      <c r="ND42" s="237">
        <f t="shared" si="72"/>
        <v>54</v>
      </c>
      <c r="NE42" s="237">
        <f t="shared" si="73"/>
        <v>36</v>
      </c>
      <c r="NF42" s="237">
        <f t="shared" si="74"/>
        <v>0</v>
      </c>
      <c r="NG42" s="237">
        <f t="shared" si="75"/>
        <v>0</v>
      </c>
      <c r="NH42" s="237">
        <f t="shared" si="76"/>
        <v>0</v>
      </c>
      <c r="NI42" s="237">
        <f t="shared" si="77"/>
        <v>0</v>
      </c>
      <c r="NJ42" s="237">
        <f t="shared" si="78"/>
        <v>0</v>
      </c>
      <c r="NK42" s="237">
        <f t="shared" si="79"/>
        <v>0</v>
      </c>
      <c r="NL42" s="237">
        <f t="shared" si="80"/>
        <v>0</v>
      </c>
      <c r="NM42" s="285">
        <f t="shared" si="81"/>
        <v>9</v>
      </c>
      <c r="NN42" s="280">
        <f t="shared" si="82"/>
        <v>504</v>
      </c>
      <c r="NP42" s="237">
        <f t="shared" si="83"/>
        <v>42</v>
      </c>
      <c r="NQ42" s="284">
        <f t="shared" si="84"/>
        <v>504</v>
      </c>
      <c r="NR42" s="237">
        <f t="shared" si="85"/>
        <v>36</v>
      </c>
      <c r="NS42" s="237">
        <f t="shared" si="86"/>
        <v>54</v>
      </c>
      <c r="NT42" s="237">
        <f t="shared" si="87"/>
        <v>54</v>
      </c>
      <c r="NU42" s="237">
        <f t="shared" si="88"/>
        <v>54</v>
      </c>
      <c r="NV42" s="237">
        <f t="shared" si="89"/>
        <v>54</v>
      </c>
      <c r="NW42" s="237">
        <f t="shared" si="90"/>
        <v>54</v>
      </c>
      <c r="NX42" s="237">
        <f t="shared" si="91"/>
        <v>54</v>
      </c>
      <c r="NY42" s="237">
        <f t="shared" si="92"/>
        <v>54</v>
      </c>
      <c r="NZ42" s="237">
        <f t="shared" si="93"/>
        <v>54</v>
      </c>
      <c r="OA42" s="237">
        <f t="shared" si="94"/>
        <v>36</v>
      </c>
      <c r="OB42" s="237">
        <f t="shared" si="95"/>
        <v>0</v>
      </c>
      <c r="OC42" s="237">
        <f t="shared" si="96"/>
        <v>0</v>
      </c>
      <c r="OD42" s="237">
        <f t="shared" si="97"/>
        <v>0</v>
      </c>
      <c r="OE42" s="237">
        <f t="shared" si="98"/>
        <v>0</v>
      </c>
      <c r="OF42" s="237">
        <f t="shared" si="99"/>
        <v>0</v>
      </c>
      <c r="OG42" s="237">
        <f t="shared" si="100"/>
        <v>0</v>
      </c>
      <c r="OH42" s="237">
        <f t="shared" si="101"/>
        <v>0</v>
      </c>
      <c r="OI42" s="285">
        <f t="shared" si="102"/>
        <v>9</v>
      </c>
      <c r="OJ42" s="280">
        <f t="shared" si="103"/>
        <v>504</v>
      </c>
    </row>
    <row r="43" spans="12:400" x14ac:dyDescent="0.3">
      <c r="AE43" s="127" t="str">
        <f t="shared" si="109"/>
        <v>L3x3x0.1875</v>
      </c>
      <c r="AF43" s="138">
        <v>3.0000000000000004</v>
      </c>
      <c r="AG43" s="138">
        <v>3.0000000000000004</v>
      </c>
      <c r="AH43" s="138">
        <v>0.18750000000000003</v>
      </c>
      <c r="AI43" s="138">
        <v>0.3125</v>
      </c>
      <c r="AJ43" s="138">
        <v>0.18750000000000003</v>
      </c>
      <c r="AK43">
        <f t="shared" si="110"/>
        <v>2.0000000000000001E-4</v>
      </c>
      <c r="AL43" t="s">
        <v>111</v>
      </c>
      <c r="AM43" s="133" t="s">
        <v>85</v>
      </c>
      <c r="BD43" s="143" t="str">
        <f t="shared" si="4"/>
        <v>W10x112</v>
      </c>
      <c r="BE43">
        <v>10</v>
      </c>
      <c r="BF43" s="138">
        <v>112</v>
      </c>
      <c r="BG43" s="138">
        <v>11.36</v>
      </c>
      <c r="BH43" s="138">
        <v>0.755</v>
      </c>
      <c r="BI43" s="138">
        <v>10.414999999999999</v>
      </c>
      <c r="BJ43" s="138">
        <v>1.25</v>
      </c>
      <c r="BK43" s="138">
        <v>0.5</v>
      </c>
      <c r="BM43" s="133" t="s">
        <v>85</v>
      </c>
      <c r="CF43" s="150" t="s">
        <v>312</v>
      </c>
      <c r="CG43">
        <v>1.125</v>
      </c>
      <c r="CH43">
        <v>9.75</v>
      </c>
      <c r="CI43" s="151" t="s">
        <v>261</v>
      </c>
      <c r="EH43" s="250">
        <v>43</v>
      </c>
      <c r="EI43" s="251">
        <v>516</v>
      </c>
      <c r="EJ43" s="252">
        <v>42</v>
      </c>
      <c r="EK43" s="252">
        <v>48</v>
      </c>
      <c r="EL43" s="252">
        <v>48</v>
      </c>
      <c r="EM43" s="252">
        <v>48</v>
      </c>
      <c r="EN43" s="252">
        <v>48</v>
      </c>
      <c r="EO43" s="252">
        <v>48</v>
      </c>
      <c r="EP43" s="252">
        <v>48</v>
      </c>
      <c r="EQ43" s="252">
        <v>48</v>
      </c>
      <c r="ER43" s="252">
        <v>48</v>
      </c>
      <c r="ES43" s="252">
        <v>48</v>
      </c>
      <c r="ET43" s="252">
        <v>42</v>
      </c>
      <c r="EU43" s="252" t="s">
        <v>1137</v>
      </c>
      <c r="EV43" s="252" t="s">
        <v>1137</v>
      </c>
      <c r="EW43" s="252" t="s">
        <v>1137</v>
      </c>
      <c r="EX43" s="252" t="s">
        <v>1137</v>
      </c>
      <c r="EY43" s="252" t="s">
        <v>1137</v>
      </c>
      <c r="EZ43" s="252"/>
      <c r="FA43" s="253">
        <v>10</v>
      </c>
      <c r="FB43" s="254">
        <f t="shared" si="12"/>
        <v>516</v>
      </c>
      <c r="FD43" s="237">
        <f t="shared" si="108"/>
        <v>43</v>
      </c>
      <c r="FE43" s="246">
        <f t="shared" si="108"/>
        <v>516</v>
      </c>
      <c r="FF43" s="247">
        <f t="shared" si="108"/>
        <v>42</v>
      </c>
      <c r="FG43" s="247">
        <f t="shared" si="107"/>
        <v>48</v>
      </c>
      <c r="FH43" s="247">
        <f t="shared" si="107"/>
        <v>48</v>
      </c>
      <c r="FI43" s="247">
        <f t="shared" si="107"/>
        <v>48</v>
      </c>
      <c r="FJ43" s="247">
        <f t="shared" si="107"/>
        <v>48</v>
      </c>
      <c r="FK43" s="247">
        <f t="shared" si="107"/>
        <v>48</v>
      </c>
      <c r="FL43" s="247">
        <f t="shared" si="107"/>
        <v>48</v>
      </c>
      <c r="FM43" s="247">
        <f t="shared" si="107"/>
        <v>48</v>
      </c>
      <c r="FN43" s="247">
        <f t="shared" si="107"/>
        <v>48</v>
      </c>
      <c r="FO43" s="247">
        <f t="shared" si="107"/>
        <v>48</v>
      </c>
      <c r="FP43" s="247">
        <f t="shared" si="107"/>
        <v>42</v>
      </c>
      <c r="FQ43" s="247" t="str">
        <f t="shared" si="107"/>
        <v xml:space="preserve"> </v>
      </c>
      <c r="FR43" s="247" t="str">
        <f t="shared" si="107"/>
        <v xml:space="preserve"> </v>
      </c>
      <c r="FS43" s="247" t="str">
        <f t="shared" si="107"/>
        <v xml:space="preserve"> </v>
      </c>
      <c r="FT43" s="247" t="str">
        <f t="shared" si="105"/>
        <v xml:space="preserve"> </v>
      </c>
      <c r="FU43" s="247" t="str">
        <f t="shared" si="105"/>
        <v xml:space="preserve"> </v>
      </c>
      <c r="FV43" s="247">
        <f t="shared" si="105"/>
        <v>0</v>
      </c>
      <c r="FW43" s="248">
        <f t="shared" si="105"/>
        <v>10</v>
      </c>
      <c r="FX43" s="241">
        <f t="shared" si="105"/>
        <v>516</v>
      </c>
      <c r="FZ43" s="255">
        <v>43</v>
      </c>
      <c r="GA43" s="251">
        <v>516</v>
      </c>
      <c r="GB43" s="252">
        <v>48</v>
      </c>
      <c r="GC43" s="252">
        <v>60</v>
      </c>
      <c r="GD43" s="252">
        <v>60</v>
      </c>
      <c r="GE43" s="252">
        <v>60</v>
      </c>
      <c r="GF43" s="252">
        <v>60</v>
      </c>
      <c r="GG43" s="252">
        <v>60</v>
      </c>
      <c r="GH43" s="252">
        <v>60</v>
      </c>
      <c r="GI43" s="252">
        <v>60</v>
      </c>
      <c r="GJ43" s="252">
        <v>48</v>
      </c>
      <c r="GK43" s="252"/>
      <c r="GL43" s="252"/>
      <c r="GM43" s="252"/>
      <c r="GN43" s="252"/>
      <c r="GO43" s="252"/>
      <c r="GP43" s="252"/>
      <c r="GQ43" s="252"/>
      <c r="GR43" s="252"/>
      <c r="GS43" s="253">
        <v>8</v>
      </c>
      <c r="GT43" s="254">
        <f t="shared" si="14"/>
        <v>516</v>
      </c>
      <c r="GV43" s="237">
        <f t="shared" si="111"/>
        <v>43</v>
      </c>
      <c r="GW43" s="246">
        <f t="shared" si="111"/>
        <v>516</v>
      </c>
      <c r="GX43" s="247">
        <f t="shared" si="111"/>
        <v>48</v>
      </c>
      <c r="GY43" s="247">
        <f t="shared" si="111"/>
        <v>60</v>
      </c>
      <c r="GZ43" s="247">
        <f t="shared" si="111"/>
        <v>60</v>
      </c>
      <c r="HA43" s="247">
        <f t="shared" si="111"/>
        <v>60</v>
      </c>
      <c r="HB43" s="247">
        <f t="shared" si="111"/>
        <v>60</v>
      </c>
      <c r="HC43" s="247">
        <f t="shared" si="111"/>
        <v>60</v>
      </c>
      <c r="HD43" s="247">
        <f t="shared" si="111"/>
        <v>60</v>
      </c>
      <c r="HE43" s="247">
        <f t="shared" si="111"/>
        <v>60</v>
      </c>
      <c r="HF43" s="247">
        <f t="shared" si="111"/>
        <v>48</v>
      </c>
      <c r="HG43" s="247">
        <f t="shared" si="111"/>
        <v>0</v>
      </c>
      <c r="HH43" s="247">
        <f t="shared" si="111"/>
        <v>0</v>
      </c>
      <c r="HI43" s="247">
        <f t="shared" si="111"/>
        <v>0</v>
      </c>
      <c r="HJ43" s="247">
        <f t="shared" si="111"/>
        <v>0</v>
      </c>
      <c r="HK43" s="247">
        <f t="shared" si="111"/>
        <v>0</v>
      </c>
      <c r="HL43" s="247">
        <f t="shared" si="106"/>
        <v>0</v>
      </c>
      <c r="HM43" s="247">
        <f t="shared" si="10"/>
        <v>0</v>
      </c>
      <c r="HN43" s="247">
        <f t="shared" si="10"/>
        <v>0</v>
      </c>
      <c r="HO43" s="248">
        <f t="shared" si="10"/>
        <v>8</v>
      </c>
      <c r="HP43" s="241">
        <f t="shared" si="10"/>
        <v>516</v>
      </c>
      <c r="HR43" s="250">
        <v>43</v>
      </c>
      <c r="HS43" s="251">
        <v>516</v>
      </c>
      <c r="HT43" s="252">
        <v>42</v>
      </c>
      <c r="HU43" s="252">
        <v>72</v>
      </c>
      <c r="HV43" s="252">
        <v>72</v>
      </c>
      <c r="HW43" s="252">
        <v>72</v>
      </c>
      <c r="HX43" s="252">
        <v>72</v>
      </c>
      <c r="HY43" s="252">
        <v>72</v>
      </c>
      <c r="HZ43" s="252">
        <v>72</v>
      </c>
      <c r="IA43" s="252">
        <v>42</v>
      </c>
      <c r="IB43" s="252"/>
      <c r="IC43" s="252"/>
      <c r="ID43" s="252"/>
      <c r="IE43" s="252"/>
      <c r="IF43" s="252"/>
      <c r="IG43" s="252"/>
      <c r="IH43" s="252"/>
      <c r="II43" s="252"/>
      <c r="IJ43" s="252"/>
      <c r="IK43" s="253">
        <v>7</v>
      </c>
      <c r="IL43" s="254">
        <f t="shared" si="16"/>
        <v>516</v>
      </c>
      <c r="IN43" s="250">
        <v>43</v>
      </c>
      <c r="IO43" s="251">
        <v>516</v>
      </c>
      <c r="IP43" s="252">
        <v>48</v>
      </c>
      <c r="IQ43" s="252">
        <v>84</v>
      </c>
      <c r="IR43" s="252">
        <v>84</v>
      </c>
      <c r="IS43" s="252">
        <v>84</v>
      </c>
      <c r="IT43" s="252">
        <v>84</v>
      </c>
      <c r="IU43" s="252">
        <v>84</v>
      </c>
      <c r="IV43" s="252">
        <v>48</v>
      </c>
      <c r="IW43" s="252"/>
      <c r="IX43" s="252"/>
      <c r="IY43" s="252"/>
      <c r="IZ43" s="252"/>
      <c r="JA43" s="252"/>
      <c r="JB43" s="252"/>
      <c r="JC43" s="252"/>
      <c r="JD43" s="252"/>
      <c r="JE43" s="252"/>
      <c r="JF43" s="252"/>
      <c r="JG43" s="253">
        <v>6</v>
      </c>
      <c r="JH43" s="254">
        <f t="shared" si="17"/>
        <v>516</v>
      </c>
      <c r="JJ43" s="255">
        <v>43</v>
      </c>
      <c r="JK43" s="251">
        <v>516</v>
      </c>
      <c r="JL43" s="252">
        <v>66</v>
      </c>
      <c r="JM43" s="252">
        <v>96</v>
      </c>
      <c r="JN43" s="252">
        <v>96</v>
      </c>
      <c r="JO43" s="252">
        <v>96</v>
      </c>
      <c r="JP43" s="252">
        <v>96</v>
      </c>
      <c r="JQ43" s="252">
        <v>66</v>
      </c>
      <c r="JR43" s="252"/>
      <c r="JS43" s="252"/>
      <c r="JT43" s="252"/>
      <c r="JU43" s="252"/>
      <c r="JV43" s="252"/>
      <c r="JW43" s="252"/>
      <c r="JX43" s="252"/>
      <c r="JY43" s="252"/>
      <c r="JZ43" s="252"/>
      <c r="KA43" s="252"/>
      <c r="KB43" s="252"/>
      <c r="KC43" s="253">
        <v>5</v>
      </c>
      <c r="KD43" s="254">
        <f t="shared" si="18"/>
        <v>516</v>
      </c>
      <c r="KF43" s="250">
        <v>43</v>
      </c>
      <c r="KG43" s="251">
        <v>516</v>
      </c>
      <c r="KH43" s="252">
        <v>42</v>
      </c>
      <c r="KI43" s="252">
        <v>54</v>
      </c>
      <c r="KJ43" s="252">
        <v>54</v>
      </c>
      <c r="KK43" s="252">
        <v>54</v>
      </c>
      <c r="KL43" s="252">
        <v>54</v>
      </c>
      <c r="KM43" s="252">
        <v>54</v>
      </c>
      <c r="KN43" s="252">
        <v>54</v>
      </c>
      <c r="KO43" s="252">
        <v>54</v>
      </c>
      <c r="KP43" s="252">
        <v>54</v>
      </c>
      <c r="KQ43" s="252">
        <v>42</v>
      </c>
      <c r="KR43" s="252"/>
      <c r="KS43" s="252"/>
      <c r="KT43" s="252"/>
      <c r="KU43" s="252"/>
      <c r="KV43" s="252"/>
      <c r="KW43" s="252"/>
      <c r="KX43" s="252"/>
      <c r="KY43" s="253">
        <v>9</v>
      </c>
      <c r="KZ43" s="254">
        <f t="shared" si="19"/>
        <v>516</v>
      </c>
      <c r="LB43" s="237">
        <f t="shared" si="20"/>
        <v>43</v>
      </c>
      <c r="LC43" s="284">
        <f t="shared" si="21"/>
        <v>516</v>
      </c>
      <c r="LD43" s="237">
        <f t="shared" si="22"/>
        <v>42</v>
      </c>
      <c r="LE43" s="237">
        <f t="shared" si="23"/>
        <v>54</v>
      </c>
      <c r="LF43" s="237">
        <f t="shared" si="24"/>
        <v>54</v>
      </c>
      <c r="LG43" s="237">
        <f t="shared" si="25"/>
        <v>54</v>
      </c>
      <c r="LH43" s="237">
        <f t="shared" si="26"/>
        <v>54</v>
      </c>
      <c r="LI43" s="237">
        <f t="shared" si="27"/>
        <v>54</v>
      </c>
      <c r="LJ43" s="237">
        <f t="shared" si="28"/>
        <v>54</v>
      </c>
      <c r="LK43" s="237">
        <f t="shared" si="29"/>
        <v>54</v>
      </c>
      <c r="LL43" s="237">
        <f t="shared" si="30"/>
        <v>54</v>
      </c>
      <c r="LM43" s="237">
        <f t="shared" si="31"/>
        <v>42</v>
      </c>
      <c r="LN43" s="237">
        <f t="shared" si="32"/>
        <v>0</v>
      </c>
      <c r="LO43" s="237">
        <f t="shared" si="33"/>
        <v>0</v>
      </c>
      <c r="LP43" s="237">
        <f t="shared" si="34"/>
        <v>0</v>
      </c>
      <c r="LQ43" s="237">
        <f t="shared" si="35"/>
        <v>0</v>
      </c>
      <c r="LR43" s="237">
        <f t="shared" si="36"/>
        <v>0</v>
      </c>
      <c r="LS43" s="237">
        <f t="shared" si="37"/>
        <v>0</v>
      </c>
      <c r="LT43" s="237">
        <f t="shared" si="38"/>
        <v>0</v>
      </c>
      <c r="LU43" s="285">
        <f t="shared" si="39"/>
        <v>9</v>
      </c>
      <c r="LV43" s="280">
        <f t="shared" si="40"/>
        <v>516</v>
      </c>
      <c r="LX43" s="237">
        <f t="shared" si="41"/>
        <v>43</v>
      </c>
      <c r="LY43" s="284">
        <f t="shared" si="42"/>
        <v>516</v>
      </c>
      <c r="LZ43" s="237">
        <f t="shared" si="43"/>
        <v>42</v>
      </c>
      <c r="MA43" s="237">
        <f t="shared" si="44"/>
        <v>54</v>
      </c>
      <c r="MB43" s="237">
        <f t="shared" si="45"/>
        <v>54</v>
      </c>
      <c r="MC43" s="237">
        <f t="shared" si="46"/>
        <v>54</v>
      </c>
      <c r="MD43" s="237">
        <f t="shared" si="47"/>
        <v>54</v>
      </c>
      <c r="ME43" s="237">
        <f t="shared" si="48"/>
        <v>54</v>
      </c>
      <c r="MF43" s="237">
        <f t="shared" si="49"/>
        <v>54</v>
      </c>
      <c r="MG43" s="237">
        <f t="shared" si="50"/>
        <v>54</v>
      </c>
      <c r="MH43" s="237">
        <f t="shared" si="51"/>
        <v>54</v>
      </c>
      <c r="MI43" s="237">
        <f t="shared" si="52"/>
        <v>42</v>
      </c>
      <c r="MJ43" s="237">
        <f t="shared" si="53"/>
        <v>0</v>
      </c>
      <c r="MK43" s="237">
        <f t="shared" si="54"/>
        <v>0</v>
      </c>
      <c r="ML43" s="237">
        <f t="shared" si="55"/>
        <v>0</v>
      </c>
      <c r="MM43" s="237">
        <f t="shared" si="56"/>
        <v>0</v>
      </c>
      <c r="MN43" s="237">
        <f t="shared" si="57"/>
        <v>0</v>
      </c>
      <c r="MO43" s="237">
        <f t="shared" si="58"/>
        <v>0</v>
      </c>
      <c r="MP43" s="237">
        <f t="shared" si="59"/>
        <v>0</v>
      </c>
      <c r="MQ43" s="285">
        <f t="shared" si="60"/>
        <v>9</v>
      </c>
      <c r="MR43" s="280">
        <f t="shared" si="61"/>
        <v>516</v>
      </c>
      <c r="MT43" s="237">
        <f t="shared" si="62"/>
        <v>43</v>
      </c>
      <c r="MU43" s="284">
        <f t="shared" si="63"/>
        <v>516</v>
      </c>
      <c r="MV43" s="237">
        <f t="shared" si="64"/>
        <v>42</v>
      </c>
      <c r="MW43" s="237">
        <f t="shared" si="65"/>
        <v>54</v>
      </c>
      <c r="MX43" s="237">
        <f t="shared" si="66"/>
        <v>54</v>
      </c>
      <c r="MY43" s="237">
        <f t="shared" si="67"/>
        <v>54</v>
      </c>
      <c r="MZ43" s="237">
        <f t="shared" si="68"/>
        <v>54</v>
      </c>
      <c r="NA43" s="237">
        <f t="shared" si="69"/>
        <v>54</v>
      </c>
      <c r="NB43" s="237">
        <f t="shared" si="70"/>
        <v>54</v>
      </c>
      <c r="NC43" s="237">
        <f t="shared" si="71"/>
        <v>54</v>
      </c>
      <c r="ND43" s="237">
        <f t="shared" si="72"/>
        <v>54</v>
      </c>
      <c r="NE43" s="237">
        <f t="shared" si="73"/>
        <v>42</v>
      </c>
      <c r="NF43" s="237">
        <f t="shared" si="74"/>
        <v>0</v>
      </c>
      <c r="NG43" s="237">
        <f t="shared" si="75"/>
        <v>0</v>
      </c>
      <c r="NH43" s="237">
        <f t="shared" si="76"/>
        <v>0</v>
      </c>
      <c r="NI43" s="237">
        <f t="shared" si="77"/>
        <v>0</v>
      </c>
      <c r="NJ43" s="237">
        <f t="shared" si="78"/>
        <v>0</v>
      </c>
      <c r="NK43" s="237">
        <f t="shared" si="79"/>
        <v>0</v>
      </c>
      <c r="NL43" s="237">
        <f t="shared" si="80"/>
        <v>0</v>
      </c>
      <c r="NM43" s="285">
        <f t="shared" si="81"/>
        <v>9</v>
      </c>
      <c r="NN43" s="280">
        <f t="shared" si="82"/>
        <v>516</v>
      </c>
      <c r="NP43" s="237">
        <f t="shared" si="83"/>
        <v>43</v>
      </c>
      <c r="NQ43" s="284">
        <f t="shared" si="84"/>
        <v>516</v>
      </c>
      <c r="NR43" s="237">
        <f t="shared" si="85"/>
        <v>42</v>
      </c>
      <c r="NS43" s="237">
        <f t="shared" si="86"/>
        <v>54</v>
      </c>
      <c r="NT43" s="237">
        <f t="shared" si="87"/>
        <v>54</v>
      </c>
      <c r="NU43" s="237">
        <f t="shared" si="88"/>
        <v>54</v>
      </c>
      <c r="NV43" s="237">
        <f t="shared" si="89"/>
        <v>54</v>
      </c>
      <c r="NW43" s="237">
        <f t="shared" si="90"/>
        <v>54</v>
      </c>
      <c r="NX43" s="237">
        <f t="shared" si="91"/>
        <v>54</v>
      </c>
      <c r="NY43" s="237">
        <f t="shared" si="92"/>
        <v>54</v>
      </c>
      <c r="NZ43" s="237">
        <f t="shared" si="93"/>
        <v>54</v>
      </c>
      <c r="OA43" s="237">
        <f t="shared" si="94"/>
        <v>42</v>
      </c>
      <c r="OB43" s="237">
        <f t="shared" si="95"/>
        <v>0</v>
      </c>
      <c r="OC43" s="237">
        <f t="shared" si="96"/>
        <v>0</v>
      </c>
      <c r="OD43" s="237">
        <f t="shared" si="97"/>
        <v>0</v>
      </c>
      <c r="OE43" s="237">
        <f t="shared" si="98"/>
        <v>0</v>
      </c>
      <c r="OF43" s="237">
        <f t="shared" si="99"/>
        <v>0</v>
      </c>
      <c r="OG43" s="237">
        <f t="shared" si="100"/>
        <v>0</v>
      </c>
      <c r="OH43" s="237">
        <f t="shared" si="101"/>
        <v>0</v>
      </c>
      <c r="OI43" s="285">
        <f t="shared" si="102"/>
        <v>9</v>
      </c>
      <c r="OJ43" s="280">
        <f t="shared" si="103"/>
        <v>516</v>
      </c>
    </row>
    <row r="44" spans="12:400" x14ac:dyDescent="0.3">
      <c r="AE44" s="127" t="str">
        <f t="shared" si="109"/>
        <v>L3x3x0.25</v>
      </c>
      <c r="AF44" s="138">
        <v>3.0000000000000004</v>
      </c>
      <c r="AG44" s="138">
        <v>3.0000000000000004</v>
      </c>
      <c r="AH44" s="138">
        <v>0.25</v>
      </c>
      <c r="AI44" s="138">
        <v>0.3125</v>
      </c>
      <c r="AJ44" s="138">
        <v>0.25</v>
      </c>
      <c r="AK44">
        <f t="shared" si="110"/>
        <v>2.0000000000000001E-4</v>
      </c>
      <c r="AL44" t="s">
        <v>110</v>
      </c>
      <c r="AM44" s="133" t="s">
        <v>85</v>
      </c>
      <c r="BD44" s="143" t="str">
        <f t="shared" si="4"/>
        <v>W12x14</v>
      </c>
      <c r="BE44">
        <v>12.000000000000002</v>
      </c>
      <c r="BF44" s="138">
        <v>14</v>
      </c>
      <c r="BG44" s="138">
        <v>11.91</v>
      </c>
      <c r="BH44" s="138">
        <v>0.2</v>
      </c>
      <c r="BI44" s="138">
        <v>3.97</v>
      </c>
      <c r="BJ44" s="138">
        <v>0.22499999999999998</v>
      </c>
      <c r="BK44" s="138">
        <v>0.3</v>
      </c>
      <c r="BM44" s="133" t="s">
        <v>85</v>
      </c>
      <c r="CF44" s="150" t="s">
        <v>313</v>
      </c>
      <c r="CG44">
        <v>1.125</v>
      </c>
      <c r="CH44">
        <v>9.75</v>
      </c>
      <c r="CI44" s="151" t="s">
        <v>261</v>
      </c>
      <c r="EH44" s="243">
        <v>44</v>
      </c>
      <c r="EI44" s="244">
        <v>528</v>
      </c>
      <c r="EJ44" s="90">
        <v>48</v>
      </c>
      <c r="EK44" s="90">
        <v>48</v>
      </c>
      <c r="EL44" s="90">
        <v>48</v>
      </c>
      <c r="EM44" s="90">
        <v>48</v>
      </c>
      <c r="EN44" s="90">
        <v>48</v>
      </c>
      <c r="EO44" s="90">
        <v>48</v>
      </c>
      <c r="EP44" s="90">
        <v>48</v>
      </c>
      <c r="EQ44" s="90">
        <v>48</v>
      </c>
      <c r="ER44" s="90">
        <v>48</v>
      </c>
      <c r="ES44" s="90">
        <v>48</v>
      </c>
      <c r="ET44" s="90">
        <v>48</v>
      </c>
      <c r="EU44" s="90" t="s">
        <v>1137</v>
      </c>
      <c r="EV44" s="90" t="s">
        <v>1137</v>
      </c>
      <c r="EW44" s="90" t="s">
        <v>1137</v>
      </c>
      <c r="EX44" s="90" t="s">
        <v>1137</v>
      </c>
      <c r="EY44" s="90" t="s">
        <v>1137</v>
      </c>
      <c r="EZ44" s="90"/>
      <c r="FA44" s="224">
        <v>10</v>
      </c>
      <c r="FB44" s="245">
        <f t="shared" si="12"/>
        <v>528</v>
      </c>
      <c r="FD44" s="237">
        <f t="shared" si="108"/>
        <v>44</v>
      </c>
      <c r="FE44" s="246">
        <f t="shared" si="108"/>
        <v>528</v>
      </c>
      <c r="FF44" s="247">
        <f t="shared" si="108"/>
        <v>48</v>
      </c>
      <c r="FG44" s="247">
        <f t="shared" si="107"/>
        <v>48</v>
      </c>
      <c r="FH44" s="247">
        <f t="shared" si="107"/>
        <v>48</v>
      </c>
      <c r="FI44" s="247">
        <f t="shared" si="107"/>
        <v>48</v>
      </c>
      <c r="FJ44" s="247">
        <f t="shared" si="107"/>
        <v>48</v>
      </c>
      <c r="FK44" s="247">
        <f t="shared" si="107"/>
        <v>48</v>
      </c>
      <c r="FL44" s="247">
        <f t="shared" si="107"/>
        <v>48</v>
      </c>
      <c r="FM44" s="247">
        <f t="shared" si="107"/>
        <v>48</v>
      </c>
      <c r="FN44" s="247">
        <f t="shared" si="107"/>
        <v>48</v>
      </c>
      <c r="FO44" s="247">
        <f t="shared" si="107"/>
        <v>48</v>
      </c>
      <c r="FP44" s="247">
        <f t="shared" si="107"/>
        <v>48</v>
      </c>
      <c r="FQ44" s="247" t="str">
        <f t="shared" si="107"/>
        <v xml:space="preserve"> </v>
      </c>
      <c r="FR44" s="247" t="str">
        <f t="shared" si="107"/>
        <v xml:space="preserve"> </v>
      </c>
      <c r="FS44" s="247" t="str">
        <f t="shared" si="107"/>
        <v xml:space="preserve"> </v>
      </c>
      <c r="FT44" s="247" t="str">
        <f t="shared" si="105"/>
        <v xml:space="preserve"> </v>
      </c>
      <c r="FU44" s="247" t="str">
        <f t="shared" si="105"/>
        <v xml:space="preserve"> </v>
      </c>
      <c r="FV44" s="247">
        <f t="shared" si="105"/>
        <v>0</v>
      </c>
      <c r="FW44" s="248">
        <f t="shared" si="105"/>
        <v>10</v>
      </c>
      <c r="FX44" s="241">
        <f t="shared" si="105"/>
        <v>528</v>
      </c>
      <c r="FZ44" s="249">
        <v>44</v>
      </c>
      <c r="GA44" s="244">
        <v>528</v>
      </c>
      <c r="GB44" s="90">
        <v>54</v>
      </c>
      <c r="GC44" s="90">
        <v>60</v>
      </c>
      <c r="GD44" s="90">
        <v>60</v>
      </c>
      <c r="GE44" s="90">
        <v>60</v>
      </c>
      <c r="GF44" s="90">
        <v>60</v>
      </c>
      <c r="GG44" s="90">
        <v>60</v>
      </c>
      <c r="GH44" s="90">
        <v>60</v>
      </c>
      <c r="GI44" s="90">
        <v>60</v>
      </c>
      <c r="GJ44" s="90">
        <v>54</v>
      </c>
      <c r="GK44" s="90"/>
      <c r="GL44" s="90"/>
      <c r="GM44" s="90"/>
      <c r="GN44" s="90"/>
      <c r="GO44" s="90"/>
      <c r="GP44" s="90"/>
      <c r="GQ44" s="90"/>
      <c r="GR44" s="90"/>
      <c r="GS44" s="224">
        <v>8</v>
      </c>
      <c r="GT44" s="245">
        <f t="shared" si="14"/>
        <v>528</v>
      </c>
      <c r="GV44" s="237">
        <f t="shared" si="111"/>
        <v>44</v>
      </c>
      <c r="GW44" s="246">
        <f t="shared" si="111"/>
        <v>528</v>
      </c>
      <c r="GX44" s="247">
        <f t="shared" si="111"/>
        <v>54</v>
      </c>
      <c r="GY44" s="247">
        <f t="shared" si="111"/>
        <v>60</v>
      </c>
      <c r="GZ44" s="247">
        <f t="shared" si="111"/>
        <v>60</v>
      </c>
      <c r="HA44" s="247">
        <f t="shared" si="111"/>
        <v>60</v>
      </c>
      <c r="HB44" s="247">
        <f t="shared" si="111"/>
        <v>60</v>
      </c>
      <c r="HC44" s="247">
        <f t="shared" si="111"/>
        <v>60</v>
      </c>
      <c r="HD44" s="247">
        <f t="shared" si="111"/>
        <v>60</v>
      </c>
      <c r="HE44" s="247">
        <f t="shared" si="111"/>
        <v>60</v>
      </c>
      <c r="HF44" s="247">
        <f t="shared" si="111"/>
        <v>54</v>
      </c>
      <c r="HG44" s="247">
        <f t="shared" si="111"/>
        <v>0</v>
      </c>
      <c r="HH44" s="247">
        <f t="shared" si="111"/>
        <v>0</v>
      </c>
      <c r="HI44" s="247">
        <f t="shared" si="111"/>
        <v>0</v>
      </c>
      <c r="HJ44" s="247">
        <f t="shared" si="111"/>
        <v>0</v>
      </c>
      <c r="HK44" s="247">
        <f t="shared" si="111"/>
        <v>0</v>
      </c>
      <c r="HL44" s="247">
        <f t="shared" si="106"/>
        <v>0</v>
      </c>
      <c r="HM44" s="247">
        <f t="shared" si="10"/>
        <v>0</v>
      </c>
      <c r="HN44" s="247">
        <f t="shared" si="10"/>
        <v>0</v>
      </c>
      <c r="HO44" s="248">
        <f t="shared" si="10"/>
        <v>8</v>
      </c>
      <c r="HP44" s="241">
        <f t="shared" si="10"/>
        <v>528</v>
      </c>
      <c r="HR44" s="243">
        <v>44</v>
      </c>
      <c r="HS44" s="244">
        <v>528</v>
      </c>
      <c r="HT44" s="90">
        <v>48</v>
      </c>
      <c r="HU44" s="90">
        <v>72</v>
      </c>
      <c r="HV44" s="90">
        <v>72</v>
      </c>
      <c r="HW44" s="90">
        <v>72</v>
      </c>
      <c r="HX44" s="90">
        <v>72</v>
      </c>
      <c r="HY44" s="90">
        <v>72</v>
      </c>
      <c r="HZ44" s="90">
        <v>72</v>
      </c>
      <c r="IA44" s="90">
        <v>48</v>
      </c>
      <c r="IB44" s="90"/>
      <c r="IC44" s="90"/>
      <c r="ID44" s="90"/>
      <c r="IE44" s="90"/>
      <c r="IF44" s="90"/>
      <c r="IG44" s="90"/>
      <c r="IH44" s="90"/>
      <c r="II44" s="90"/>
      <c r="IJ44" s="90"/>
      <c r="IK44" s="224">
        <v>7</v>
      </c>
      <c r="IL44" s="245">
        <f t="shared" si="16"/>
        <v>528</v>
      </c>
      <c r="IN44" s="243">
        <v>44</v>
      </c>
      <c r="IO44" s="244">
        <v>528</v>
      </c>
      <c r="IP44" s="90">
        <v>54</v>
      </c>
      <c r="IQ44" s="90">
        <v>84</v>
      </c>
      <c r="IR44" s="90">
        <v>84</v>
      </c>
      <c r="IS44" s="90">
        <v>84</v>
      </c>
      <c r="IT44" s="90">
        <v>84</v>
      </c>
      <c r="IU44" s="90">
        <v>84</v>
      </c>
      <c r="IV44" s="90">
        <v>54</v>
      </c>
      <c r="IW44" s="90"/>
      <c r="IX44" s="90"/>
      <c r="IY44" s="90"/>
      <c r="IZ44" s="90"/>
      <c r="JA44" s="90"/>
      <c r="JB44" s="90"/>
      <c r="JC44" s="90"/>
      <c r="JD44" s="90"/>
      <c r="JE44" s="90"/>
      <c r="JF44" s="90"/>
      <c r="JG44" s="224">
        <v>6</v>
      </c>
      <c r="JH44" s="245">
        <f t="shared" si="17"/>
        <v>528</v>
      </c>
      <c r="JJ44" s="249">
        <v>44</v>
      </c>
      <c r="JK44" s="244">
        <v>528</v>
      </c>
      <c r="JL44" s="90">
        <v>72</v>
      </c>
      <c r="JM44" s="90">
        <v>96</v>
      </c>
      <c r="JN44" s="90">
        <v>96</v>
      </c>
      <c r="JO44" s="90">
        <v>96</v>
      </c>
      <c r="JP44" s="90">
        <v>96</v>
      </c>
      <c r="JQ44" s="90">
        <v>72</v>
      </c>
      <c r="JR44" s="90"/>
      <c r="JS44" s="90"/>
      <c r="JT44" s="90"/>
      <c r="JU44" s="90"/>
      <c r="JV44" s="90"/>
      <c r="JW44" s="90"/>
      <c r="JX44" s="90"/>
      <c r="JY44" s="90"/>
      <c r="JZ44" s="90"/>
      <c r="KA44" s="90"/>
      <c r="KB44" s="90"/>
      <c r="KC44" s="224">
        <v>5</v>
      </c>
      <c r="KD44" s="245">
        <f t="shared" si="18"/>
        <v>528</v>
      </c>
      <c r="KF44" s="243">
        <v>44</v>
      </c>
      <c r="KG44" s="244">
        <v>528</v>
      </c>
      <c r="KH44" s="90">
        <v>48</v>
      </c>
      <c r="KI44" s="90">
        <v>54</v>
      </c>
      <c r="KJ44" s="90">
        <v>54</v>
      </c>
      <c r="KK44" s="90">
        <v>54</v>
      </c>
      <c r="KL44" s="90">
        <v>54</v>
      </c>
      <c r="KM44" s="90">
        <v>54</v>
      </c>
      <c r="KN44" s="90">
        <v>54</v>
      </c>
      <c r="KO44" s="90">
        <v>54</v>
      </c>
      <c r="KP44" s="90">
        <v>54</v>
      </c>
      <c r="KQ44" s="90">
        <v>48</v>
      </c>
      <c r="KR44" s="90"/>
      <c r="KS44" s="90"/>
      <c r="KT44" s="90"/>
      <c r="KU44" s="90"/>
      <c r="KV44" s="90"/>
      <c r="KW44" s="90"/>
      <c r="KX44" s="90"/>
      <c r="KY44" s="224">
        <v>9</v>
      </c>
      <c r="KZ44" s="245">
        <f t="shared" si="19"/>
        <v>528</v>
      </c>
      <c r="LB44" s="237">
        <f t="shared" si="20"/>
        <v>44</v>
      </c>
      <c r="LC44" s="284">
        <f t="shared" si="21"/>
        <v>528</v>
      </c>
      <c r="LD44" s="237">
        <f t="shared" si="22"/>
        <v>48</v>
      </c>
      <c r="LE44" s="237">
        <f t="shared" si="23"/>
        <v>54</v>
      </c>
      <c r="LF44" s="237">
        <f t="shared" si="24"/>
        <v>54</v>
      </c>
      <c r="LG44" s="237">
        <f t="shared" si="25"/>
        <v>54</v>
      </c>
      <c r="LH44" s="237">
        <f t="shared" si="26"/>
        <v>54</v>
      </c>
      <c r="LI44" s="237">
        <f t="shared" si="27"/>
        <v>54</v>
      </c>
      <c r="LJ44" s="237">
        <f t="shared" si="28"/>
        <v>54</v>
      </c>
      <c r="LK44" s="237">
        <f t="shared" si="29"/>
        <v>54</v>
      </c>
      <c r="LL44" s="237">
        <f t="shared" si="30"/>
        <v>54</v>
      </c>
      <c r="LM44" s="237">
        <f t="shared" si="31"/>
        <v>48</v>
      </c>
      <c r="LN44" s="237">
        <f t="shared" si="32"/>
        <v>0</v>
      </c>
      <c r="LO44" s="237">
        <f t="shared" si="33"/>
        <v>0</v>
      </c>
      <c r="LP44" s="237">
        <f t="shared" si="34"/>
        <v>0</v>
      </c>
      <c r="LQ44" s="237">
        <f t="shared" si="35"/>
        <v>0</v>
      </c>
      <c r="LR44" s="237">
        <f t="shared" si="36"/>
        <v>0</v>
      </c>
      <c r="LS44" s="237">
        <f t="shared" si="37"/>
        <v>0</v>
      </c>
      <c r="LT44" s="237">
        <f t="shared" si="38"/>
        <v>0</v>
      </c>
      <c r="LU44" s="285">
        <f t="shared" si="39"/>
        <v>9</v>
      </c>
      <c r="LV44" s="280">
        <f t="shared" si="40"/>
        <v>528</v>
      </c>
      <c r="LX44" s="237">
        <f t="shared" si="41"/>
        <v>44</v>
      </c>
      <c r="LY44" s="284">
        <f t="shared" si="42"/>
        <v>528</v>
      </c>
      <c r="LZ44" s="237">
        <f t="shared" si="43"/>
        <v>48</v>
      </c>
      <c r="MA44" s="237">
        <f t="shared" si="44"/>
        <v>54</v>
      </c>
      <c r="MB44" s="237">
        <f t="shared" si="45"/>
        <v>54</v>
      </c>
      <c r="MC44" s="237">
        <f t="shared" si="46"/>
        <v>54</v>
      </c>
      <c r="MD44" s="237">
        <f t="shared" si="47"/>
        <v>54</v>
      </c>
      <c r="ME44" s="237">
        <f t="shared" si="48"/>
        <v>54</v>
      </c>
      <c r="MF44" s="237">
        <f t="shared" si="49"/>
        <v>54</v>
      </c>
      <c r="MG44" s="237">
        <f t="shared" si="50"/>
        <v>54</v>
      </c>
      <c r="MH44" s="237">
        <f t="shared" si="51"/>
        <v>54</v>
      </c>
      <c r="MI44" s="237">
        <f t="shared" si="52"/>
        <v>48</v>
      </c>
      <c r="MJ44" s="237">
        <f t="shared" si="53"/>
        <v>0</v>
      </c>
      <c r="MK44" s="237">
        <f t="shared" si="54"/>
        <v>0</v>
      </c>
      <c r="ML44" s="237">
        <f t="shared" si="55"/>
        <v>0</v>
      </c>
      <c r="MM44" s="237">
        <f t="shared" si="56"/>
        <v>0</v>
      </c>
      <c r="MN44" s="237">
        <f t="shared" si="57"/>
        <v>0</v>
      </c>
      <c r="MO44" s="237">
        <f t="shared" si="58"/>
        <v>0</v>
      </c>
      <c r="MP44" s="237">
        <f t="shared" si="59"/>
        <v>0</v>
      </c>
      <c r="MQ44" s="285">
        <f t="shared" si="60"/>
        <v>9</v>
      </c>
      <c r="MR44" s="280">
        <f t="shared" si="61"/>
        <v>528</v>
      </c>
      <c r="MT44" s="237">
        <f t="shared" si="62"/>
        <v>44</v>
      </c>
      <c r="MU44" s="284">
        <f t="shared" si="63"/>
        <v>528</v>
      </c>
      <c r="MV44" s="237">
        <f t="shared" si="64"/>
        <v>48</v>
      </c>
      <c r="MW44" s="237">
        <f t="shared" si="65"/>
        <v>54</v>
      </c>
      <c r="MX44" s="237">
        <f t="shared" si="66"/>
        <v>54</v>
      </c>
      <c r="MY44" s="237">
        <f t="shared" si="67"/>
        <v>54</v>
      </c>
      <c r="MZ44" s="237">
        <f t="shared" si="68"/>
        <v>54</v>
      </c>
      <c r="NA44" s="237">
        <f t="shared" si="69"/>
        <v>54</v>
      </c>
      <c r="NB44" s="237">
        <f t="shared" si="70"/>
        <v>54</v>
      </c>
      <c r="NC44" s="237">
        <f t="shared" si="71"/>
        <v>54</v>
      </c>
      <c r="ND44" s="237">
        <f t="shared" si="72"/>
        <v>54</v>
      </c>
      <c r="NE44" s="237">
        <f t="shared" si="73"/>
        <v>48</v>
      </c>
      <c r="NF44" s="237">
        <f t="shared" si="74"/>
        <v>0</v>
      </c>
      <c r="NG44" s="237">
        <f t="shared" si="75"/>
        <v>0</v>
      </c>
      <c r="NH44" s="237">
        <f t="shared" si="76"/>
        <v>0</v>
      </c>
      <c r="NI44" s="237">
        <f t="shared" si="77"/>
        <v>0</v>
      </c>
      <c r="NJ44" s="237">
        <f t="shared" si="78"/>
        <v>0</v>
      </c>
      <c r="NK44" s="237">
        <f t="shared" si="79"/>
        <v>0</v>
      </c>
      <c r="NL44" s="237">
        <f t="shared" si="80"/>
        <v>0</v>
      </c>
      <c r="NM44" s="285">
        <f t="shared" si="81"/>
        <v>9</v>
      </c>
      <c r="NN44" s="280">
        <f t="shared" si="82"/>
        <v>528</v>
      </c>
      <c r="NP44" s="237">
        <f t="shared" si="83"/>
        <v>44</v>
      </c>
      <c r="NQ44" s="284">
        <f t="shared" si="84"/>
        <v>528</v>
      </c>
      <c r="NR44" s="237">
        <f t="shared" si="85"/>
        <v>48</v>
      </c>
      <c r="NS44" s="237">
        <f t="shared" si="86"/>
        <v>54</v>
      </c>
      <c r="NT44" s="237">
        <f t="shared" si="87"/>
        <v>54</v>
      </c>
      <c r="NU44" s="237">
        <f t="shared" si="88"/>
        <v>54</v>
      </c>
      <c r="NV44" s="237">
        <f t="shared" si="89"/>
        <v>54</v>
      </c>
      <c r="NW44" s="237">
        <f t="shared" si="90"/>
        <v>54</v>
      </c>
      <c r="NX44" s="237">
        <f t="shared" si="91"/>
        <v>54</v>
      </c>
      <c r="NY44" s="237">
        <f t="shared" si="92"/>
        <v>54</v>
      </c>
      <c r="NZ44" s="237">
        <f t="shared" si="93"/>
        <v>54</v>
      </c>
      <c r="OA44" s="237">
        <f t="shared" si="94"/>
        <v>48</v>
      </c>
      <c r="OB44" s="237">
        <f t="shared" si="95"/>
        <v>0</v>
      </c>
      <c r="OC44" s="237">
        <f t="shared" si="96"/>
        <v>0</v>
      </c>
      <c r="OD44" s="237">
        <f t="shared" si="97"/>
        <v>0</v>
      </c>
      <c r="OE44" s="237">
        <f t="shared" si="98"/>
        <v>0</v>
      </c>
      <c r="OF44" s="237">
        <f t="shared" si="99"/>
        <v>0</v>
      </c>
      <c r="OG44" s="237">
        <f t="shared" si="100"/>
        <v>0</v>
      </c>
      <c r="OH44" s="237">
        <f t="shared" si="101"/>
        <v>0</v>
      </c>
      <c r="OI44" s="285">
        <f t="shared" si="102"/>
        <v>9</v>
      </c>
      <c r="OJ44" s="280">
        <f t="shared" si="103"/>
        <v>528</v>
      </c>
    </row>
    <row r="45" spans="12:400" x14ac:dyDescent="0.3">
      <c r="AE45" s="127" t="str">
        <f t="shared" si="109"/>
        <v>L3x3x0.3125</v>
      </c>
      <c r="AF45" s="138">
        <v>3.0000000000000004</v>
      </c>
      <c r="AG45" s="138">
        <v>3.0000000000000004</v>
      </c>
      <c r="AH45" s="138">
        <v>0.3125</v>
      </c>
      <c r="AI45" s="138">
        <v>0.3125</v>
      </c>
      <c r="AJ45" s="138">
        <v>0.3125</v>
      </c>
      <c r="AK45">
        <f t="shared" si="110"/>
        <v>2.0000000000000001E-4</v>
      </c>
      <c r="AM45" s="133" t="s">
        <v>85</v>
      </c>
      <c r="BD45" s="143" t="str">
        <f t="shared" si="4"/>
        <v>W12x16</v>
      </c>
      <c r="BE45">
        <v>12.000000000000002</v>
      </c>
      <c r="BF45" s="138">
        <v>16</v>
      </c>
      <c r="BG45" s="138">
        <v>11.99</v>
      </c>
      <c r="BH45" s="138">
        <v>0.22</v>
      </c>
      <c r="BI45" s="138">
        <v>3.99</v>
      </c>
      <c r="BJ45" s="138">
        <v>0.26500000000000001</v>
      </c>
      <c r="BK45" s="138">
        <v>0.3</v>
      </c>
      <c r="BM45" s="133" t="s">
        <v>85</v>
      </c>
      <c r="CF45" s="150" t="s">
        <v>314</v>
      </c>
      <c r="CG45">
        <v>1.125</v>
      </c>
      <c r="CH45">
        <v>9.75</v>
      </c>
      <c r="CI45" s="151" t="s">
        <v>261</v>
      </c>
      <c r="EH45" s="232">
        <v>45</v>
      </c>
      <c r="EI45" s="256">
        <v>540</v>
      </c>
      <c r="EJ45" s="257">
        <v>30</v>
      </c>
      <c r="EK45" s="257">
        <v>48</v>
      </c>
      <c r="EL45" s="257">
        <v>48</v>
      </c>
      <c r="EM45" s="257">
        <v>48</v>
      </c>
      <c r="EN45" s="257">
        <v>48</v>
      </c>
      <c r="EO45" s="257">
        <v>48</v>
      </c>
      <c r="EP45" s="257">
        <v>48</v>
      </c>
      <c r="EQ45" s="257">
        <v>48</v>
      </c>
      <c r="ER45" s="257">
        <v>48</v>
      </c>
      <c r="ES45" s="257">
        <v>48</v>
      </c>
      <c r="ET45" s="257">
        <v>48</v>
      </c>
      <c r="EU45" s="257">
        <v>30</v>
      </c>
      <c r="EV45" s="257" t="s">
        <v>1137</v>
      </c>
      <c r="EW45" s="257" t="s">
        <v>1137</v>
      </c>
      <c r="EX45" s="257" t="s">
        <v>1137</v>
      </c>
      <c r="EY45" s="257" t="s">
        <v>1137</v>
      </c>
      <c r="EZ45" s="257"/>
      <c r="FA45" s="258">
        <v>11</v>
      </c>
      <c r="FB45" s="236">
        <f t="shared" si="12"/>
        <v>540</v>
      </c>
      <c r="FD45" s="237">
        <f t="shared" si="108"/>
        <v>45</v>
      </c>
      <c r="FE45" s="246">
        <f t="shared" si="108"/>
        <v>540</v>
      </c>
      <c r="FF45" s="247">
        <f t="shared" si="108"/>
        <v>30</v>
      </c>
      <c r="FG45" s="247">
        <f t="shared" si="107"/>
        <v>48</v>
      </c>
      <c r="FH45" s="247">
        <f t="shared" si="107"/>
        <v>48</v>
      </c>
      <c r="FI45" s="247">
        <f t="shared" si="107"/>
        <v>48</v>
      </c>
      <c r="FJ45" s="247">
        <f t="shared" si="107"/>
        <v>48</v>
      </c>
      <c r="FK45" s="247">
        <f t="shared" si="107"/>
        <v>48</v>
      </c>
      <c r="FL45" s="247">
        <f t="shared" si="107"/>
        <v>48</v>
      </c>
      <c r="FM45" s="247">
        <f t="shared" si="107"/>
        <v>48</v>
      </c>
      <c r="FN45" s="247">
        <f t="shared" si="107"/>
        <v>48</v>
      </c>
      <c r="FO45" s="247">
        <f t="shared" si="107"/>
        <v>48</v>
      </c>
      <c r="FP45" s="247">
        <f t="shared" si="107"/>
        <v>48</v>
      </c>
      <c r="FQ45" s="247">
        <f t="shared" si="107"/>
        <v>30</v>
      </c>
      <c r="FR45" s="247" t="str">
        <f t="shared" si="107"/>
        <v xml:space="preserve"> </v>
      </c>
      <c r="FS45" s="247" t="str">
        <f t="shared" si="107"/>
        <v xml:space="preserve"> </v>
      </c>
      <c r="FT45" s="247" t="str">
        <f t="shared" si="105"/>
        <v xml:space="preserve"> </v>
      </c>
      <c r="FU45" s="247" t="str">
        <f t="shared" si="105"/>
        <v xml:space="preserve"> </v>
      </c>
      <c r="FV45" s="247">
        <f t="shared" si="105"/>
        <v>0</v>
      </c>
      <c r="FW45" s="248">
        <f t="shared" si="105"/>
        <v>11</v>
      </c>
      <c r="FX45" s="241">
        <f t="shared" si="105"/>
        <v>540</v>
      </c>
      <c r="FZ45" s="242">
        <v>45</v>
      </c>
      <c r="GA45" s="256">
        <v>540</v>
      </c>
      <c r="GB45" s="257">
        <v>60</v>
      </c>
      <c r="GC45" s="257">
        <v>60</v>
      </c>
      <c r="GD45" s="257">
        <v>60</v>
      </c>
      <c r="GE45" s="257">
        <v>60</v>
      </c>
      <c r="GF45" s="257">
        <v>60</v>
      </c>
      <c r="GG45" s="257">
        <v>60</v>
      </c>
      <c r="GH45" s="257">
        <v>60</v>
      </c>
      <c r="GI45" s="257">
        <v>60</v>
      </c>
      <c r="GJ45" s="257">
        <v>60</v>
      </c>
      <c r="GK45" s="257"/>
      <c r="GL45" s="257"/>
      <c r="GM45" s="257"/>
      <c r="GN45" s="257"/>
      <c r="GO45" s="257"/>
      <c r="GP45" s="257"/>
      <c r="GQ45" s="257"/>
      <c r="GR45" s="257"/>
      <c r="GS45" s="258">
        <v>8</v>
      </c>
      <c r="GT45" s="236">
        <f t="shared" si="14"/>
        <v>540</v>
      </c>
      <c r="GV45" s="237">
        <f t="shared" si="111"/>
        <v>45</v>
      </c>
      <c r="GW45" s="246">
        <f t="shared" si="111"/>
        <v>540</v>
      </c>
      <c r="GX45" s="247">
        <f t="shared" si="111"/>
        <v>60</v>
      </c>
      <c r="GY45" s="247">
        <f t="shared" si="111"/>
        <v>60</v>
      </c>
      <c r="GZ45" s="247">
        <f t="shared" si="111"/>
        <v>60</v>
      </c>
      <c r="HA45" s="247">
        <f t="shared" si="111"/>
        <v>60</v>
      </c>
      <c r="HB45" s="247">
        <f t="shared" si="111"/>
        <v>60</v>
      </c>
      <c r="HC45" s="247">
        <f t="shared" si="111"/>
        <v>60</v>
      </c>
      <c r="HD45" s="247">
        <f t="shared" si="111"/>
        <v>60</v>
      </c>
      <c r="HE45" s="247">
        <f t="shared" si="111"/>
        <v>60</v>
      </c>
      <c r="HF45" s="247">
        <f t="shared" si="111"/>
        <v>60</v>
      </c>
      <c r="HG45" s="247">
        <f t="shared" si="111"/>
        <v>0</v>
      </c>
      <c r="HH45" s="247">
        <f t="shared" si="111"/>
        <v>0</v>
      </c>
      <c r="HI45" s="247">
        <f t="shared" si="111"/>
        <v>0</v>
      </c>
      <c r="HJ45" s="247">
        <f t="shared" si="111"/>
        <v>0</v>
      </c>
      <c r="HK45" s="247">
        <f t="shared" si="111"/>
        <v>0</v>
      </c>
      <c r="HL45" s="247">
        <f t="shared" si="106"/>
        <v>0</v>
      </c>
      <c r="HM45" s="247">
        <f t="shared" si="10"/>
        <v>0</v>
      </c>
      <c r="HN45" s="247">
        <f t="shared" si="10"/>
        <v>0</v>
      </c>
      <c r="HO45" s="248">
        <f t="shared" si="10"/>
        <v>8</v>
      </c>
      <c r="HP45" s="241">
        <f t="shared" si="10"/>
        <v>540</v>
      </c>
      <c r="HR45" s="232">
        <v>45</v>
      </c>
      <c r="HS45" s="256">
        <v>540</v>
      </c>
      <c r="HT45" s="257">
        <v>54</v>
      </c>
      <c r="HU45" s="257">
        <v>72</v>
      </c>
      <c r="HV45" s="257">
        <v>72</v>
      </c>
      <c r="HW45" s="257">
        <v>72</v>
      </c>
      <c r="HX45" s="257">
        <v>72</v>
      </c>
      <c r="HY45" s="257">
        <v>72</v>
      </c>
      <c r="HZ45" s="257">
        <v>72</v>
      </c>
      <c r="IA45" s="257">
        <v>54</v>
      </c>
      <c r="IB45" s="257"/>
      <c r="IC45" s="257"/>
      <c r="ID45" s="257"/>
      <c r="IE45" s="257"/>
      <c r="IF45" s="257"/>
      <c r="IG45" s="257"/>
      <c r="IH45" s="257"/>
      <c r="II45" s="257"/>
      <c r="IJ45" s="257"/>
      <c r="IK45" s="258">
        <v>7</v>
      </c>
      <c r="IL45" s="236">
        <f t="shared" si="16"/>
        <v>540</v>
      </c>
      <c r="IN45" s="232">
        <v>45</v>
      </c>
      <c r="IO45" s="256">
        <v>540</v>
      </c>
      <c r="IP45" s="257">
        <v>60</v>
      </c>
      <c r="IQ45" s="257">
        <v>84</v>
      </c>
      <c r="IR45" s="257">
        <v>84</v>
      </c>
      <c r="IS45" s="257">
        <v>84</v>
      </c>
      <c r="IT45" s="257">
        <v>84</v>
      </c>
      <c r="IU45" s="257">
        <v>84</v>
      </c>
      <c r="IV45" s="257">
        <v>60</v>
      </c>
      <c r="IW45" s="257"/>
      <c r="IX45" s="257"/>
      <c r="IY45" s="257"/>
      <c r="IZ45" s="257"/>
      <c r="JA45" s="257"/>
      <c r="JB45" s="257"/>
      <c r="JC45" s="257"/>
      <c r="JD45" s="257"/>
      <c r="JE45" s="257"/>
      <c r="JF45" s="257"/>
      <c r="JG45" s="258">
        <v>6</v>
      </c>
      <c r="JH45" s="236">
        <f t="shared" si="17"/>
        <v>540</v>
      </c>
      <c r="JJ45" s="242">
        <v>45</v>
      </c>
      <c r="JK45" s="256">
        <v>540</v>
      </c>
      <c r="JL45" s="257">
        <v>78</v>
      </c>
      <c r="JM45" s="257">
        <v>96</v>
      </c>
      <c r="JN45" s="257">
        <v>96</v>
      </c>
      <c r="JO45" s="257">
        <v>96</v>
      </c>
      <c r="JP45" s="257">
        <v>96</v>
      </c>
      <c r="JQ45" s="257">
        <v>78</v>
      </c>
      <c r="JR45" s="257"/>
      <c r="JS45" s="257"/>
      <c r="JT45" s="257"/>
      <c r="JU45" s="257"/>
      <c r="JV45" s="257"/>
      <c r="JW45" s="257"/>
      <c r="JX45" s="257"/>
      <c r="JY45" s="257"/>
      <c r="JZ45" s="257"/>
      <c r="KA45" s="257"/>
      <c r="KB45" s="257"/>
      <c r="KC45" s="258">
        <v>5</v>
      </c>
      <c r="KD45" s="236">
        <f t="shared" si="18"/>
        <v>540</v>
      </c>
      <c r="KF45" s="232">
        <v>45</v>
      </c>
      <c r="KG45" s="256">
        <v>540</v>
      </c>
      <c r="KH45" s="257">
        <v>54</v>
      </c>
      <c r="KI45" s="257">
        <v>54</v>
      </c>
      <c r="KJ45" s="257">
        <v>54</v>
      </c>
      <c r="KK45" s="257">
        <v>54</v>
      </c>
      <c r="KL45" s="257">
        <v>54</v>
      </c>
      <c r="KM45" s="257">
        <v>54</v>
      </c>
      <c r="KN45" s="257">
        <v>54</v>
      </c>
      <c r="KO45" s="257">
        <v>54</v>
      </c>
      <c r="KP45" s="257">
        <v>54</v>
      </c>
      <c r="KQ45" s="257">
        <v>54</v>
      </c>
      <c r="KR45" s="257"/>
      <c r="KS45" s="257"/>
      <c r="KT45" s="257"/>
      <c r="KU45" s="257"/>
      <c r="KV45" s="257"/>
      <c r="KW45" s="257"/>
      <c r="KX45" s="257"/>
      <c r="KY45" s="258">
        <v>9</v>
      </c>
      <c r="KZ45" s="236">
        <f t="shared" si="19"/>
        <v>540</v>
      </c>
      <c r="LB45" s="237">
        <f t="shared" si="20"/>
        <v>45</v>
      </c>
      <c r="LC45" s="284">
        <f t="shared" si="21"/>
        <v>540</v>
      </c>
      <c r="LD45" s="237">
        <f t="shared" si="22"/>
        <v>54</v>
      </c>
      <c r="LE45" s="237">
        <f t="shared" si="23"/>
        <v>54</v>
      </c>
      <c r="LF45" s="237">
        <f t="shared" si="24"/>
        <v>54</v>
      </c>
      <c r="LG45" s="237">
        <f t="shared" si="25"/>
        <v>54</v>
      </c>
      <c r="LH45" s="237">
        <f t="shared" si="26"/>
        <v>54</v>
      </c>
      <c r="LI45" s="237">
        <f t="shared" si="27"/>
        <v>54</v>
      </c>
      <c r="LJ45" s="237">
        <f t="shared" si="28"/>
        <v>54</v>
      </c>
      <c r="LK45" s="237">
        <f t="shared" si="29"/>
        <v>54</v>
      </c>
      <c r="LL45" s="237">
        <f t="shared" si="30"/>
        <v>54</v>
      </c>
      <c r="LM45" s="237">
        <f t="shared" si="31"/>
        <v>54</v>
      </c>
      <c r="LN45" s="237">
        <f t="shared" si="32"/>
        <v>0</v>
      </c>
      <c r="LO45" s="237">
        <f t="shared" si="33"/>
        <v>0</v>
      </c>
      <c r="LP45" s="237">
        <f t="shared" si="34"/>
        <v>0</v>
      </c>
      <c r="LQ45" s="237">
        <f t="shared" si="35"/>
        <v>0</v>
      </c>
      <c r="LR45" s="237">
        <f t="shared" si="36"/>
        <v>0</v>
      </c>
      <c r="LS45" s="237">
        <f t="shared" si="37"/>
        <v>0</v>
      </c>
      <c r="LT45" s="237">
        <f t="shared" si="38"/>
        <v>0</v>
      </c>
      <c r="LU45" s="285">
        <f t="shared" si="39"/>
        <v>9</v>
      </c>
      <c r="LV45" s="280">
        <f t="shared" si="40"/>
        <v>540</v>
      </c>
      <c r="LX45" s="237">
        <f t="shared" si="41"/>
        <v>45</v>
      </c>
      <c r="LY45" s="284">
        <f t="shared" si="42"/>
        <v>540</v>
      </c>
      <c r="LZ45" s="237">
        <f t="shared" si="43"/>
        <v>54</v>
      </c>
      <c r="MA45" s="237">
        <f t="shared" si="44"/>
        <v>54</v>
      </c>
      <c r="MB45" s="237">
        <f t="shared" si="45"/>
        <v>54</v>
      </c>
      <c r="MC45" s="237">
        <f t="shared" si="46"/>
        <v>54</v>
      </c>
      <c r="MD45" s="237">
        <f t="shared" si="47"/>
        <v>54</v>
      </c>
      <c r="ME45" s="237">
        <f t="shared" si="48"/>
        <v>54</v>
      </c>
      <c r="MF45" s="237">
        <f t="shared" si="49"/>
        <v>54</v>
      </c>
      <c r="MG45" s="237">
        <f t="shared" si="50"/>
        <v>54</v>
      </c>
      <c r="MH45" s="237">
        <f t="shared" si="51"/>
        <v>54</v>
      </c>
      <c r="MI45" s="237">
        <f t="shared" si="52"/>
        <v>54</v>
      </c>
      <c r="MJ45" s="237">
        <f t="shared" si="53"/>
        <v>0</v>
      </c>
      <c r="MK45" s="237">
        <f t="shared" si="54"/>
        <v>0</v>
      </c>
      <c r="ML45" s="237">
        <f t="shared" si="55"/>
        <v>0</v>
      </c>
      <c r="MM45" s="237">
        <f t="shared" si="56"/>
        <v>0</v>
      </c>
      <c r="MN45" s="237">
        <f t="shared" si="57"/>
        <v>0</v>
      </c>
      <c r="MO45" s="237">
        <f t="shared" si="58"/>
        <v>0</v>
      </c>
      <c r="MP45" s="237">
        <f t="shared" si="59"/>
        <v>0</v>
      </c>
      <c r="MQ45" s="285">
        <f t="shared" si="60"/>
        <v>9</v>
      </c>
      <c r="MR45" s="280">
        <f t="shared" si="61"/>
        <v>540</v>
      </c>
      <c r="MT45" s="237">
        <f t="shared" si="62"/>
        <v>45</v>
      </c>
      <c r="MU45" s="284">
        <f t="shared" si="63"/>
        <v>540</v>
      </c>
      <c r="MV45" s="237">
        <f t="shared" si="64"/>
        <v>54</v>
      </c>
      <c r="MW45" s="237">
        <f t="shared" si="65"/>
        <v>54</v>
      </c>
      <c r="MX45" s="237">
        <f t="shared" si="66"/>
        <v>54</v>
      </c>
      <c r="MY45" s="237">
        <f t="shared" si="67"/>
        <v>54</v>
      </c>
      <c r="MZ45" s="237">
        <f t="shared" si="68"/>
        <v>54</v>
      </c>
      <c r="NA45" s="237">
        <f t="shared" si="69"/>
        <v>54</v>
      </c>
      <c r="NB45" s="237">
        <f t="shared" si="70"/>
        <v>54</v>
      </c>
      <c r="NC45" s="237">
        <f t="shared" si="71"/>
        <v>54</v>
      </c>
      <c r="ND45" s="237">
        <f t="shared" si="72"/>
        <v>54</v>
      </c>
      <c r="NE45" s="237">
        <f t="shared" si="73"/>
        <v>54</v>
      </c>
      <c r="NF45" s="237">
        <f t="shared" si="74"/>
        <v>0</v>
      </c>
      <c r="NG45" s="237">
        <f t="shared" si="75"/>
        <v>0</v>
      </c>
      <c r="NH45" s="237">
        <f t="shared" si="76"/>
        <v>0</v>
      </c>
      <c r="NI45" s="237">
        <f t="shared" si="77"/>
        <v>0</v>
      </c>
      <c r="NJ45" s="237">
        <f t="shared" si="78"/>
        <v>0</v>
      </c>
      <c r="NK45" s="237">
        <f t="shared" si="79"/>
        <v>0</v>
      </c>
      <c r="NL45" s="237">
        <f t="shared" si="80"/>
        <v>0</v>
      </c>
      <c r="NM45" s="285">
        <f t="shared" si="81"/>
        <v>9</v>
      </c>
      <c r="NN45" s="280">
        <f t="shared" si="82"/>
        <v>540</v>
      </c>
      <c r="NP45" s="237">
        <f t="shared" si="83"/>
        <v>45</v>
      </c>
      <c r="NQ45" s="284">
        <f t="shared" si="84"/>
        <v>540</v>
      </c>
      <c r="NR45" s="237">
        <f t="shared" si="85"/>
        <v>54</v>
      </c>
      <c r="NS45" s="237">
        <f t="shared" si="86"/>
        <v>54</v>
      </c>
      <c r="NT45" s="237">
        <f t="shared" si="87"/>
        <v>54</v>
      </c>
      <c r="NU45" s="237">
        <f t="shared" si="88"/>
        <v>54</v>
      </c>
      <c r="NV45" s="237">
        <f t="shared" si="89"/>
        <v>54</v>
      </c>
      <c r="NW45" s="237">
        <f t="shared" si="90"/>
        <v>54</v>
      </c>
      <c r="NX45" s="237">
        <f t="shared" si="91"/>
        <v>54</v>
      </c>
      <c r="NY45" s="237">
        <f t="shared" si="92"/>
        <v>54</v>
      </c>
      <c r="NZ45" s="237">
        <f t="shared" si="93"/>
        <v>54</v>
      </c>
      <c r="OA45" s="237">
        <f t="shared" si="94"/>
        <v>54</v>
      </c>
      <c r="OB45" s="237">
        <f t="shared" si="95"/>
        <v>0</v>
      </c>
      <c r="OC45" s="237">
        <f t="shared" si="96"/>
        <v>0</v>
      </c>
      <c r="OD45" s="237">
        <f t="shared" si="97"/>
        <v>0</v>
      </c>
      <c r="OE45" s="237">
        <f t="shared" si="98"/>
        <v>0</v>
      </c>
      <c r="OF45" s="237">
        <f t="shared" si="99"/>
        <v>0</v>
      </c>
      <c r="OG45" s="237">
        <f t="shared" si="100"/>
        <v>0</v>
      </c>
      <c r="OH45" s="237">
        <f t="shared" si="101"/>
        <v>0</v>
      </c>
      <c r="OI45" s="285">
        <f t="shared" si="102"/>
        <v>9</v>
      </c>
      <c r="OJ45" s="280">
        <f t="shared" si="103"/>
        <v>540</v>
      </c>
    </row>
    <row r="46" spans="12:400" x14ac:dyDescent="0.3">
      <c r="AE46" s="127" t="str">
        <f t="shared" si="109"/>
        <v>L3x3x0.375</v>
      </c>
      <c r="AF46" s="138">
        <v>3.0000000000000004</v>
      </c>
      <c r="AG46" s="138">
        <v>3.0000000000000004</v>
      </c>
      <c r="AH46" s="138">
        <v>0.37500000000000006</v>
      </c>
      <c r="AI46" s="138">
        <v>0.3125</v>
      </c>
      <c r="AJ46" s="138">
        <v>0.3125</v>
      </c>
      <c r="AK46">
        <f t="shared" si="110"/>
        <v>6.2700000000000061E-2</v>
      </c>
      <c r="AL46" t="s">
        <v>109</v>
      </c>
      <c r="AM46" s="133" t="s">
        <v>85</v>
      </c>
      <c r="BD46" s="143" t="str">
        <f t="shared" si="4"/>
        <v>W12x19</v>
      </c>
      <c r="BE46">
        <v>12.000000000000002</v>
      </c>
      <c r="BF46" s="138">
        <v>19</v>
      </c>
      <c r="BG46" s="138">
        <v>12.159999999999998</v>
      </c>
      <c r="BH46" s="138">
        <v>0.23499999999999999</v>
      </c>
      <c r="BI46" s="138">
        <v>4.0049999999999999</v>
      </c>
      <c r="BJ46" s="138">
        <v>0.35</v>
      </c>
      <c r="BK46" s="138">
        <v>0.3</v>
      </c>
      <c r="BM46" s="133" t="s">
        <v>85</v>
      </c>
      <c r="CF46" s="150" t="s">
        <v>315</v>
      </c>
      <c r="CG46">
        <v>1</v>
      </c>
      <c r="CH46">
        <v>8</v>
      </c>
      <c r="CI46" s="151" t="s">
        <v>261</v>
      </c>
      <c r="EH46" s="243">
        <v>46</v>
      </c>
      <c r="EI46" s="244">
        <v>552</v>
      </c>
      <c r="EJ46" s="90">
        <v>36</v>
      </c>
      <c r="EK46" s="90">
        <v>48</v>
      </c>
      <c r="EL46" s="90">
        <v>48</v>
      </c>
      <c r="EM46" s="90">
        <v>48</v>
      </c>
      <c r="EN46" s="90">
        <v>48</v>
      </c>
      <c r="EO46" s="90">
        <v>48</v>
      </c>
      <c r="EP46" s="90">
        <v>48</v>
      </c>
      <c r="EQ46" s="90">
        <v>48</v>
      </c>
      <c r="ER46" s="90">
        <v>48</v>
      </c>
      <c r="ES46" s="90">
        <v>48</v>
      </c>
      <c r="ET46" s="90">
        <v>48</v>
      </c>
      <c r="EU46" s="90">
        <v>36</v>
      </c>
      <c r="EV46" s="90" t="s">
        <v>1137</v>
      </c>
      <c r="EW46" s="90" t="s">
        <v>1137</v>
      </c>
      <c r="EX46" s="90" t="s">
        <v>1137</v>
      </c>
      <c r="EY46" s="90" t="s">
        <v>1137</v>
      </c>
      <c r="EZ46" s="90"/>
      <c r="FA46" s="224">
        <v>11</v>
      </c>
      <c r="FB46" s="245">
        <f t="shared" si="12"/>
        <v>552</v>
      </c>
      <c r="FD46" s="237">
        <f t="shared" si="108"/>
        <v>46</v>
      </c>
      <c r="FE46" s="246">
        <f t="shared" si="108"/>
        <v>552</v>
      </c>
      <c r="FF46" s="247">
        <f t="shared" si="108"/>
        <v>36</v>
      </c>
      <c r="FG46" s="247">
        <f t="shared" si="107"/>
        <v>48</v>
      </c>
      <c r="FH46" s="247">
        <f t="shared" si="107"/>
        <v>48</v>
      </c>
      <c r="FI46" s="247">
        <f t="shared" si="107"/>
        <v>48</v>
      </c>
      <c r="FJ46" s="247">
        <f t="shared" si="107"/>
        <v>48</v>
      </c>
      <c r="FK46" s="247">
        <f t="shared" si="107"/>
        <v>48</v>
      </c>
      <c r="FL46" s="247">
        <f t="shared" si="107"/>
        <v>48</v>
      </c>
      <c r="FM46" s="247">
        <f t="shared" si="107"/>
        <v>48</v>
      </c>
      <c r="FN46" s="247">
        <f t="shared" si="107"/>
        <v>48</v>
      </c>
      <c r="FO46" s="247">
        <f t="shared" si="107"/>
        <v>48</v>
      </c>
      <c r="FP46" s="247">
        <f t="shared" si="107"/>
        <v>48</v>
      </c>
      <c r="FQ46" s="247">
        <f t="shared" si="107"/>
        <v>36</v>
      </c>
      <c r="FR46" s="247" t="str">
        <f t="shared" si="107"/>
        <v xml:space="preserve"> </v>
      </c>
      <c r="FS46" s="247" t="str">
        <f t="shared" si="107"/>
        <v xml:space="preserve"> </v>
      </c>
      <c r="FT46" s="247" t="str">
        <f t="shared" si="105"/>
        <v xml:space="preserve"> </v>
      </c>
      <c r="FU46" s="247" t="str">
        <f t="shared" si="105"/>
        <v xml:space="preserve"> </v>
      </c>
      <c r="FV46" s="247">
        <f t="shared" si="105"/>
        <v>0</v>
      </c>
      <c r="FW46" s="248">
        <f t="shared" si="105"/>
        <v>11</v>
      </c>
      <c r="FX46" s="241">
        <f t="shared" si="105"/>
        <v>552</v>
      </c>
      <c r="FZ46" s="249">
        <v>46</v>
      </c>
      <c r="GA46" s="244">
        <v>552</v>
      </c>
      <c r="GB46" s="90">
        <v>36</v>
      </c>
      <c r="GC46" s="90">
        <v>60</v>
      </c>
      <c r="GD46" s="90">
        <v>60</v>
      </c>
      <c r="GE46" s="90">
        <v>60</v>
      </c>
      <c r="GF46" s="90">
        <v>60</v>
      </c>
      <c r="GG46" s="90">
        <v>60</v>
      </c>
      <c r="GH46" s="90">
        <v>60</v>
      </c>
      <c r="GI46" s="90">
        <v>60</v>
      </c>
      <c r="GJ46" s="90">
        <v>60</v>
      </c>
      <c r="GK46" s="90">
        <v>36</v>
      </c>
      <c r="GL46" s="90"/>
      <c r="GM46" s="90"/>
      <c r="GN46" s="90"/>
      <c r="GO46" s="90"/>
      <c r="GP46" s="90"/>
      <c r="GQ46" s="90"/>
      <c r="GR46" s="90"/>
      <c r="GS46" s="224">
        <v>9</v>
      </c>
      <c r="GT46" s="245">
        <f t="shared" si="14"/>
        <v>552</v>
      </c>
      <c r="GV46" s="237">
        <f t="shared" si="111"/>
        <v>46</v>
      </c>
      <c r="GW46" s="246">
        <f t="shared" si="111"/>
        <v>552</v>
      </c>
      <c r="GX46" s="247">
        <f t="shared" si="111"/>
        <v>36</v>
      </c>
      <c r="GY46" s="247">
        <f t="shared" si="111"/>
        <v>60</v>
      </c>
      <c r="GZ46" s="247">
        <f t="shared" si="111"/>
        <v>60</v>
      </c>
      <c r="HA46" s="247">
        <f t="shared" si="111"/>
        <v>60</v>
      </c>
      <c r="HB46" s="247">
        <f t="shared" si="111"/>
        <v>60</v>
      </c>
      <c r="HC46" s="247">
        <f t="shared" si="111"/>
        <v>60</v>
      </c>
      <c r="HD46" s="247">
        <f t="shared" si="111"/>
        <v>60</v>
      </c>
      <c r="HE46" s="247">
        <f t="shared" si="111"/>
        <v>60</v>
      </c>
      <c r="HF46" s="247">
        <f t="shared" si="111"/>
        <v>60</v>
      </c>
      <c r="HG46" s="247">
        <f t="shared" si="111"/>
        <v>36</v>
      </c>
      <c r="HH46" s="247">
        <f t="shared" si="111"/>
        <v>0</v>
      </c>
      <c r="HI46" s="247">
        <f t="shared" si="111"/>
        <v>0</v>
      </c>
      <c r="HJ46" s="247">
        <f t="shared" si="111"/>
        <v>0</v>
      </c>
      <c r="HK46" s="247">
        <f t="shared" si="111"/>
        <v>0</v>
      </c>
      <c r="HL46" s="247">
        <f t="shared" si="106"/>
        <v>0</v>
      </c>
      <c r="HM46" s="247">
        <f t="shared" si="10"/>
        <v>0</v>
      </c>
      <c r="HN46" s="247">
        <f t="shared" si="10"/>
        <v>0</v>
      </c>
      <c r="HO46" s="248">
        <f t="shared" si="10"/>
        <v>9</v>
      </c>
      <c r="HP46" s="241">
        <f t="shared" si="10"/>
        <v>552</v>
      </c>
      <c r="HR46" s="243">
        <v>46</v>
      </c>
      <c r="HS46" s="244">
        <v>552</v>
      </c>
      <c r="HT46" s="90">
        <v>60</v>
      </c>
      <c r="HU46" s="90">
        <v>72</v>
      </c>
      <c r="HV46" s="90">
        <v>72</v>
      </c>
      <c r="HW46" s="90">
        <v>72</v>
      </c>
      <c r="HX46" s="90">
        <v>72</v>
      </c>
      <c r="HY46" s="90">
        <v>72</v>
      </c>
      <c r="HZ46" s="90">
        <v>72</v>
      </c>
      <c r="IA46" s="90">
        <v>60</v>
      </c>
      <c r="IB46" s="90"/>
      <c r="IC46" s="90"/>
      <c r="ID46" s="90"/>
      <c r="IE46" s="90"/>
      <c r="IF46" s="90"/>
      <c r="IG46" s="90"/>
      <c r="IH46" s="90"/>
      <c r="II46" s="90"/>
      <c r="IJ46" s="90"/>
      <c r="IK46" s="224">
        <v>7</v>
      </c>
      <c r="IL46" s="245">
        <f t="shared" si="16"/>
        <v>552</v>
      </c>
      <c r="IN46" s="243">
        <v>46</v>
      </c>
      <c r="IO46" s="244">
        <v>552</v>
      </c>
      <c r="IP46" s="90">
        <v>66</v>
      </c>
      <c r="IQ46" s="90">
        <v>84</v>
      </c>
      <c r="IR46" s="90">
        <v>84</v>
      </c>
      <c r="IS46" s="90">
        <v>84</v>
      </c>
      <c r="IT46" s="90">
        <v>84</v>
      </c>
      <c r="IU46" s="90">
        <v>84</v>
      </c>
      <c r="IV46" s="90">
        <v>66</v>
      </c>
      <c r="IW46" s="90"/>
      <c r="IX46" s="90"/>
      <c r="IY46" s="90"/>
      <c r="IZ46" s="90"/>
      <c r="JA46" s="90"/>
      <c r="JB46" s="90"/>
      <c r="JC46" s="90"/>
      <c r="JD46" s="90"/>
      <c r="JE46" s="90"/>
      <c r="JF46" s="90"/>
      <c r="JG46" s="224">
        <v>6</v>
      </c>
      <c r="JH46" s="245">
        <f t="shared" si="17"/>
        <v>552</v>
      </c>
      <c r="JJ46" s="249">
        <v>46</v>
      </c>
      <c r="JK46" s="244">
        <v>552</v>
      </c>
      <c r="JL46" s="90">
        <v>84</v>
      </c>
      <c r="JM46" s="90">
        <v>96</v>
      </c>
      <c r="JN46" s="90">
        <v>96</v>
      </c>
      <c r="JO46" s="90">
        <v>96</v>
      </c>
      <c r="JP46" s="90">
        <v>96</v>
      </c>
      <c r="JQ46" s="90">
        <v>84</v>
      </c>
      <c r="JR46" s="90"/>
      <c r="JS46" s="90"/>
      <c r="JT46" s="90"/>
      <c r="JU46" s="90"/>
      <c r="JV46" s="90"/>
      <c r="JW46" s="90"/>
      <c r="JX46" s="90"/>
      <c r="JY46" s="90"/>
      <c r="JZ46" s="90"/>
      <c r="KA46" s="90"/>
      <c r="KB46" s="90"/>
      <c r="KC46" s="224">
        <v>5</v>
      </c>
      <c r="KD46" s="245">
        <f t="shared" si="18"/>
        <v>552</v>
      </c>
      <c r="KF46" s="243">
        <v>46</v>
      </c>
      <c r="KG46" s="244">
        <v>552</v>
      </c>
      <c r="KH46" s="90">
        <v>33</v>
      </c>
      <c r="KI46" s="90">
        <v>54</v>
      </c>
      <c r="KJ46" s="90">
        <v>54</v>
      </c>
      <c r="KK46" s="90">
        <v>54</v>
      </c>
      <c r="KL46" s="90">
        <v>54</v>
      </c>
      <c r="KM46" s="90">
        <v>54</v>
      </c>
      <c r="KN46" s="90">
        <v>54</v>
      </c>
      <c r="KO46" s="90">
        <v>54</v>
      </c>
      <c r="KP46" s="90">
        <v>54</v>
      </c>
      <c r="KQ46" s="90">
        <v>54</v>
      </c>
      <c r="KR46" s="90">
        <v>33</v>
      </c>
      <c r="KS46" s="90"/>
      <c r="KT46" s="90"/>
      <c r="KU46" s="90"/>
      <c r="KV46" s="90"/>
      <c r="KW46" s="90"/>
      <c r="KX46" s="90"/>
      <c r="KY46" s="224">
        <v>10</v>
      </c>
      <c r="KZ46" s="245">
        <f t="shared" si="19"/>
        <v>552</v>
      </c>
      <c r="LB46" s="237">
        <f t="shared" si="20"/>
        <v>46</v>
      </c>
      <c r="LC46" s="284">
        <f t="shared" si="21"/>
        <v>552</v>
      </c>
      <c r="LD46" s="237">
        <f t="shared" si="22"/>
        <v>33</v>
      </c>
      <c r="LE46" s="237">
        <f t="shared" si="23"/>
        <v>54</v>
      </c>
      <c r="LF46" s="237">
        <f t="shared" si="24"/>
        <v>54</v>
      </c>
      <c r="LG46" s="237">
        <f t="shared" si="25"/>
        <v>54</v>
      </c>
      <c r="LH46" s="237">
        <f t="shared" si="26"/>
        <v>54</v>
      </c>
      <c r="LI46" s="237">
        <f t="shared" si="27"/>
        <v>54</v>
      </c>
      <c r="LJ46" s="237">
        <f t="shared" si="28"/>
        <v>54</v>
      </c>
      <c r="LK46" s="237">
        <f t="shared" si="29"/>
        <v>54</v>
      </c>
      <c r="LL46" s="237">
        <f t="shared" si="30"/>
        <v>54</v>
      </c>
      <c r="LM46" s="237">
        <f t="shared" si="31"/>
        <v>54</v>
      </c>
      <c r="LN46" s="237">
        <f t="shared" si="32"/>
        <v>33</v>
      </c>
      <c r="LO46" s="237">
        <f t="shared" si="33"/>
        <v>0</v>
      </c>
      <c r="LP46" s="237">
        <f t="shared" si="34"/>
        <v>0</v>
      </c>
      <c r="LQ46" s="237">
        <f t="shared" si="35"/>
        <v>0</v>
      </c>
      <c r="LR46" s="237">
        <f t="shared" si="36"/>
        <v>0</v>
      </c>
      <c r="LS46" s="237">
        <f t="shared" si="37"/>
        <v>0</v>
      </c>
      <c r="LT46" s="237">
        <f t="shared" si="38"/>
        <v>0</v>
      </c>
      <c r="LU46" s="285">
        <f t="shared" si="39"/>
        <v>10</v>
      </c>
      <c r="LV46" s="280">
        <f t="shared" si="40"/>
        <v>552</v>
      </c>
      <c r="LX46" s="237">
        <f t="shared" si="41"/>
        <v>46</v>
      </c>
      <c r="LY46" s="284">
        <f t="shared" si="42"/>
        <v>552</v>
      </c>
      <c r="LZ46" s="237">
        <f t="shared" si="43"/>
        <v>33</v>
      </c>
      <c r="MA46" s="237">
        <f t="shared" si="44"/>
        <v>54</v>
      </c>
      <c r="MB46" s="237">
        <f t="shared" si="45"/>
        <v>54</v>
      </c>
      <c r="MC46" s="237">
        <f t="shared" si="46"/>
        <v>54</v>
      </c>
      <c r="MD46" s="237">
        <f t="shared" si="47"/>
        <v>54</v>
      </c>
      <c r="ME46" s="237">
        <f t="shared" si="48"/>
        <v>54</v>
      </c>
      <c r="MF46" s="237">
        <f t="shared" si="49"/>
        <v>54</v>
      </c>
      <c r="MG46" s="237">
        <f t="shared" si="50"/>
        <v>54</v>
      </c>
      <c r="MH46" s="237">
        <f t="shared" si="51"/>
        <v>54</v>
      </c>
      <c r="MI46" s="237">
        <f t="shared" si="52"/>
        <v>54</v>
      </c>
      <c r="MJ46" s="237">
        <f t="shared" si="53"/>
        <v>33</v>
      </c>
      <c r="MK46" s="237">
        <f t="shared" si="54"/>
        <v>0</v>
      </c>
      <c r="ML46" s="237">
        <f t="shared" si="55"/>
        <v>0</v>
      </c>
      <c r="MM46" s="237">
        <f t="shared" si="56"/>
        <v>0</v>
      </c>
      <c r="MN46" s="237">
        <f t="shared" si="57"/>
        <v>0</v>
      </c>
      <c r="MO46" s="237">
        <f t="shared" si="58"/>
        <v>0</v>
      </c>
      <c r="MP46" s="237">
        <f t="shared" si="59"/>
        <v>0</v>
      </c>
      <c r="MQ46" s="285">
        <f t="shared" si="60"/>
        <v>10</v>
      </c>
      <c r="MR46" s="280">
        <f t="shared" si="61"/>
        <v>552</v>
      </c>
      <c r="MT46" s="237">
        <f t="shared" si="62"/>
        <v>46</v>
      </c>
      <c r="MU46" s="284">
        <f t="shared" si="63"/>
        <v>552</v>
      </c>
      <c r="MV46" s="237">
        <f t="shared" si="64"/>
        <v>33</v>
      </c>
      <c r="MW46" s="237">
        <f t="shared" si="65"/>
        <v>54</v>
      </c>
      <c r="MX46" s="237">
        <f t="shared" si="66"/>
        <v>54</v>
      </c>
      <c r="MY46" s="237">
        <f t="shared" si="67"/>
        <v>54</v>
      </c>
      <c r="MZ46" s="237">
        <f t="shared" si="68"/>
        <v>54</v>
      </c>
      <c r="NA46" s="237">
        <f t="shared" si="69"/>
        <v>54</v>
      </c>
      <c r="NB46" s="237">
        <f t="shared" si="70"/>
        <v>54</v>
      </c>
      <c r="NC46" s="237">
        <f t="shared" si="71"/>
        <v>54</v>
      </c>
      <c r="ND46" s="237">
        <f t="shared" si="72"/>
        <v>54</v>
      </c>
      <c r="NE46" s="237">
        <f t="shared" si="73"/>
        <v>54</v>
      </c>
      <c r="NF46" s="237">
        <f t="shared" si="74"/>
        <v>33</v>
      </c>
      <c r="NG46" s="237">
        <f t="shared" si="75"/>
        <v>0</v>
      </c>
      <c r="NH46" s="237">
        <f t="shared" si="76"/>
        <v>0</v>
      </c>
      <c r="NI46" s="237">
        <f t="shared" si="77"/>
        <v>0</v>
      </c>
      <c r="NJ46" s="237">
        <f t="shared" si="78"/>
        <v>0</v>
      </c>
      <c r="NK46" s="237">
        <f t="shared" si="79"/>
        <v>0</v>
      </c>
      <c r="NL46" s="237">
        <f t="shared" si="80"/>
        <v>0</v>
      </c>
      <c r="NM46" s="285">
        <f t="shared" si="81"/>
        <v>10</v>
      </c>
      <c r="NN46" s="280">
        <f t="shared" si="82"/>
        <v>552</v>
      </c>
      <c r="NP46" s="237">
        <f t="shared" si="83"/>
        <v>46</v>
      </c>
      <c r="NQ46" s="284">
        <f t="shared" si="84"/>
        <v>552</v>
      </c>
      <c r="NR46" s="237">
        <f t="shared" si="85"/>
        <v>33</v>
      </c>
      <c r="NS46" s="237">
        <f t="shared" si="86"/>
        <v>54</v>
      </c>
      <c r="NT46" s="237">
        <f t="shared" si="87"/>
        <v>54</v>
      </c>
      <c r="NU46" s="237">
        <f t="shared" si="88"/>
        <v>54</v>
      </c>
      <c r="NV46" s="237">
        <f t="shared" si="89"/>
        <v>54</v>
      </c>
      <c r="NW46" s="237">
        <f t="shared" si="90"/>
        <v>54</v>
      </c>
      <c r="NX46" s="237">
        <f t="shared" si="91"/>
        <v>54</v>
      </c>
      <c r="NY46" s="237">
        <f t="shared" si="92"/>
        <v>54</v>
      </c>
      <c r="NZ46" s="237">
        <f t="shared" si="93"/>
        <v>54</v>
      </c>
      <c r="OA46" s="237">
        <f t="shared" si="94"/>
        <v>54</v>
      </c>
      <c r="OB46" s="237">
        <f t="shared" si="95"/>
        <v>33</v>
      </c>
      <c r="OC46" s="237">
        <f t="shared" si="96"/>
        <v>0</v>
      </c>
      <c r="OD46" s="237">
        <f t="shared" si="97"/>
        <v>0</v>
      </c>
      <c r="OE46" s="237">
        <f t="shared" si="98"/>
        <v>0</v>
      </c>
      <c r="OF46" s="237">
        <f t="shared" si="99"/>
        <v>0</v>
      </c>
      <c r="OG46" s="237">
        <f t="shared" si="100"/>
        <v>0</v>
      </c>
      <c r="OH46" s="237">
        <f t="shared" si="101"/>
        <v>0</v>
      </c>
      <c r="OI46" s="285">
        <f t="shared" si="102"/>
        <v>10</v>
      </c>
      <c r="OJ46" s="280">
        <f t="shared" si="103"/>
        <v>552</v>
      </c>
    </row>
    <row r="47" spans="12:400" x14ac:dyDescent="0.3">
      <c r="AE47" s="127" t="str">
        <f t="shared" si="109"/>
        <v>L3x3x0.4375</v>
      </c>
      <c r="AF47" s="138">
        <v>3.0000000000000004</v>
      </c>
      <c r="AG47" s="138">
        <v>3.0000000000000004</v>
      </c>
      <c r="AH47" s="138">
        <v>0.4375</v>
      </c>
      <c r="AI47" s="138">
        <v>0.3125</v>
      </c>
      <c r="AJ47" s="138">
        <v>0.3125</v>
      </c>
      <c r="AK47">
        <f t="shared" si="110"/>
        <v>0.12520000000000001</v>
      </c>
      <c r="AM47" s="133" t="s">
        <v>85</v>
      </c>
      <c r="BD47" s="143" t="str">
        <f t="shared" si="4"/>
        <v>W12x22</v>
      </c>
      <c r="BE47">
        <v>12.000000000000002</v>
      </c>
      <c r="BF47" s="138">
        <v>22</v>
      </c>
      <c r="BG47" s="138">
        <v>12.31</v>
      </c>
      <c r="BH47" s="138">
        <v>0.26</v>
      </c>
      <c r="BI47" s="138">
        <v>4.03</v>
      </c>
      <c r="BJ47" s="138">
        <v>0.42499999999999999</v>
      </c>
      <c r="BK47" s="138">
        <v>0.3</v>
      </c>
      <c r="BM47" s="133" t="s">
        <v>85</v>
      </c>
      <c r="CF47" s="150" t="s">
        <v>316</v>
      </c>
      <c r="CG47">
        <v>1</v>
      </c>
      <c r="CH47">
        <v>8</v>
      </c>
      <c r="CI47" s="151" t="s">
        <v>261</v>
      </c>
      <c r="EH47" s="250">
        <v>47</v>
      </c>
      <c r="EI47" s="251">
        <v>564</v>
      </c>
      <c r="EJ47" s="252">
        <v>42</v>
      </c>
      <c r="EK47" s="252">
        <v>48</v>
      </c>
      <c r="EL47" s="252">
        <v>48</v>
      </c>
      <c r="EM47" s="252">
        <v>48</v>
      </c>
      <c r="EN47" s="252">
        <v>48</v>
      </c>
      <c r="EO47" s="252">
        <v>48</v>
      </c>
      <c r="EP47" s="252">
        <v>48</v>
      </c>
      <c r="EQ47" s="252">
        <v>48</v>
      </c>
      <c r="ER47" s="252">
        <v>48</v>
      </c>
      <c r="ES47" s="252">
        <v>48</v>
      </c>
      <c r="ET47" s="252">
        <v>48</v>
      </c>
      <c r="EU47" s="252">
        <v>42</v>
      </c>
      <c r="EV47" s="252" t="s">
        <v>1137</v>
      </c>
      <c r="EW47" s="252" t="s">
        <v>1137</v>
      </c>
      <c r="EX47" s="252" t="s">
        <v>1137</v>
      </c>
      <c r="EY47" s="252" t="s">
        <v>1137</v>
      </c>
      <c r="EZ47" s="252"/>
      <c r="FA47" s="253">
        <v>11</v>
      </c>
      <c r="FB47" s="254">
        <f t="shared" si="12"/>
        <v>564</v>
      </c>
      <c r="FD47" s="237">
        <f t="shared" si="108"/>
        <v>47</v>
      </c>
      <c r="FE47" s="246">
        <f t="shared" si="108"/>
        <v>564</v>
      </c>
      <c r="FF47" s="247">
        <f t="shared" si="108"/>
        <v>42</v>
      </c>
      <c r="FG47" s="247">
        <f t="shared" si="107"/>
        <v>48</v>
      </c>
      <c r="FH47" s="247">
        <f t="shared" si="107"/>
        <v>48</v>
      </c>
      <c r="FI47" s="247">
        <f t="shared" si="107"/>
        <v>48</v>
      </c>
      <c r="FJ47" s="247">
        <f t="shared" si="107"/>
        <v>48</v>
      </c>
      <c r="FK47" s="247">
        <f t="shared" si="107"/>
        <v>48</v>
      </c>
      <c r="FL47" s="247">
        <f t="shared" si="107"/>
        <v>48</v>
      </c>
      <c r="FM47" s="247">
        <f t="shared" si="107"/>
        <v>48</v>
      </c>
      <c r="FN47" s="247">
        <f t="shared" si="107"/>
        <v>48</v>
      </c>
      <c r="FO47" s="247">
        <f t="shared" si="107"/>
        <v>48</v>
      </c>
      <c r="FP47" s="247">
        <f t="shared" si="107"/>
        <v>48</v>
      </c>
      <c r="FQ47" s="247">
        <f t="shared" si="107"/>
        <v>42</v>
      </c>
      <c r="FR47" s="247" t="str">
        <f t="shared" si="107"/>
        <v xml:space="preserve"> </v>
      </c>
      <c r="FS47" s="247" t="str">
        <f t="shared" si="107"/>
        <v xml:space="preserve"> </v>
      </c>
      <c r="FT47" s="247" t="str">
        <f t="shared" si="105"/>
        <v xml:space="preserve"> </v>
      </c>
      <c r="FU47" s="247" t="str">
        <f t="shared" si="105"/>
        <v xml:space="preserve"> </v>
      </c>
      <c r="FV47" s="247">
        <f t="shared" si="105"/>
        <v>0</v>
      </c>
      <c r="FW47" s="248">
        <f t="shared" si="105"/>
        <v>11</v>
      </c>
      <c r="FX47" s="241">
        <f t="shared" si="105"/>
        <v>564</v>
      </c>
      <c r="FZ47" s="255">
        <v>47</v>
      </c>
      <c r="GA47" s="251">
        <v>564</v>
      </c>
      <c r="GB47" s="252">
        <v>42</v>
      </c>
      <c r="GC47" s="252">
        <v>60</v>
      </c>
      <c r="GD47" s="252">
        <v>60</v>
      </c>
      <c r="GE47" s="252">
        <v>60</v>
      </c>
      <c r="GF47" s="252">
        <v>60</v>
      </c>
      <c r="GG47" s="252">
        <v>60</v>
      </c>
      <c r="GH47" s="252">
        <v>60</v>
      </c>
      <c r="GI47" s="252">
        <v>60</v>
      </c>
      <c r="GJ47" s="252">
        <v>60</v>
      </c>
      <c r="GK47" s="252">
        <v>42</v>
      </c>
      <c r="GL47" s="252"/>
      <c r="GM47" s="252"/>
      <c r="GN47" s="252"/>
      <c r="GO47" s="252"/>
      <c r="GP47" s="252"/>
      <c r="GQ47" s="252"/>
      <c r="GR47" s="252"/>
      <c r="GS47" s="253">
        <v>9</v>
      </c>
      <c r="GT47" s="254">
        <f t="shared" si="14"/>
        <v>564</v>
      </c>
      <c r="GV47" s="237">
        <f t="shared" si="111"/>
        <v>47</v>
      </c>
      <c r="GW47" s="246">
        <f t="shared" si="111"/>
        <v>564</v>
      </c>
      <c r="GX47" s="247">
        <f t="shared" si="111"/>
        <v>42</v>
      </c>
      <c r="GY47" s="247">
        <f t="shared" si="111"/>
        <v>60</v>
      </c>
      <c r="GZ47" s="247">
        <f t="shared" si="111"/>
        <v>60</v>
      </c>
      <c r="HA47" s="247">
        <f t="shared" si="111"/>
        <v>60</v>
      </c>
      <c r="HB47" s="247">
        <f t="shared" si="111"/>
        <v>60</v>
      </c>
      <c r="HC47" s="247">
        <f t="shared" si="111"/>
        <v>60</v>
      </c>
      <c r="HD47" s="247">
        <f t="shared" si="111"/>
        <v>60</v>
      </c>
      <c r="HE47" s="247">
        <f t="shared" si="111"/>
        <v>60</v>
      </c>
      <c r="HF47" s="247">
        <f t="shared" si="111"/>
        <v>60</v>
      </c>
      <c r="HG47" s="247">
        <f t="shared" si="111"/>
        <v>42</v>
      </c>
      <c r="HH47" s="247">
        <f t="shared" si="111"/>
        <v>0</v>
      </c>
      <c r="HI47" s="247">
        <f t="shared" si="111"/>
        <v>0</v>
      </c>
      <c r="HJ47" s="247">
        <f t="shared" si="111"/>
        <v>0</v>
      </c>
      <c r="HK47" s="247">
        <f t="shared" si="111"/>
        <v>0</v>
      </c>
      <c r="HL47" s="247">
        <f t="shared" si="106"/>
        <v>0</v>
      </c>
      <c r="HM47" s="247">
        <f t="shared" si="10"/>
        <v>0</v>
      </c>
      <c r="HN47" s="247">
        <f t="shared" si="10"/>
        <v>0</v>
      </c>
      <c r="HO47" s="248">
        <f t="shared" si="10"/>
        <v>9</v>
      </c>
      <c r="HP47" s="241">
        <f t="shared" si="10"/>
        <v>564</v>
      </c>
      <c r="HR47" s="250">
        <v>47</v>
      </c>
      <c r="HS47" s="251">
        <v>564</v>
      </c>
      <c r="HT47" s="252">
        <v>66</v>
      </c>
      <c r="HU47" s="252">
        <v>72</v>
      </c>
      <c r="HV47" s="252">
        <v>72</v>
      </c>
      <c r="HW47" s="252">
        <v>72</v>
      </c>
      <c r="HX47" s="252">
        <v>72</v>
      </c>
      <c r="HY47" s="252">
        <v>72</v>
      </c>
      <c r="HZ47" s="252">
        <v>72</v>
      </c>
      <c r="IA47" s="252">
        <v>66</v>
      </c>
      <c r="IB47" s="252"/>
      <c r="IC47" s="252"/>
      <c r="ID47" s="252"/>
      <c r="IE47" s="252"/>
      <c r="IF47" s="252"/>
      <c r="IG47" s="252"/>
      <c r="IH47" s="252"/>
      <c r="II47" s="252"/>
      <c r="IJ47" s="252"/>
      <c r="IK47" s="253">
        <v>7</v>
      </c>
      <c r="IL47" s="254">
        <f t="shared" si="16"/>
        <v>564</v>
      </c>
      <c r="IN47" s="250">
        <v>47</v>
      </c>
      <c r="IO47" s="251">
        <v>564</v>
      </c>
      <c r="IP47" s="252">
        <v>72</v>
      </c>
      <c r="IQ47" s="252">
        <v>84</v>
      </c>
      <c r="IR47" s="252">
        <v>84</v>
      </c>
      <c r="IS47" s="252">
        <v>84</v>
      </c>
      <c r="IT47" s="252">
        <v>84</v>
      </c>
      <c r="IU47" s="252">
        <v>84</v>
      </c>
      <c r="IV47" s="252">
        <v>72</v>
      </c>
      <c r="IW47" s="252"/>
      <c r="IX47" s="252"/>
      <c r="IY47" s="252"/>
      <c r="IZ47" s="252"/>
      <c r="JA47" s="252"/>
      <c r="JB47" s="252"/>
      <c r="JC47" s="252"/>
      <c r="JD47" s="252"/>
      <c r="JE47" s="252"/>
      <c r="JF47" s="252"/>
      <c r="JG47" s="253">
        <v>6</v>
      </c>
      <c r="JH47" s="254">
        <f t="shared" si="17"/>
        <v>564</v>
      </c>
      <c r="JJ47" s="255">
        <v>47</v>
      </c>
      <c r="JK47" s="251">
        <v>564</v>
      </c>
      <c r="JL47" s="252">
        <v>90</v>
      </c>
      <c r="JM47" s="252">
        <v>96</v>
      </c>
      <c r="JN47" s="252">
        <v>96</v>
      </c>
      <c r="JO47" s="252">
        <v>96</v>
      </c>
      <c r="JP47" s="252">
        <v>96</v>
      </c>
      <c r="JQ47" s="252">
        <v>90</v>
      </c>
      <c r="JR47" s="252"/>
      <c r="JS47" s="252"/>
      <c r="JT47" s="252"/>
      <c r="JU47" s="252"/>
      <c r="JV47" s="252"/>
      <c r="JW47" s="252"/>
      <c r="JX47" s="252"/>
      <c r="JY47" s="252"/>
      <c r="JZ47" s="252"/>
      <c r="KA47" s="252"/>
      <c r="KB47" s="252"/>
      <c r="KC47" s="253">
        <v>5</v>
      </c>
      <c r="KD47" s="254">
        <f t="shared" si="18"/>
        <v>564</v>
      </c>
      <c r="KF47" s="250">
        <v>47</v>
      </c>
      <c r="KG47" s="251">
        <v>564</v>
      </c>
      <c r="KH47" s="252">
        <v>39</v>
      </c>
      <c r="KI47" s="252">
        <v>54</v>
      </c>
      <c r="KJ47" s="252">
        <v>54</v>
      </c>
      <c r="KK47" s="252">
        <v>54</v>
      </c>
      <c r="KL47" s="252">
        <v>54</v>
      </c>
      <c r="KM47" s="252">
        <v>54</v>
      </c>
      <c r="KN47" s="252">
        <v>54</v>
      </c>
      <c r="KO47" s="252">
        <v>54</v>
      </c>
      <c r="KP47" s="252">
        <v>54</v>
      </c>
      <c r="KQ47" s="252">
        <v>54</v>
      </c>
      <c r="KR47" s="252">
        <v>39</v>
      </c>
      <c r="KS47" s="252"/>
      <c r="KT47" s="252"/>
      <c r="KU47" s="252"/>
      <c r="KV47" s="252"/>
      <c r="KW47" s="252"/>
      <c r="KX47" s="252"/>
      <c r="KY47" s="253">
        <v>10</v>
      </c>
      <c r="KZ47" s="254">
        <f t="shared" si="19"/>
        <v>564</v>
      </c>
      <c r="LB47" s="237">
        <f t="shared" si="20"/>
        <v>47</v>
      </c>
      <c r="LC47" s="284">
        <f t="shared" si="21"/>
        <v>564</v>
      </c>
      <c r="LD47" s="237">
        <f t="shared" si="22"/>
        <v>39</v>
      </c>
      <c r="LE47" s="237">
        <f t="shared" si="23"/>
        <v>54</v>
      </c>
      <c r="LF47" s="237">
        <f t="shared" si="24"/>
        <v>54</v>
      </c>
      <c r="LG47" s="237">
        <f t="shared" si="25"/>
        <v>54</v>
      </c>
      <c r="LH47" s="237">
        <f t="shared" si="26"/>
        <v>54</v>
      </c>
      <c r="LI47" s="237">
        <f t="shared" si="27"/>
        <v>54</v>
      </c>
      <c r="LJ47" s="237">
        <f t="shared" si="28"/>
        <v>54</v>
      </c>
      <c r="LK47" s="237">
        <f t="shared" si="29"/>
        <v>54</v>
      </c>
      <c r="LL47" s="237">
        <f t="shared" si="30"/>
        <v>54</v>
      </c>
      <c r="LM47" s="237">
        <f t="shared" si="31"/>
        <v>54</v>
      </c>
      <c r="LN47" s="237">
        <f t="shared" si="32"/>
        <v>39</v>
      </c>
      <c r="LO47" s="237">
        <f t="shared" si="33"/>
        <v>0</v>
      </c>
      <c r="LP47" s="237">
        <f t="shared" si="34"/>
        <v>0</v>
      </c>
      <c r="LQ47" s="237">
        <f t="shared" si="35"/>
        <v>0</v>
      </c>
      <c r="LR47" s="237">
        <f t="shared" si="36"/>
        <v>0</v>
      </c>
      <c r="LS47" s="237">
        <f t="shared" si="37"/>
        <v>0</v>
      </c>
      <c r="LT47" s="237">
        <f t="shared" si="38"/>
        <v>0</v>
      </c>
      <c r="LU47" s="285">
        <f t="shared" si="39"/>
        <v>10</v>
      </c>
      <c r="LV47" s="280">
        <f t="shared" si="40"/>
        <v>564</v>
      </c>
      <c r="LX47" s="237">
        <f t="shared" si="41"/>
        <v>47</v>
      </c>
      <c r="LY47" s="284">
        <f t="shared" si="42"/>
        <v>564</v>
      </c>
      <c r="LZ47" s="237">
        <f t="shared" si="43"/>
        <v>39</v>
      </c>
      <c r="MA47" s="237">
        <f t="shared" si="44"/>
        <v>54</v>
      </c>
      <c r="MB47" s="237">
        <f t="shared" si="45"/>
        <v>54</v>
      </c>
      <c r="MC47" s="237">
        <f t="shared" si="46"/>
        <v>54</v>
      </c>
      <c r="MD47" s="237">
        <f t="shared" si="47"/>
        <v>54</v>
      </c>
      <c r="ME47" s="237">
        <f t="shared" si="48"/>
        <v>54</v>
      </c>
      <c r="MF47" s="237">
        <f t="shared" si="49"/>
        <v>54</v>
      </c>
      <c r="MG47" s="237">
        <f t="shared" si="50"/>
        <v>54</v>
      </c>
      <c r="MH47" s="237">
        <f t="shared" si="51"/>
        <v>54</v>
      </c>
      <c r="MI47" s="237">
        <f t="shared" si="52"/>
        <v>54</v>
      </c>
      <c r="MJ47" s="237">
        <f t="shared" si="53"/>
        <v>39</v>
      </c>
      <c r="MK47" s="237">
        <f t="shared" si="54"/>
        <v>0</v>
      </c>
      <c r="ML47" s="237">
        <f t="shared" si="55"/>
        <v>0</v>
      </c>
      <c r="MM47" s="237">
        <f t="shared" si="56"/>
        <v>0</v>
      </c>
      <c r="MN47" s="237">
        <f t="shared" si="57"/>
        <v>0</v>
      </c>
      <c r="MO47" s="237">
        <f t="shared" si="58"/>
        <v>0</v>
      </c>
      <c r="MP47" s="237">
        <f t="shared" si="59"/>
        <v>0</v>
      </c>
      <c r="MQ47" s="285">
        <f t="shared" si="60"/>
        <v>10</v>
      </c>
      <c r="MR47" s="280">
        <f t="shared" si="61"/>
        <v>564</v>
      </c>
      <c r="MT47" s="237">
        <f t="shared" si="62"/>
        <v>47</v>
      </c>
      <c r="MU47" s="284">
        <f t="shared" si="63"/>
        <v>564</v>
      </c>
      <c r="MV47" s="237">
        <f t="shared" si="64"/>
        <v>39</v>
      </c>
      <c r="MW47" s="237">
        <f t="shared" si="65"/>
        <v>54</v>
      </c>
      <c r="MX47" s="237">
        <f t="shared" si="66"/>
        <v>54</v>
      </c>
      <c r="MY47" s="237">
        <f t="shared" si="67"/>
        <v>54</v>
      </c>
      <c r="MZ47" s="237">
        <f t="shared" si="68"/>
        <v>54</v>
      </c>
      <c r="NA47" s="237">
        <f t="shared" si="69"/>
        <v>54</v>
      </c>
      <c r="NB47" s="237">
        <f t="shared" si="70"/>
        <v>54</v>
      </c>
      <c r="NC47" s="237">
        <f t="shared" si="71"/>
        <v>54</v>
      </c>
      <c r="ND47" s="237">
        <f t="shared" si="72"/>
        <v>54</v>
      </c>
      <c r="NE47" s="237">
        <f t="shared" si="73"/>
        <v>54</v>
      </c>
      <c r="NF47" s="237">
        <f t="shared" si="74"/>
        <v>39</v>
      </c>
      <c r="NG47" s="237">
        <f t="shared" si="75"/>
        <v>0</v>
      </c>
      <c r="NH47" s="237">
        <f t="shared" si="76"/>
        <v>0</v>
      </c>
      <c r="NI47" s="237">
        <f t="shared" si="77"/>
        <v>0</v>
      </c>
      <c r="NJ47" s="237">
        <f t="shared" si="78"/>
        <v>0</v>
      </c>
      <c r="NK47" s="237">
        <f t="shared" si="79"/>
        <v>0</v>
      </c>
      <c r="NL47" s="237">
        <f t="shared" si="80"/>
        <v>0</v>
      </c>
      <c r="NM47" s="285">
        <f t="shared" si="81"/>
        <v>10</v>
      </c>
      <c r="NN47" s="280">
        <f t="shared" si="82"/>
        <v>564</v>
      </c>
      <c r="NP47" s="237">
        <f t="shared" si="83"/>
        <v>47</v>
      </c>
      <c r="NQ47" s="284">
        <f t="shared" si="84"/>
        <v>564</v>
      </c>
      <c r="NR47" s="237">
        <f t="shared" si="85"/>
        <v>39</v>
      </c>
      <c r="NS47" s="237">
        <f t="shared" si="86"/>
        <v>54</v>
      </c>
      <c r="NT47" s="237">
        <f t="shared" si="87"/>
        <v>54</v>
      </c>
      <c r="NU47" s="237">
        <f t="shared" si="88"/>
        <v>54</v>
      </c>
      <c r="NV47" s="237">
        <f t="shared" si="89"/>
        <v>54</v>
      </c>
      <c r="NW47" s="237">
        <f t="shared" si="90"/>
        <v>54</v>
      </c>
      <c r="NX47" s="237">
        <f t="shared" si="91"/>
        <v>54</v>
      </c>
      <c r="NY47" s="237">
        <f t="shared" si="92"/>
        <v>54</v>
      </c>
      <c r="NZ47" s="237">
        <f t="shared" si="93"/>
        <v>54</v>
      </c>
      <c r="OA47" s="237">
        <f t="shared" si="94"/>
        <v>54</v>
      </c>
      <c r="OB47" s="237">
        <f t="shared" si="95"/>
        <v>39</v>
      </c>
      <c r="OC47" s="237">
        <f t="shared" si="96"/>
        <v>0</v>
      </c>
      <c r="OD47" s="237">
        <f t="shared" si="97"/>
        <v>0</v>
      </c>
      <c r="OE47" s="237">
        <f t="shared" si="98"/>
        <v>0</v>
      </c>
      <c r="OF47" s="237">
        <f t="shared" si="99"/>
        <v>0</v>
      </c>
      <c r="OG47" s="237">
        <f t="shared" si="100"/>
        <v>0</v>
      </c>
      <c r="OH47" s="237">
        <f t="shared" si="101"/>
        <v>0</v>
      </c>
      <c r="OI47" s="285">
        <f t="shared" si="102"/>
        <v>10</v>
      </c>
      <c r="OJ47" s="280">
        <f t="shared" si="103"/>
        <v>564</v>
      </c>
    </row>
    <row r="48" spans="12:400" x14ac:dyDescent="0.3">
      <c r="AE48" s="127" t="str">
        <f t="shared" si="109"/>
        <v>L3x3x0.5</v>
      </c>
      <c r="AF48" s="138">
        <v>3.0000000000000004</v>
      </c>
      <c r="AG48" s="138">
        <v>3.0000000000000004</v>
      </c>
      <c r="AH48" s="138">
        <v>0.5</v>
      </c>
      <c r="AI48" s="138">
        <v>0.3125</v>
      </c>
      <c r="AJ48" s="138">
        <v>0.3125</v>
      </c>
      <c r="AK48">
        <f t="shared" si="110"/>
        <v>0.18770000000000001</v>
      </c>
      <c r="AM48" s="133" t="s">
        <v>85</v>
      </c>
      <c r="BD48" s="143" t="str">
        <f t="shared" si="4"/>
        <v>W12x26</v>
      </c>
      <c r="BE48">
        <v>12.000000000000002</v>
      </c>
      <c r="BF48" s="138">
        <v>26</v>
      </c>
      <c r="BG48" s="138">
        <v>12.22</v>
      </c>
      <c r="BH48" s="138">
        <v>0.23</v>
      </c>
      <c r="BI48" s="138">
        <v>6.49</v>
      </c>
      <c r="BJ48" s="138">
        <v>0.37999999999999995</v>
      </c>
      <c r="BK48" s="138">
        <v>0.3</v>
      </c>
      <c r="BL48" t="s">
        <v>181</v>
      </c>
      <c r="BM48" s="133" t="s">
        <v>85</v>
      </c>
      <c r="CF48" s="150" t="s">
        <v>317</v>
      </c>
      <c r="CG48">
        <v>1</v>
      </c>
      <c r="CH48">
        <v>8</v>
      </c>
      <c r="CI48" s="151" t="s">
        <v>261</v>
      </c>
      <c r="EH48" s="243">
        <v>48</v>
      </c>
      <c r="EI48" s="244">
        <v>576</v>
      </c>
      <c r="EJ48" s="90">
        <v>48</v>
      </c>
      <c r="EK48" s="90">
        <v>48</v>
      </c>
      <c r="EL48" s="90">
        <v>48</v>
      </c>
      <c r="EM48" s="90">
        <v>48</v>
      </c>
      <c r="EN48" s="90">
        <v>48</v>
      </c>
      <c r="EO48" s="90">
        <v>48</v>
      </c>
      <c r="EP48" s="90">
        <v>48</v>
      </c>
      <c r="EQ48" s="90">
        <v>48</v>
      </c>
      <c r="ER48" s="90">
        <v>48</v>
      </c>
      <c r="ES48" s="90">
        <v>48</v>
      </c>
      <c r="ET48" s="90">
        <v>48</v>
      </c>
      <c r="EU48" s="90">
        <v>48</v>
      </c>
      <c r="EV48" s="90" t="s">
        <v>1137</v>
      </c>
      <c r="EW48" s="90" t="s">
        <v>1137</v>
      </c>
      <c r="EX48" s="90" t="s">
        <v>1137</v>
      </c>
      <c r="EY48" s="90" t="s">
        <v>1137</v>
      </c>
      <c r="EZ48" s="90"/>
      <c r="FA48" s="224">
        <v>11</v>
      </c>
      <c r="FB48" s="245">
        <f t="shared" si="12"/>
        <v>576</v>
      </c>
      <c r="FD48" s="237">
        <f t="shared" si="108"/>
        <v>48</v>
      </c>
      <c r="FE48" s="246">
        <f t="shared" si="108"/>
        <v>576</v>
      </c>
      <c r="FF48" s="247">
        <f t="shared" si="108"/>
        <v>48</v>
      </c>
      <c r="FG48" s="247">
        <f t="shared" si="107"/>
        <v>48</v>
      </c>
      <c r="FH48" s="247">
        <f t="shared" si="107"/>
        <v>48</v>
      </c>
      <c r="FI48" s="247">
        <f t="shared" si="107"/>
        <v>48</v>
      </c>
      <c r="FJ48" s="247">
        <f t="shared" si="107"/>
        <v>48</v>
      </c>
      <c r="FK48" s="247">
        <f t="shared" si="107"/>
        <v>48</v>
      </c>
      <c r="FL48" s="247">
        <f t="shared" si="107"/>
        <v>48</v>
      </c>
      <c r="FM48" s="247">
        <f t="shared" si="107"/>
        <v>48</v>
      </c>
      <c r="FN48" s="247">
        <f t="shared" si="107"/>
        <v>48</v>
      </c>
      <c r="FO48" s="247">
        <f t="shared" si="107"/>
        <v>48</v>
      </c>
      <c r="FP48" s="247">
        <f t="shared" si="107"/>
        <v>48</v>
      </c>
      <c r="FQ48" s="247">
        <f t="shared" si="107"/>
        <v>48</v>
      </c>
      <c r="FR48" s="247" t="str">
        <f t="shared" si="107"/>
        <v xml:space="preserve"> </v>
      </c>
      <c r="FS48" s="247" t="str">
        <f t="shared" si="107"/>
        <v xml:space="preserve"> </v>
      </c>
      <c r="FT48" s="247" t="str">
        <f t="shared" si="105"/>
        <v xml:space="preserve"> </v>
      </c>
      <c r="FU48" s="247" t="str">
        <f t="shared" si="105"/>
        <v xml:space="preserve"> </v>
      </c>
      <c r="FV48" s="247">
        <f t="shared" si="105"/>
        <v>0</v>
      </c>
      <c r="FW48" s="248">
        <f t="shared" si="105"/>
        <v>11</v>
      </c>
      <c r="FX48" s="241">
        <f t="shared" si="105"/>
        <v>576</v>
      </c>
      <c r="FZ48" s="249">
        <v>48</v>
      </c>
      <c r="GA48" s="244">
        <v>576</v>
      </c>
      <c r="GB48" s="90">
        <v>48</v>
      </c>
      <c r="GC48" s="90">
        <v>60</v>
      </c>
      <c r="GD48" s="90">
        <v>60</v>
      </c>
      <c r="GE48" s="90">
        <v>60</v>
      </c>
      <c r="GF48" s="90">
        <v>60</v>
      </c>
      <c r="GG48" s="90">
        <v>60</v>
      </c>
      <c r="GH48" s="90">
        <v>60</v>
      </c>
      <c r="GI48" s="90">
        <v>60</v>
      </c>
      <c r="GJ48" s="90">
        <v>60</v>
      </c>
      <c r="GK48" s="90">
        <v>48</v>
      </c>
      <c r="GL48" s="90"/>
      <c r="GM48" s="90"/>
      <c r="GN48" s="90"/>
      <c r="GO48" s="90"/>
      <c r="GP48" s="90"/>
      <c r="GQ48" s="90"/>
      <c r="GR48" s="90"/>
      <c r="GS48" s="224">
        <v>9</v>
      </c>
      <c r="GT48" s="245">
        <f t="shared" si="14"/>
        <v>576</v>
      </c>
      <c r="GV48" s="237">
        <f t="shared" si="111"/>
        <v>48</v>
      </c>
      <c r="GW48" s="246">
        <f t="shared" si="111"/>
        <v>576</v>
      </c>
      <c r="GX48" s="247">
        <f t="shared" si="111"/>
        <v>48</v>
      </c>
      <c r="GY48" s="247">
        <f t="shared" si="111"/>
        <v>60</v>
      </c>
      <c r="GZ48" s="247">
        <f t="shared" si="111"/>
        <v>60</v>
      </c>
      <c r="HA48" s="247">
        <f t="shared" si="111"/>
        <v>60</v>
      </c>
      <c r="HB48" s="247">
        <f t="shared" si="111"/>
        <v>60</v>
      </c>
      <c r="HC48" s="247">
        <f t="shared" si="111"/>
        <v>60</v>
      </c>
      <c r="HD48" s="247">
        <f t="shared" si="111"/>
        <v>60</v>
      </c>
      <c r="HE48" s="247">
        <f t="shared" si="111"/>
        <v>60</v>
      </c>
      <c r="HF48" s="247">
        <f t="shared" si="111"/>
        <v>60</v>
      </c>
      <c r="HG48" s="247">
        <f t="shared" si="111"/>
        <v>48</v>
      </c>
      <c r="HH48" s="247">
        <f t="shared" si="111"/>
        <v>0</v>
      </c>
      <c r="HI48" s="247">
        <f t="shared" si="111"/>
        <v>0</v>
      </c>
      <c r="HJ48" s="247">
        <f t="shared" si="111"/>
        <v>0</v>
      </c>
      <c r="HK48" s="247">
        <f t="shared" si="111"/>
        <v>0</v>
      </c>
      <c r="HL48" s="247">
        <f t="shared" si="106"/>
        <v>0</v>
      </c>
      <c r="HM48" s="247">
        <f t="shared" si="10"/>
        <v>0</v>
      </c>
      <c r="HN48" s="247">
        <f t="shared" si="10"/>
        <v>0</v>
      </c>
      <c r="HO48" s="248">
        <f t="shared" si="10"/>
        <v>9</v>
      </c>
      <c r="HP48" s="241">
        <f t="shared" si="10"/>
        <v>576</v>
      </c>
      <c r="HR48" s="243">
        <v>48</v>
      </c>
      <c r="HS48" s="244">
        <v>576</v>
      </c>
      <c r="HT48" s="90">
        <v>72</v>
      </c>
      <c r="HU48" s="90">
        <v>72</v>
      </c>
      <c r="HV48" s="90">
        <v>72</v>
      </c>
      <c r="HW48" s="90">
        <v>72</v>
      </c>
      <c r="HX48" s="90">
        <v>72</v>
      </c>
      <c r="HY48" s="90">
        <v>72</v>
      </c>
      <c r="HZ48" s="90">
        <v>72</v>
      </c>
      <c r="IA48" s="90">
        <v>72</v>
      </c>
      <c r="IB48" s="90"/>
      <c r="IC48" s="90"/>
      <c r="ID48" s="90"/>
      <c r="IE48" s="90"/>
      <c r="IF48" s="90"/>
      <c r="IG48" s="90"/>
      <c r="IH48" s="90"/>
      <c r="II48" s="90"/>
      <c r="IJ48" s="90"/>
      <c r="IK48" s="224">
        <v>7</v>
      </c>
      <c r="IL48" s="245">
        <f t="shared" si="16"/>
        <v>576</v>
      </c>
      <c r="IN48" s="243">
        <v>48</v>
      </c>
      <c r="IO48" s="244">
        <v>576</v>
      </c>
      <c r="IP48" s="90">
        <v>78</v>
      </c>
      <c r="IQ48" s="90">
        <v>84</v>
      </c>
      <c r="IR48" s="90">
        <v>84</v>
      </c>
      <c r="IS48" s="90">
        <v>84</v>
      </c>
      <c r="IT48" s="90">
        <v>84</v>
      </c>
      <c r="IU48" s="90">
        <v>84</v>
      </c>
      <c r="IV48" s="90">
        <v>78</v>
      </c>
      <c r="IW48" s="90"/>
      <c r="IX48" s="90"/>
      <c r="IY48" s="90"/>
      <c r="IZ48" s="90"/>
      <c r="JA48" s="90"/>
      <c r="JB48" s="90"/>
      <c r="JC48" s="90"/>
      <c r="JD48" s="90"/>
      <c r="JE48" s="90"/>
      <c r="JF48" s="90"/>
      <c r="JG48" s="224">
        <v>6</v>
      </c>
      <c r="JH48" s="245">
        <f t="shared" si="17"/>
        <v>576</v>
      </c>
      <c r="JJ48" s="249">
        <v>48</v>
      </c>
      <c r="JK48" s="244">
        <v>576</v>
      </c>
      <c r="JL48" s="90">
        <v>96</v>
      </c>
      <c r="JM48" s="90">
        <v>96</v>
      </c>
      <c r="JN48" s="90">
        <v>96</v>
      </c>
      <c r="JO48" s="90">
        <v>96</v>
      </c>
      <c r="JP48" s="90">
        <v>96</v>
      </c>
      <c r="JQ48" s="90">
        <v>96</v>
      </c>
      <c r="JR48" s="90"/>
      <c r="JS48" s="90"/>
      <c r="JT48" s="90"/>
      <c r="JU48" s="90"/>
      <c r="JV48" s="90"/>
      <c r="JW48" s="90"/>
      <c r="JX48" s="90"/>
      <c r="JY48" s="90"/>
      <c r="JZ48" s="90"/>
      <c r="KA48" s="90"/>
      <c r="KB48" s="90"/>
      <c r="KC48" s="224">
        <v>5</v>
      </c>
      <c r="KD48" s="245">
        <f t="shared" si="18"/>
        <v>576</v>
      </c>
      <c r="KF48" s="243">
        <v>48</v>
      </c>
      <c r="KG48" s="244">
        <v>576</v>
      </c>
      <c r="KH48" s="90">
        <v>45</v>
      </c>
      <c r="KI48" s="90">
        <v>54</v>
      </c>
      <c r="KJ48" s="90">
        <v>54</v>
      </c>
      <c r="KK48" s="90">
        <v>54</v>
      </c>
      <c r="KL48" s="90">
        <v>54</v>
      </c>
      <c r="KM48" s="90">
        <v>54</v>
      </c>
      <c r="KN48" s="90">
        <v>54</v>
      </c>
      <c r="KO48" s="90">
        <v>54</v>
      </c>
      <c r="KP48" s="90">
        <v>54</v>
      </c>
      <c r="KQ48" s="90">
        <v>54</v>
      </c>
      <c r="KR48" s="90">
        <v>45</v>
      </c>
      <c r="KS48" s="90"/>
      <c r="KT48" s="90"/>
      <c r="KU48" s="90"/>
      <c r="KV48" s="90"/>
      <c r="KW48" s="90"/>
      <c r="KX48" s="90"/>
      <c r="KY48" s="224">
        <v>10</v>
      </c>
      <c r="KZ48" s="245">
        <f t="shared" si="19"/>
        <v>576</v>
      </c>
      <c r="LB48" s="237">
        <f t="shared" si="20"/>
        <v>48</v>
      </c>
      <c r="LC48" s="284">
        <f t="shared" si="21"/>
        <v>576</v>
      </c>
      <c r="LD48" s="237">
        <f t="shared" si="22"/>
        <v>45</v>
      </c>
      <c r="LE48" s="237">
        <f t="shared" si="23"/>
        <v>54</v>
      </c>
      <c r="LF48" s="237">
        <f t="shared" si="24"/>
        <v>54</v>
      </c>
      <c r="LG48" s="237">
        <f t="shared" si="25"/>
        <v>54</v>
      </c>
      <c r="LH48" s="237">
        <f t="shared" si="26"/>
        <v>54</v>
      </c>
      <c r="LI48" s="237">
        <f t="shared" si="27"/>
        <v>54</v>
      </c>
      <c r="LJ48" s="237">
        <f t="shared" si="28"/>
        <v>54</v>
      </c>
      <c r="LK48" s="237">
        <f t="shared" si="29"/>
        <v>54</v>
      </c>
      <c r="LL48" s="237">
        <f t="shared" si="30"/>
        <v>54</v>
      </c>
      <c r="LM48" s="237">
        <f t="shared" si="31"/>
        <v>54</v>
      </c>
      <c r="LN48" s="237">
        <f t="shared" si="32"/>
        <v>45</v>
      </c>
      <c r="LO48" s="237">
        <f t="shared" si="33"/>
        <v>0</v>
      </c>
      <c r="LP48" s="237">
        <f t="shared" si="34"/>
        <v>0</v>
      </c>
      <c r="LQ48" s="237">
        <f t="shared" si="35"/>
        <v>0</v>
      </c>
      <c r="LR48" s="237">
        <f t="shared" si="36"/>
        <v>0</v>
      </c>
      <c r="LS48" s="237">
        <f t="shared" si="37"/>
        <v>0</v>
      </c>
      <c r="LT48" s="237">
        <f t="shared" si="38"/>
        <v>0</v>
      </c>
      <c r="LU48" s="285">
        <f t="shared" si="39"/>
        <v>10</v>
      </c>
      <c r="LV48" s="280">
        <f t="shared" si="40"/>
        <v>576</v>
      </c>
      <c r="LX48" s="237">
        <f t="shared" si="41"/>
        <v>48</v>
      </c>
      <c r="LY48" s="284">
        <f t="shared" si="42"/>
        <v>576</v>
      </c>
      <c r="LZ48" s="237">
        <f t="shared" si="43"/>
        <v>45</v>
      </c>
      <c r="MA48" s="237">
        <f t="shared" si="44"/>
        <v>54</v>
      </c>
      <c r="MB48" s="237">
        <f t="shared" si="45"/>
        <v>54</v>
      </c>
      <c r="MC48" s="237">
        <f t="shared" si="46"/>
        <v>54</v>
      </c>
      <c r="MD48" s="237">
        <f t="shared" si="47"/>
        <v>54</v>
      </c>
      <c r="ME48" s="237">
        <f t="shared" si="48"/>
        <v>54</v>
      </c>
      <c r="MF48" s="237">
        <f t="shared" si="49"/>
        <v>54</v>
      </c>
      <c r="MG48" s="237">
        <f t="shared" si="50"/>
        <v>54</v>
      </c>
      <c r="MH48" s="237">
        <f t="shared" si="51"/>
        <v>54</v>
      </c>
      <c r="MI48" s="237">
        <f t="shared" si="52"/>
        <v>54</v>
      </c>
      <c r="MJ48" s="237">
        <f t="shared" si="53"/>
        <v>45</v>
      </c>
      <c r="MK48" s="237">
        <f t="shared" si="54"/>
        <v>0</v>
      </c>
      <c r="ML48" s="237">
        <f t="shared" si="55"/>
        <v>0</v>
      </c>
      <c r="MM48" s="237">
        <f t="shared" si="56"/>
        <v>0</v>
      </c>
      <c r="MN48" s="237">
        <f t="shared" si="57"/>
        <v>0</v>
      </c>
      <c r="MO48" s="237">
        <f t="shared" si="58"/>
        <v>0</v>
      </c>
      <c r="MP48" s="237">
        <f t="shared" si="59"/>
        <v>0</v>
      </c>
      <c r="MQ48" s="285">
        <f t="shared" si="60"/>
        <v>10</v>
      </c>
      <c r="MR48" s="280">
        <f t="shared" si="61"/>
        <v>576</v>
      </c>
      <c r="MT48" s="237">
        <f t="shared" si="62"/>
        <v>48</v>
      </c>
      <c r="MU48" s="284">
        <f t="shared" si="63"/>
        <v>576</v>
      </c>
      <c r="MV48" s="237">
        <f t="shared" si="64"/>
        <v>45</v>
      </c>
      <c r="MW48" s="237">
        <f t="shared" si="65"/>
        <v>54</v>
      </c>
      <c r="MX48" s="237">
        <f t="shared" si="66"/>
        <v>54</v>
      </c>
      <c r="MY48" s="237">
        <f t="shared" si="67"/>
        <v>54</v>
      </c>
      <c r="MZ48" s="237">
        <f t="shared" si="68"/>
        <v>54</v>
      </c>
      <c r="NA48" s="237">
        <f t="shared" si="69"/>
        <v>54</v>
      </c>
      <c r="NB48" s="237">
        <f t="shared" si="70"/>
        <v>54</v>
      </c>
      <c r="NC48" s="237">
        <f t="shared" si="71"/>
        <v>54</v>
      </c>
      <c r="ND48" s="237">
        <f t="shared" si="72"/>
        <v>54</v>
      </c>
      <c r="NE48" s="237">
        <f t="shared" si="73"/>
        <v>54</v>
      </c>
      <c r="NF48" s="237">
        <f t="shared" si="74"/>
        <v>45</v>
      </c>
      <c r="NG48" s="237">
        <f t="shared" si="75"/>
        <v>0</v>
      </c>
      <c r="NH48" s="237">
        <f t="shared" si="76"/>
        <v>0</v>
      </c>
      <c r="NI48" s="237">
        <f t="shared" si="77"/>
        <v>0</v>
      </c>
      <c r="NJ48" s="237">
        <f t="shared" si="78"/>
        <v>0</v>
      </c>
      <c r="NK48" s="237">
        <f t="shared" si="79"/>
        <v>0</v>
      </c>
      <c r="NL48" s="237">
        <f t="shared" si="80"/>
        <v>0</v>
      </c>
      <c r="NM48" s="285">
        <f t="shared" si="81"/>
        <v>10</v>
      </c>
      <c r="NN48" s="280">
        <f t="shared" si="82"/>
        <v>576</v>
      </c>
      <c r="NP48" s="237">
        <f t="shared" si="83"/>
        <v>48</v>
      </c>
      <c r="NQ48" s="284">
        <f t="shared" si="84"/>
        <v>576</v>
      </c>
      <c r="NR48" s="237">
        <f t="shared" si="85"/>
        <v>45</v>
      </c>
      <c r="NS48" s="237">
        <f t="shared" si="86"/>
        <v>54</v>
      </c>
      <c r="NT48" s="237">
        <f t="shared" si="87"/>
        <v>54</v>
      </c>
      <c r="NU48" s="237">
        <f t="shared" si="88"/>
        <v>54</v>
      </c>
      <c r="NV48" s="237">
        <f t="shared" si="89"/>
        <v>54</v>
      </c>
      <c r="NW48" s="237">
        <f t="shared" si="90"/>
        <v>54</v>
      </c>
      <c r="NX48" s="237">
        <f t="shared" si="91"/>
        <v>54</v>
      </c>
      <c r="NY48" s="237">
        <f t="shared" si="92"/>
        <v>54</v>
      </c>
      <c r="NZ48" s="237">
        <f t="shared" si="93"/>
        <v>54</v>
      </c>
      <c r="OA48" s="237">
        <f t="shared" si="94"/>
        <v>54</v>
      </c>
      <c r="OB48" s="237">
        <f t="shared" si="95"/>
        <v>45</v>
      </c>
      <c r="OC48" s="237">
        <f t="shared" si="96"/>
        <v>0</v>
      </c>
      <c r="OD48" s="237">
        <f t="shared" si="97"/>
        <v>0</v>
      </c>
      <c r="OE48" s="237">
        <f t="shared" si="98"/>
        <v>0</v>
      </c>
      <c r="OF48" s="237">
        <f t="shared" si="99"/>
        <v>0</v>
      </c>
      <c r="OG48" s="237">
        <f t="shared" si="100"/>
        <v>0</v>
      </c>
      <c r="OH48" s="237">
        <f t="shared" si="101"/>
        <v>0</v>
      </c>
      <c r="OI48" s="285">
        <f t="shared" si="102"/>
        <v>10</v>
      </c>
      <c r="OJ48" s="280">
        <f t="shared" si="103"/>
        <v>576</v>
      </c>
    </row>
    <row r="49" spans="31:400" x14ac:dyDescent="0.3">
      <c r="AE49" s="127" t="str">
        <f t="shared" si="109"/>
        <v>L3x3.5x0.25</v>
      </c>
      <c r="AF49" s="138">
        <v>3.0000000000000004</v>
      </c>
      <c r="AG49" s="138">
        <v>3.5</v>
      </c>
      <c r="AH49" s="138">
        <v>0.25</v>
      </c>
      <c r="AI49" s="138">
        <v>0.37500000000000006</v>
      </c>
      <c r="AJ49" s="138">
        <v>0.25</v>
      </c>
      <c r="AK49">
        <f t="shared" si="110"/>
        <v>2.0000000000000001E-4</v>
      </c>
      <c r="AL49" t="s">
        <v>107</v>
      </c>
      <c r="AM49" s="133" t="s">
        <v>85</v>
      </c>
      <c r="BD49" s="143" t="str">
        <f t="shared" si="4"/>
        <v>W12x30</v>
      </c>
      <c r="BE49">
        <v>12.000000000000002</v>
      </c>
      <c r="BF49" s="138">
        <v>30</v>
      </c>
      <c r="BG49" s="138">
        <v>12.34</v>
      </c>
      <c r="BH49" s="138">
        <v>0.26</v>
      </c>
      <c r="BI49" s="138">
        <v>6.52</v>
      </c>
      <c r="BJ49" s="138">
        <v>0.44</v>
      </c>
      <c r="BK49" s="138">
        <v>0.3</v>
      </c>
      <c r="BM49" s="133" t="s">
        <v>85</v>
      </c>
      <c r="CF49" s="150" t="s">
        <v>263</v>
      </c>
      <c r="CG49">
        <v>1</v>
      </c>
      <c r="CH49">
        <v>8</v>
      </c>
      <c r="CI49" s="151" t="s">
        <v>261</v>
      </c>
      <c r="EH49" s="232">
        <v>49</v>
      </c>
      <c r="EI49" s="256">
        <v>588</v>
      </c>
      <c r="EJ49" s="257">
        <v>30</v>
      </c>
      <c r="EK49" s="257">
        <v>48</v>
      </c>
      <c r="EL49" s="257">
        <v>48</v>
      </c>
      <c r="EM49" s="257">
        <v>48</v>
      </c>
      <c r="EN49" s="257">
        <v>48</v>
      </c>
      <c r="EO49" s="257">
        <v>48</v>
      </c>
      <c r="EP49" s="257">
        <v>48</v>
      </c>
      <c r="EQ49" s="257">
        <v>48</v>
      </c>
      <c r="ER49" s="257">
        <v>48</v>
      </c>
      <c r="ES49" s="257">
        <v>48</v>
      </c>
      <c r="ET49" s="257">
        <v>48</v>
      </c>
      <c r="EU49" s="257">
        <v>48</v>
      </c>
      <c r="EV49" s="257">
        <v>30</v>
      </c>
      <c r="EW49" s="257" t="s">
        <v>1137</v>
      </c>
      <c r="EX49" s="257" t="s">
        <v>1137</v>
      </c>
      <c r="EY49" s="257" t="s">
        <v>1137</v>
      </c>
      <c r="EZ49" s="257"/>
      <c r="FA49" s="258">
        <v>12</v>
      </c>
      <c r="FB49" s="236">
        <f t="shared" si="12"/>
        <v>588</v>
      </c>
      <c r="FD49" s="237">
        <f t="shared" si="108"/>
        <v>49</v>
      </c>
      <c r="FE49" s="246">
        <f t="shared" si="108"/>
        <v>588</v>
      </c>
      <c r="FF49" s="247">
        <f t="shared" si="108"/>
        <v>30</v>
      </c>
      <c r="FG49" s="247">
        <f t="shared" si="107"/>
        <v>48</v>
      </c>
      <c r="FH49" s="247">
        <f t="shared" si="107"/>
        <v>48</v>
      </c>
      <c r="FI49" s="247">
        <f t="shared" si="107"/>
        <v>48</v>
      </c>
      <c r="FJ49" s="247">
        <f t="shared" si="107"/>
        <v>48</v>
      </c>
      <c r="FK49" s="247">
        <f t="shared" si="107"/>
        <v>48</v>
      </c>
      <c r="FL49" s="247">
        <f t="shared" si="107"/>
        <v>48</v>
      </c>
      <c r="FM49" s="247">
        <f t="shared" si="107"/>
        <v>48</v>
      </c>
      <c r="FN49" s="247">
        <f t="shared" si="107"/>
        <v>48</v>
      </c>
      <c r="FO49" s="247">
        <f t="shared" si="107"/>
        <v>48</v>
      </c>
      <c r="FP49" s="247">
        <f t="shared" si="107"/>
        <v>48</v>
      </c>
      <c r="FQ49" s="247">
        <f t="shared" si="107"/>
        <v>48</v>
      </c>
      <c r="FR49" s="247">
        <f t="shared" si="107"/>
        <v>30</v>
      </c>
      <c r="FS49" s="247" t="str">
        <f t="shared" si="107"/>
        <v xml:space="preserve"> </v>
      </c>
      <c r="FT49" s="247" t="str">
        <f t="shared" si="105"/>
        <v xml:space="preserve"> </v>
      </c>
      <c r="FU49" s="247" t="str">
        <f t="shared" si="105"/>
        <v xml:space="preserve"> </v>
      </c>
      <c r="FV49" s="247">
        <f t="shared" si="105"/>
        <v>0</v>
      </c>
      <c r="FW49" s="248">
        <f t="shared" si="105"/>
        <v>12</v>
      </c>
      <c r="FX49" s="241">
        <f t="shared" si="105"/>
        <v>588</v>
      </c>
      <c r="FZ49" s="242">
        <v>49</v>
      </c>
      <c r="GA49" s="256">
        <v>588</v>
      </c>
      <c r="GB49" s="257">
        <v>54</v>
      </c>
      <c r="GC49" s="257">
        <v>60</v>
      </c>
      <c r="GD49" s="257">
        <v>60</v>
      </c>
      <c r="GE49" s="257">
        <v>60</v>
      </c>
      <c r="GF49" s="257">
        <v>60</v>
      </c>
      <c r="GG49" s="257">
        <v>60</v>
      </c>
      <c r="GH49" s="257">
        <v>60</v>
      </c>
      <c r="GI49" s="257">
        <v>60</v>
      </c>
      <c r="GJ49" s="257">
        <v>60</v>
      </c>
      <c r="GK49" s="257">
        <v>54</v>
      </c>
      <c r="GL49" s="257"/>
      <c r="GM49" s="257"/>
      <c r="GN49" s="257"/>
      <c r="GO49" s="257"/>
      <c r="GP49" s="257"/>
      <c r="GQ49" s="257"/>
      <c r="GR49" s="257"/>
      <c r="GS49" s="258">
        <v>9</v>
      </c>
      <c r="GT49" s="236">
        <f t="shared" si="14"/>
        <v>588</v>
      </c>
      <c r="GV49" s="237">
        <f t="shared" si="111"/>
        <v>49</v>
      </c>
      <c r="GW49" s="246">
        <f t="shared" si="111"/>
        <v>588</v>
      </c>
      <c r="GX49" s="247">
        <f t="shared" si="111"/>
        <v>54</v>
      </c>
      <c r="GY49" s="247">
        <f t="shared" si="111"/>
        <v>60</v>
      </c>
      <c r="GZ49" s="247">
        <f t="shared" si="111"/>
        <v>60</v>
      </c>
      <c r="HA49" s="247">
        <f t="shared" si="111"/>
        <v>60</v>
      </c>
      <c r="HB49" s="247">
        <f t="shared" si="111"/>
        <v>60</v>
      </c>
      <c r="HC49" s="247">
        <f t="shared" si="111"/>
        <v>60</v>
      </c>
      <c r="HD49" s="247">
        <f t="shared" si="111"/>
        <v>60</v>
      </c>
      <c r="HE49" s="247">
        <f t="shared" si="111"/>
        <v>60</v>
      </c>
      <c r="HF49" s="247">
        <f t="shared" si="111"/>
        <v>60</v>
      </c>
      <c r="HG49" s="247">
        <f t="shared" si="111"/>
        <v>54</v>
      </c>
      <c r="HH49" s="247">
        <f t="shared" si="111"/>
        <v>0</v>
      </c>
      <c r="HI49" s="247">
        <f t="shared" si="111"/>
        <v>0</v>
      </c>
      <c r="HJ49" s="247">
        <f t="shared" si="111"/>
        <v>0</v>
      </c>
      <c r="HK49" s="247">
        <f t="shared" si="111"/>
        <v>0</v>
      </c>
      <c r="HL49" s="247">
        <f t="shared" si="106"/>
        <v>0</v>
      </c>
      <c r="HM49" s="247">
        <f t="shared" si="10"/>
        <v>0</v>
      </c>
      <c r="HN49" s="247">
        <f t="shared" si="10"/>
        <v>0</v>
      </c>
      <c r="HO49" s="248">
        <f t="shared" si="10"/>
        <v>9</v>
      </c>
      <c r="HP49" s="241">
        <f t="shared" si="10"/>
        <v>588</v>
      </c>
      <c r="HR49" s="232">
        <v>49</v>
      </c>
      <c r="HS49" s="256">
        <v>588</v>
      </c>
      <c r="HT49" s="257">
        <v>42</v>
      </c>
      <c r="HU49" s="257">
        <v>72</v>
      </c>
      <c r="HV49" s="257">
        <v>72</v>
      </c>
      <c r="HW49" s="257">
        <v>72</v>
      </c>
      <c r="HX49" s="257">
        <v>72</v>
      </c>
      <c r="HY49" s="257">
        <v>72</v>
      </c>
      <c r="HZ49" s="257">
        <v>72</v>
      </c>
      <c r="IA49" s="257">
        <v>72</v>
      </c>
      <c r="IB49" s="257">
        <v>42</v>
      </c>
      <c r="IC49" s="257"/>
      <c r="ID49" s="257"/>
      <c r="IE49" s="257"/>
      <c r="IF49" s="257"/>
      <c r="IG49" s="257"/>
      <c r="IH49" s="257"/>
      <c r="II49" s="257"/>
      <c r="IJ49" s="257"/>
      <c r="IK49" s="258">
        <v>8</v>
      </c>
      <c r="IL49" s="236">
        <f t="shared" si="16"/>
        <v>588</v>
      </c>
      <c r="IN49" s="232">
        <v>49</v>
      </c>
      <c r="IO49" s="256">
        <v>588</v>
      </c>
      <c r="IP49" s="257">
        <v>84</v>
      </c>
      <c r="IQ49" s="257">
        <v>84</v>
      </c>
      <c r="IR49" s="257">
        <v>84</v>
      </c>
      <c r="IS49" s="257">
        <v>84</v>
      </c>
      <c r="IT49" s="257">
        <v>84</v>
      </c>
      <c r="IU49" s="257">
        <v>84</v>
      </c>
      <c r="IV49" s="257">
        <v>84</v>
      </c>
      <c r="IW49" s="257"/>
      <c r="IX49" s="257"/>
      <c r="IY49" s="257"/>
      <c r="IZ49" s="257"/>
      <c r="JA49" s="257"/>
      <c r="JB49" s="257"/>
      <c r="JC49" s="257"/>
      <c r="JD49" s="257"/>
      <c r="JE49" s="257"/>
      <c r="JF49" s="257"/>
      <c r="JG49" s="258">
        <v>6</v>
      </c>
      <c r="JH49" s="236">
        <f t="shared" si="17"/>
        <v>588</v>
      </c>
      <c r="JJ49" s="242">
        <v>49</v>
      </c>
      <c r="JK49" s="256">
        <v>588</v>
      </c>
      <c r="JL49" s="257">
        <v>54</v>
      </c>
      <c r="JM49" s="257">
        <v>96</v>
      </c>
      <c r="JN49" s="257">
        <v>96</v>
      </c>
      <c r="JO49" s="257">
        <v>96</v>
      </c>
      <c r="JP49" s="257">
        <v>96</v>
      </c>
      <c r="JQ49" s="257">
        <v>96</v>
      </c>
      <c r="JR49" s="257">
        <v>54</v>
      </c>
      <c r="JS49" s="257"/>
      <c r="JT49" s="257"/>
      <c r="JU49" s="257"/>
      <c r="JV49" s="257"/>
      <c r="JW49" s="257"/>
      <c r="JX49" s="257"/>
      <c r="JY49" s="257"/>
      <c r="JZ49" s="257"/>
      <c r="KA49" s="257"/>
      <c r="KB49" s="257"/>
      <c r="KC49" s="258">
        <v>6</v>
      </c>
      <c r="KD49" s="236">
        <f t="shared" si="18"/>
        <v>588</v>
      </c>
      <c r="KF49" s="232">
        <v>49</v>
      </c>
      <c r="KG49" s="256">
        <v>588</v>
      </c>
      <c r="KH49" s="257">
        <v>51</v>
      </c>
      <c r="KI49" s="257">
        <v>54</v>
      </c>
      <c r="KJ49" s="257">
        <v>54</v>
      </c>
      <c r="KK49" s="257">
        <v>54</v>
      </c>
      <c r="KL49" s="257">
        <v>54</v>
      </c>
      <c r="KM49" s="257">
        <v>54</v>
      </c>
      <c r="KN49" s="257">
        <v>54</v>
      </c>
      <c r="KO49" s="257">
        <v>54</v>
      </c>
      <c r="KP49" s="257">
        <v>54</v>
      </c>
      <c r="KQ49" s="257">
        <v>54</v>
      </c>
      <c r="KR49" s="257">
        <v>51</v>
      </c>
      <c r="KS49" s="257"/>
      <c r="KT49" s="257"/>
      <c r="KU49" s="257"/>
      <c r="KV49" s="257"/>
      <c r="KW49" s="257"/>
      <c r="KX49" s="257"/>
      <c r="KY49" s="258">
        <v>10</v>
      </c>
      <c r="KZ49" s="236">
        <f t="shared" si="19"/>
        <v>588</v>
      </c>
      <c r="LB49" s="237">
        <f t="shared" si="20"/>
        <v>49</v>
      </c>
      <c r="LC49" s="284">
        <f t="shared" si="21"/>
        <v>588</v>
      </c>
      <c r="LD49" s="237">
        <f t="shared" si="22"/>
        <v>51</v>
      </c>
      <c r="LE49" s="237">
        <f t="shared" si="23"/>
        <v>54</v>
      </c>
      <c r="LF49" s="237">
        <f t="shared" si="24"/>
        <v>54</v>
      </c>
      <c r="LG49" s="237">
        <f t="shared" si="25"/>
        <v>54</v>
      </c>
      <c r="LH49" s="237">
        <f t="shared" si="26"/>
        <v>54</v>
      </c>
      <c r="LI49" s="237">
        <f t="shared" si="27"/>
        <v>54</v>
      </c>
      <c r="LJ49" s="237">
        <f t="shared" si="28"/>
        <v>54</v>
      </c>
      <c r="LK49" s="237">
        <f t="shared" si="29"/>
        <v>54</v>
      </c>
      <c r="LL49" s="237">
        <f t="shared" si="30"/>
        <v>54</v>
      </c>
      <c r="LM49" s="237">
        <f t="shared" si="31"/>
        <v>54</v>
      </c>
      <c r="LN49" s="237">
        <f t="shared" si="32"/>
        <v>51</v>
      </c>
      <c r="LO49" s="237">
        <f t="shared" si="33"/>
        <v>0</v>
      </c>
      <c r="LP49" s="237">
        <f t="shared" si="34"/>
        <v>0</v>
      </c>
      <c r="LQ49" s="237">
        <f t="shared" si="35"/>
        <v>0</v>
      </c>
      <c r="LR49" s="237">
        <f t="shared" si="36"/>
        <v>0</v>
      </c>
      <c r="LS49" s="237">
        <f t="shared" si="37"/>
        <v>0</v>
      </c>
      <c r="LT49" s="237">
        <f t="shared" si="38"/>
        <v>0</v>
      </c>
      <c r="LU49" s="285">
        <f t="shared" si="39"/>
        <v>10</v>
      </c>
      <c r="LV49" s="280">
        <f t="shared" si="40"/>
        <v>588</v>
      </c>
      <c r="LX49" s="237">
        <f t="shared" si="41"/>
        <v>49</v>
      </c>
      <c r="LY49" s="284">
        <f t="shared" si="42"/>
        <v>588</v>
      </c>
      <c r="LZ49" s="237">
        <f t="shared" si="43"/>
        <v>51</v>
      </c>
      <c r="MA49" s="237">
        <f t="shared" si="44"/>
        <v>54</v>
      </c>
      <c r="MB49" s="237">
        <f t="shared" si="45"/>
        <v>54</v>
      </c>
      <c r="MC49" s="237">
        <f t="shared" si="46"/>
        <v>54</v>
      </c>
      <c r="MD49" s="237">
        <f t="shared" si="47"/>
        <v>54</v>
      </c>
      <c r="ME49" s="237">
        <f t="shared" si="48"/>
        <v>54</v>
      </c>
      <c r="MF49" s="237">
        <f t="shared" si="49"/>
        <v>54</v>
      </c>
      <c r="MG49" s="237">
        <f t="shared" si="50"/>
        <v>54</v>
      </c>
      <c r="MH49" s="237">
        <f t="shared" si="51"/>
        <v>54</v>
      </c>
      <c r="MI49" s="237">
        <f t="shared" si="52"/>
        <v>54</v>
      </c>
      <c r="MJ49" s="237">
        <f t="shared" si="53"/>
        <v>51</v>
      </c>
      <c r="MK49" s="237">
        <f t="shared" si="54"/>
        <v>0</v>
      </c>
      <c r="ML49" s="237">
        <f t="shared" si="55"/>
        <v>0</v>
      </c>
      <c r="MM49" s="237">
        <f t="shared" si="56"/>
        <v>0</v>
      </c>
      <c r="MN49" s="237">
        <f t="shared" si="57"/>
        <v>0</v>
      </c>
      <c r="MO49" s="237">
        <f t="shared" si="58"/>
        <v>0</v>
      </c>
      <c r="MP49" s="237">
        <f t="shared" si="59"/>
        <v>0</v>
      </c>
      <c r="MQ49" s="285">
        <f t="shared" si="60"/>
        <v>10</v>
      </c>
      <c r="MR49" s="280">
        <f t="shared" si="61"/>
        <v>588</v>
      </c>
      <c r="MT49" s="237">
        <f t="shared" si="62"/>
        <v>49</v>
      </c>
      <c r="MU49" s="284">
        <f t="shared" si="63"/>
        <v>588</v>
      </c>
      <c r="MV49" s="237">
        <f t="shared" si="64"/>
        <v>51</v>
      </c>
      <c r="MW49" s="237">
        <f t="shared" si="65"/>
        <v>54</v>
      </c>
      <c r="MX49" s="237">
        <f t="shared" si="66"/>
        <v>54</v>
      </c>
      <c r="MY49" s="237">
        <f t="shared" si="67"/>
        <v>54</v>
      </c>
      <c r="MZ49" s="237">
        <f t="shared" si="68"/>
        <v>54</v>
      </c>
      <c r="NA49" s="237">
        <f t="shared" si="69"/>
        <v>54</v>
      </c>
      <c r="NB49" s="237">
        <f t="shared" si="70"/>
        <v>54</v>
      </c>
      <c r="NC49" s="237">
        <f t="shared" si="71"/>
        <v>54</v>
      </c>
      <c r="ND49" s="237">
        <f t="shared" si="72"/>
        <v>54</v>
      </c>
      <c r="NE49" s="237">
        <f t="shared" si="73"/>
        <v>54</v>
      </c>
      <c r="NF49" s="237">
        <f t="shared" si="74"/>
        <v>51</v>
      </c>
      <c r="NG49" s="237">
        <f t="shared" si="75"/>
        <v>0</v>
      </c>
      <c r="NH49" s="237">
        <f t="shared" si="76"/>
        <v>0</v>
      </c>
      <c r="NI49" s="237">
        <f t="shared" si="77"/>
        <v>0</v>
      </c>
      <c r="NJ49" s="237">
        <f t="shared" si="78"/>
        <v>0</v>
      </c>
      <c r="NK49" s="237">
        <f t="shared" si="79"/>
        <v>0</v>
      </c>
      <c r="NL49" s="237">
        <f t="shared" si="80"/>
        <v>0</v>
      </c>
      <c r="NM49" s="285">
        <f t="shared" si="81"/>
        <v>10</v>
      </c>
      <c r="NN49" s="280">
        <f t="shared" si="82"/>
        <v>588</v>
      </c>
      <c r="NP49" s="237">
        <f t="shared" si="83"/>
        <v>49</v>
      </c>
      <c r="NQ49" s="284">
        <f t="shared" si="84"/>
        <v>588</v>
      </c>
      <c r="NR49" s="237">
        <f t="shared" si="85"/>
        <v>51</v>
      </c>
      <c r="NS49" s="237">
        <f t="shared" si="86"/>
        <v>54</v>
      </c>
      <c r="NT49" s="237">
        <f t="shared" si="87"/>
        <v>54</v>
      </c>
      <c r="NU49" s="237">
        <f t="shared" si="88"/>
        <v>54</v>
      </c>
      <c r="NV49" s="237">
        <f t="shared" si="89"/>
        <v>54</v>
      </c>
      <c r="NW49" s="237">
        <f t="shared" si="90"/>
        <v>54</v>
      </c>
      <c r="NX49" s="237">
        <f t="shared" si="91"/>
        <v>54</v>
      </c>
      <c r="NY49" s="237">
        <f t="shared" si="92"/>
        <v>54</v>
      </c>
      <c r="NZ49" s="237">
        <f t="shared" si="93"/>
        <v>54</v>
      </c>
      <c r="OA49" s="237">
        <f t="shared" si="94"/>
        <v>54</v>
      </c>
      <c r="OB49" s="237">
        <f t="shared" si="95"/>
        <v>51</v>
      </c>
      <c r="OC49" s="237">
        <f t="shared" si="96"/>
        <v>0</v>
      </c>
      <c r="OD49" s="237">
        <f t="shared" si="97"/>
        <v>0</v>
      </c>
      <c r="OE49" s="237">
        <f t="shared" si="98"/>
        <v>0</v>
      </c>
      <c r="OF49" s="237">
        <f t="shared" si="99"/>
        <v>0</v>
      </c>
      <c r="OG49" s="237">
        <f t="shared" si="100"/>
        <v>0</v>
      </c>
      <c r="OH49" s="237">
        <f t="shared" si="101"/>
        <v>0</v>
      </c>
      <c r="OI49" s="285">
        <f t="shared" si="102"/>
        <v>10</v>
      </c>
      <c r="OJ49" s="280">
        <f t="shared" si="103"/>
        <v>588</v>
      </c>
    </row>
    <row r="50" spans="31:400" x14ac:dyDescent="0.3">
      <c r="AE50" s="127" t="str">
        <f t="shared" si="109"/>
        <v>L3x3.5x0.3125</v>
      </c>
      <c r="AF50" s="138">
        <v>3.0000000000000004</v>
      </c>
      <c r="AG50" s="138">
        <v>3.5</v>
      </c>
      <c r="AH50" s="138">
        <v>0.3125</v>
      </c>
      <c r="AI50" s="138">
        <v>0.37500000000000006</v>
      </c>
      <c r="AJ50" s="138">
        <v>0.3125</v>
      </c>
      <c r="AK50">
        <f t="shared" si="110"/>
        <v>2.0000000000000001E-4</v>
      </c>
      <c r="AM50" s="133" t="s">
        <v>85</v>
      </c>
      <c r="BD50" s="143" t="str">
        <f t="shared" si="4"/>
        <v>W12x35</v>
      </c>
      <c r="BE50">
        <v>12.000000000000002</v>
      </c>
      <c r="BF50" s="138">
        <v>35</v>
      </c>
      <c r="BG50" s="138">
        <v>12.5</v>
      </c>
      <c r="BH50" s="138">
        <v>0.3</v>
      </c>
      <c r="BI50" s="138">
        <v>6.56</v>
      </c>
      <c r="BJ50" s="138">
        <v>0.52</v>
      </c>
      <c r="BK50" s="138">
        <v>0.3</v>
      </c>
      <c r="BM50" s="133" t="s">
        <v>85</v>
      </c>
      <c r="CF50" s="150" t="s">
        <v>318</v>
      </c>
      <c r="CG50">
        <v>1</v>
      </c>
      <c r="CH50">
        <v>7</v>
      </c>
      <c r="CI50" s="151" t="s">
        <v>261</v>
      </c>
      <c r="EH50" s="243">
        <v>50</v>
      </c>
      <c r="EI50" s="244">
        <v>600</v>
      </c>
      <c r="EJ50" s="90">
        <v>36</v>
      </c>
      <c r="EK50" s="90">
        <v>48</v>
      </c>
      <c r="EL50" s="90">
        <v>48</v>
      </c>
      <c r="EM50" s="90">
        <v>48</v>
      </c>
      <c r="EN50" s="90">
        <v>48</v>
      </c>
      <c r="EO50" s="90">
        <v>48</v>
      </c>
      <c r="EP50" s="90">
        <v>48</v>
      </c>
      <c r="EQ50" s="90">
        <v>48</v>
      </c>
      <c r="ER50" s="90">
        <v>48</v>
      </c>
      <c r="ES50" s="90">
        <v>48</v>
      </c>
      <c r="ET50" s="90">
        <v>48</v>
      </c>
      <c r="EU50" s="90">
        <v>48</v>
      </c>
      <c r="EV50" s="90">
        <v>36</v>
      </c>
      <c r="EW50" s="90" t="s">
        <v>1137</v>
      </c>
      <c r="EX50" s="90" t="s">
        <v>1137</v>
      </c>
      <c r="EY50" s="90" t="s">
        <v>1137</v>
      </c>
      <c r="EZ50" s="90"/>
      <c r="FA50" s="224">
        <v>12</v>
      </c>
      <c r="FB50" s="245">
        <f t="shared" si="12"/>
        <v>600</v>
      </c>
      <c r="FD50" s="237">
        <f t="shared" si="108"/>
        <v>50</v>
      </c>
      <c r="FE50" s="246">
        <f t="shared" si="108"/>
        <v>600</v>
      </c>
      <c r="FF50" s="247">
        <f t="shared" si="108"/>
        <v>36</v>
      </c>
      <c r="FG50" s="247">
        <f t="shared" si="107"/>
        <v>48</v>
      </c>
      <c r="FH50" s="247">
        <f t="shared" si="107"/>
        <v>48</v>
      </c>
      <c r="FI50" s="247">
        <f t="shared" si="107"/>
        <v>48</v>
      </c>
      <c r="FJ50" s="247">
        <f t="shared" si="107"/>
        <v>48</v>
      </c>
      <c r="FK50" s="247">
        <f t="shared" si="107"/>
        <v>48</v>
      </c>
      <c r="FL50" s="247">
        <f t="shared" si="107"/>
        <v>48</v>
      </c>
      <c r="FM50" s="247">
        <f t="shared" si="107"/>
        <v>48</v>
      </c>
      <c r="FN50" s="247">
        <f t="shared" si="107"/>
        <v>48</v>
      </c>
      <c r="FO50" s="247">
        <f t="shared" si="107"/>
        <v>48</v>
      </c>
      <c r="FP50" s="247">
        <f t="shared" si="107"/>
        <v>48</v>
      </c>
      <c r="FQ50" s="247">
        <f t="shared" si="107"/>
        <v>48</v>
      </c>
      <c r="FR50" s="247">
        <f t="shared" si="107"/>
        <v>36</v>
      </c>
      <c r="FS50" s="247" t="str">
        <f t="shared" si="107"/>
        <v xml:space="preserve"> </v>
      </c>
      <c r="FT50" s="247" t="str">
        <f t="shared" si="105"/>
        <v xml:space="preserve"> </v>
      </c>
      <c r="FU50" s="247" t="str">
        <f t="shared" si="105"/>
        <v xml:space="preserve"> </v>
      </c>
      <c r="FV50" s="247">
        <f t="shared" si="105"/>
        <v>0</v>
      </c>
      <c r="FW50" s="248">
        <f t="shared" si="105"/>
        <v>12</v>
      </c>
      <c r="FX50" s="241">
        <f t="shared" si="105"/>
        <v>600</v>
      </c>
      <c r="FZ50" s="249">
        <v>50</v>
      </c>
      <c r="GA50" s="244">
        <v>600</v>
      </c>
      <c r="GB50" s="90">
        <v>60</v>
      </c>
      <c r="GC50" s="90">
        <v>60</v>
      </c>
      <c r="GD50" s="90">
        <v>60</v>
      </c>
      <c r="GE50" s="90">
        <v>60</v>
      </c>
      <c r="GF50" s="90">
        <v>60</v>
      </c>
      <c r="GG50" s="90">
        <v>60</v>
      </c>
      <c r="GH50" s="90">
        <v>60</v>
      </c>
      <c r="GI50" s="90">
        <v>60</v>
      </c>
      <c r="GJ50" s="90">
        <v>60</v>
      </c>
      <c r="GK50" s="90">
        <v>60</v>
      </c>
      <c r="GL50" s="90"/>
      <c r="GM50" s="90"/>
      <c r="GN50" s="90"/>
      <c r="GO50" s="90"/>
      <c r="GP50" s="90"/>
      <c r="GQ50" s="90"/>
      <c r="GR50" s="90"/>
      <c r="GS50" s="224">
        <v>9</v>
      </c>
      <c r="GT50" s="245">
        <f t="shared" si="14"/>
        <v>600</v>
      </c>
      <c r="GV50" s="237">
        <f t="shared" si="111"/>
        <v>50</v>
      </c>
      <c r="GW50" s="246">
        <f t="shared" si="111"/>
        <v>600</v>
      </c>
      <c r="GX50" s="247">
        <f t="shared" si="111"/>
        <v>60</v>
      </c>
      <c r="GY50" s="247">
        <f t="shared" si="111"/>
        <v>60</v>
      </c>
      <c r="GZ50" s="247">
        <f t="shared" si="111"/>
        <v>60</v>
      </c>
      <c r="HA50" s="247">
        <f t="shared" si="111"/>
        <v>60</v>
      </c>
      <c r="HB50" s="247">
        <f t="shared" si="111"/>
        <v>60</v>
      </c>
      <c r="HC50" s="247">
        <f t="shared" si="111"/>
        <v>60</v>
      </c>
      <c r="HD50" s="247">
        <f t="shared" si="111"/>
        <v>60</v>
      </c>
      <c r="HE50" s="247">
        <f t="shared" si="111"/>
        <v>60</v>
      </c>
      <c r="HF50" s="247">
        <f t="shared" si="111"/>
        <v>60</v>
      </c>
      <c r="HG50" s="247">
        <f t="shared" si="111"/>
        <v>60</v>
      </c>
      <c r="HH50" s="247">
        <f t="shared" si="111"/>
        <v>0</v>
      </c>
      <c r="HI50" s="247">
        <f t="shared" si="111"/>
        <v>0</v>
      </c>
      <c r="HJ50" s="247">
        <f t="shared" si="111"/>
        <v>0</v>
      </c>
      <c r="HK50" s="247">
        <f t="shared" si="111"/>
        <v>0</v>
      </c>
      <c r="HL50" s="247">
        <f t="shared" si="106"/>
        <v>0</v>
      </c>
      <c r="HM50" s="247">
        <f t="shared" si="10"/>
        <v>0</v>
      </c>
      <c r="HN50" s="247">
        <f t="shared" si="10"/>
        <v>0</v>
      </c>
      <c r="HO50" s="248">
        <f t="shared" si="10"/>
        <v>9</v>
      </c>
      <c r="HP50" s="241">
        <f t="shared" si="10"/>
        <v>600</v>
      </c>
      <c r="HR50" s="243">
        <v>50</v>
      </c>
      <c r="HS50" s="244">
        <v>600</v>
      </c>
      <c r="HT50" s="90">
        <v>48</v>
      </c>
      <c r="HU50" s="90">
        <v>72</v>
      </c>
      <c r="HV50" s="90">
        <v>72</v>
      </c>
      <c r="HW50" s="90">
        <v>72</v>
      </c>
      <c r="HX50" s="90">
        <v>72</v>
      </c>
      <c r="HY50" s="90">
        <v>72</v>
      </c>
      <c r="HZ50" s="90">
        <v>72</v>
      </c>
      <c r="IA50" s="90">
        <v>72</v>
      </c>
      <c r="IB50" s="90">
        <v>48</v>
      </c>
      <c r="IC50" s="90"/>
      <c r="ID50" s="90"/>
      <c r="IE50" s="90"/>
      <c r="IF50" s="90"/>
      <c r="IG50" s="90"/>
      <c r="IH50" s="90"/>
      <c r="II50" s="90"/>
      <c r="IJ50" s="90"/>
      <c r="IK50" s="224">
        <v>8</v>
      </c>
      <c r="IL50" s="245">
        <f t="shared" si="16"/>
        <v>600</v>
      </c>
      <c r="IN50" s="243">
        <v>50</v>
      </c>
      <c r="IO50" s="244">
        <v>600</v>
      </c>
      <c r="IP50" s="90">
        <v>48</v>
      </c>
      <c r="IQ50" s="90">
        <v>84</v>
      </c>
      <c r="IR50" s="90">
        <v>84</v>
      </c>
      <c r="IS50" s="90">
        <v>84</v>
      </c>
      <c r="IT50" s="90">
        <v>84</v>
      </c>
      <c r="IU50" s="90">
        <v>84</v>
      </c>
      <c r="IV50" s="90">
        <v>84</v>
      </c>
      <c r="IW50" s="90">
        <v>48</v>
      </c>
      <c r="IX50" s="90"/>
      <c r="IY50" s="90"/>
      <c r="IZ50" s="90"/>
      <c r="JA50" s="90"/>
      <c r="JB50" s="90"/>
      <c r="JC50" s="90"/>
      <c r="JD50" s="90"/>
      <c r="JE50" s="90"/>
      <c r="JF50" s="90"/>
      <c r="JG50" s="224">
        <v>7</v>
      </c>
      <c r="JH50" s="245">
        <f t="shared" si="17"/>
        <v>600</v>
      </c>
      <c r="JJ50" s="249">
        <v>50</v>
      </c>
      <c r="JK50" s="244">
        <v>600</v>
      </c>
      <c r="JL50" s="90">
        <v>60</v>
      </c>
      <c r="JM50" s="90">
        <v>96</v>
      </c>
      <c r="JN50" s="90">
        <v>96</v>
      </c>
      <c r="JO50" s="90">
        <v>96</v>
      </c>
      <c r="JP50" s="90">
        <v>96</v>
      </c>
      <c r="JQ50" s="90">
        <v>96</v>
      </c>
      <c r="JR50" s="90">
        <v>60</v>
      </c>
      <c r="JS50" s="90"/>
      <c r="JT50" s="90"/>
      <c r="JU50" s="90"/>
      <c r="JV50" s="90"/>
      <c r="JW50" s="90"/>
      <c r="JX50" s="90"/>
      <c r="JY50" s="90"/>
      <c r="JZ50" s="90"/>
      <c r="KA50" s="90"/>
      <c r="KB50" s="90"/>
      <c r="KC50" s="224">
        <v>6</v>
      </c>
      <c r="KD50" s="245">
        <f t="shared" si="18"/>
        <v>600</v>
      </c>
      <c r="KF50" s="243">
        <v>50</v>
      </c>
      <c r="KG50" s="244">
        <v>600</v>
      </c>
      <c r="KH50" s="90">
        <v>30</v>
      </c>
      <c r="KI50" s="90">
        <v>54</v>
      </c>
      <c r="KJ50" s="90">
        <v>54</v>
      </c>
      <c r="KK50" s="90">
        <v>54</v>
      </c>
      <c r="KL50" s="90">
        <v>54</v>
      </c>
      <c r="KM50" s="90">
        <v>54</v>
      </c>
      <c r="KN50" s="90">
        <v>54</v>
      </c>
      <c r="KO50" s="90">
        <v>54</v>
      </c>
      <c r="KP50" s="90">
        <v>54</v>
      </c>
      <c r="KQ50" s="90">
        <v>54</v>
      </c>
      <c r="KR50" s="90">
        <v>54</v>
      </c>
      <c r="KS50" s="90">
        <v>30</v>
      </c>
      <c r="KT50" s="90"/>
      <c r="KU50" s="90"/>
      <c r="KV50" s="90"/>
      <c r="KW50" s="90"/>
      <c r="KX50" s="90"/>
      <c r="KY50" s="224">
        <v>11</v>
      </c>
      <c r="KZ50" s="245">
        <f t="shared" si="19"/>
        <v>600</v>
      </c>
      <c r="LB50" s="237">
        <f t="shared" si="20"/>
        <v>50</v>
      </c>
      <c r="LC50" s="284">
        <f t="shared" si="21"/>
        <v>600</v>
      </c>
      <c r="LD50" s="237">
        <f t="shared" si="22"/>
        <v>30</v>
      </c>
      <c r="LE50" s="237">
        <f t="shared" si="23"/>
        <v>54</v>
      </c>
      <c r="LF50" s="237">
        <f t="shared" si="24"/>
        <v>54</v>
      </c>
      <c r="LG50" s="237">
        <f t="shared" si="25"/>
        <v>54</v>
      </c>
      <c r="LH50" s="237">
        <f t="shared" si="26"/>
        <v>54</v>
      </c>
      <c r="LI50" s="237">
        <f t="shared" si="27"/>
        <v>54</v>
      </c>
      <c r="LJ50" s="237">
        <f t="shared" si="28"/>
        <v>54</v>
      </c>
      <c r="LK50" s="237">
        <f t="shared" si="29"/>
        <v>54</v>
      </c>
      <c r="LL50" s="237">
        <f t="shared" si="30"/>
        <v>54</v>
      </c>
      <c r="LM50" s="237">
        <f t="shared" si="31"/>
        <v>54</v>
      </c>
      <c r="LN50" s="237">
        <f t="shared" si="32"/>
        <v>54</v>
      </c>
      <c r="LO50" s="237">
        <f t="shared" si="33"/>
        <v>30</v>
      </c>
      <c r="LP50" s="237">
        <f t="shared" si="34"/>
        <v>0</v>
      </c>
      <c r="LQ50" s="237">
        <f t="shared" si="35"/>
        <v>0</v>
      </c>
      <c r="LR50" s="237">
        <f t="shared" si="36"/>
        <v>0</v>
      </c>
      <c r="LS50" s="237">
        <f t="shared" si="37"/>
        <v>0</v>
      </c>
      <c r="LT50" s="237">
        <f t="shared" si="38"/>
        <v>0</v>
      </c>
      <c r="LU50" s="285">
        <f t="shared" si="39"/>
        <v>11</v>
      </c>
      <c r="LV50" s="280">
        <f t="shared" si="40"/>
        <v>600</v>
      </c>
      <c r="LX50" s="237">
        <f t="shared" si="41"/>
        <v>50</v>
      </c>
      <c r="LY50" s="284">
        <f t="shared" si="42"/>
        <v>600</v>
      </c>
      <c r="LZ50" s="237">
        <f t="shared" si="43"/>
        <v>30</v>
      </c>
      <c r="MA50" s="237">
        <f t="shared" si="44"/>
        <v>54</v>
      </c>
      <c r="MB50" s="237">
        <f t="shared" si="45"/>
        <v>54</v>
      </c>
      <c r="MC50" s="237">
        <f t="shared" si="46"/>
        <v>54</v>
      </c>
      <c r="MD50" s="237">
        <f t="shared" si="47"/>
        <v>54</v>
      </c>
      <c r="ME50" s="237">
        <f t="shared" si="48"/>
        <v>54</v>
      </c>
      <c r="MF50" s="237">
        <f t="shared" si="49"/>
        <v>54</v>
      </c>
      <c r="MG50" s="237">
        <f t="shared" si="50"/>
        <v>54</v>
      </c>
      <c r="MH50" s="237">
        <f t="shared" si="51"/>
        <v>54</v>
      </c>
      <c r="MI50" s="237">
        <f t="shared" si="52"/>
        <v>54</v>
      </c>
      <c r="MJ50" s="237">
        <f t="shared" si="53"/>
        <v>54</v>
      </c>
      <c r="MK50" s="237">
        <f t="shared" si="54"/>
        <v>30</v>
      </c>
      <c r="ML50" s="237">
        <f t="shared" si="55"/>
        <v>0</v>
      </c>
      <c r="MM50" s="237">
        <f t="shared" si="56"/>
        <v>0</v>
      </c>
      <c r="MN50" s="237">
        <f t="shared" si="57"/>
        <v>0</v>
      </c>
      <c r="MO50" s="237">
        <f t="shared" si="58"/>
        <v>0</v>
      </c>
      <c r="MP50" s="237">
        <f t="shared" si="59"/>
        <v>0</v>
      </c>
      <c r="MQ50" s="285">
        <f t="shared" si="60"/>
        <v>11</v>
      </c>
      <c r="MR50" s="280">
        <f t="shared" si="61"/>
        <v>600</v>
      </c>
      <c r="MT50" s="237">
        <f t="shared" si="62"/>
        <v>50</v>
      </c>
      <c r="MU50" s="284">
        <f t="shared" si="63"/>
        <v>600</v>
      </c>
      <c r="MV50" s="237">
        <f t="shared" si="64"/>
        <v>30</v>
      </c>
      <c r="MW50" s="237">
        <f t="shared" si="65"/>
        <v>54</v>
      </c>
      <c r="MX50" s="237">
        <f t="shared" si="66"/>
        <v>54</v>
      </c>
      <c r="MY50" s="237">
        <f t="shared" si="67"/>
        <v>54</v>
      </c>
      <c r="MZ50" s="237">
        <f t="shared" si="68"/>
        <v>54</v>
      </c>
      <c r="NA50" s="237">
        <f t="shared" si="69"/>
        <v>54</v>
      </c>
      <c r="NB50" s="237">
        <f t="shared" si="70"/>
        <v>54</v>
      </c>
      <c r="NC50" s="237">
        <f t="shared" si="71"/>
        <v>54</v>
      </c>
      <c r="ND50" s="237">
        <f t="shared" si="72"/>
        <v>54</v>
      </c>
      <c r="NE50" s="237">
        <f t="shared" si="73"/>
        <v>54</v>
      </c>
      <c r="NF50" s="237">
        <f t="shared" si="74"/>
        <v>54</v>
      </c>
      <c r="NG50" s="237">
        <f t="shared" si="75"/>
        <v>30</v>
      </c>
      <c r="NH50" s="237">
        <f t="shared" si="76"/>
        <v>0</v>
      </c>
      <c r="NI50" s="237">
        <f t="shared" si="77"/>
        <v>0</v>
      </c>
      <c r="NJ50" s="237">
        <f t="shared" si="78"/>
        <v>0</v>
      </c>
      <c r="NK50" s="237">
        <f t="shared" si="79"/>
        <v>0</v>
      </c>
      <c r="NL50" s="237">
        <f t="shared" si="80"/>
        <v>0</v>
      </c>
      <c r="NM50" s="285">
        <f t="shared" si="81"/>
        <v>11</v>
      </c>
      <c r="NN50" s="280">
        <f t="shared" si="82"/>
        <v>600</v>
      </c>
      <c r="NP50" s="237">
        <f t="shared" si="83"/>
        <v>50</v>
      </c>
      <c r="NQ50" s="284">
        <f t="shared" si="84"/>
        <v>600</v>
      </c>
      <c r="NR50" s="237">
        <f t="shared" si="85"/>
        <v>30</v>
      </c>
      <c r="NS50" s="237">
        <f t="shared" si="86"/>
        <v>54</v>
      </c>
      <c r="NT50" s="237">
        <f t="shared" si="87"/>
        <v>54</v>
      </c>
      <c r="NU50" s="237">
        <f t="shared" si="88"/>
        <v>54</v>
      </c>
      <c r="NV50" s="237">
        <f t="shared" si="89"/>
        <v>54</v>
      </c>
      <c r="NW50" s="237">
        <f t="shared" si="90"/>
        <v>54</v>
      </c>
      <c r="NX50" s="237">
        <f t="shared" si="91"/>
        <v>54</v>
      </c>
      <c r="NY50" s="237">
        <f t="shared" si="92"/>
        <v>54</v>
      </c>
      <c r="NZ50" s="237">
        <f t="shared" si="93"/>
        <v>54</v>
      </c>
      <c r="OA50" s="237">
        <f t="shared" si="94"/>
        <v>54</v>
      </c>
      <c r="OB50" s="237">
        <f t="shared" si="95"/>
        <v>54</v>
      </c>
      <c r="OC50" s="237">
        <f t="shared" si="96"/>
        <v>30</v>
      </c>
      <c r="OD50" s="237">
        <f t="shared" si="97"/>
        <v>0</v>
      </c>
      <c r="OE50" s="237">
        <f t="shared" si="98"/>
        <v>0</v>
      </c>
      <c r="OF50" s="237">
        <f t="shared" si="99"/>
        <v>0</v>
      </c>
      <c r="OG50" s="237">
        <f t="shared" si="100"/>
        <v>0</v>
      </c>
      <c r="OH50" s="237">
        <f t="shared" si="101"/>
        <v>0</v>
      </c>
      <c r="OI50" s="285">
        <f t="shared" si="102"/>
        <v>11</v>
      </c>
      <c r="OJ50" s="280">
        <f t="shared" si="103"/>
        <v>600</v>
      </c>
    </row>
    <row r="51" spans="31:400" x14ac:dyDescent="0.3">
      <c r="AE51" s="127" t="str">
        <f t="shared" si="109"/>
        <v>L3x3.5x0.375</v>
      </c>
      <c r="AF51" s="138">
        <v>3.0000000000000004</v>
      </c>
      <c r="AG51" s="138">
        <v>3.5</v>
      </c>
      <c r="AH51" s="138">
        <v>0.37500000000000006</v>
      </c>
      <c r="AI51" s="138">
        <v>0.37500000000000006</v>
      </c>
      <c r="AJ51" s="138">
        <v>0.37500000000000006</v>
      </c>
      <c r="AK51">
        <f t="shared" si="110"/>
        <v>2.0000000000000001E-4</v>
      </c>
      <c r="AM51" s="133" t="s">
        <v>85</v>
      </c>
      <c r="BD51" s="143" t="str">
        <f t="shared" si="4"/>
        <v>W12x40</v>
      </c>
      <c r="BE51">
        <v>12.000000000000002</v>
      </c>
      <c r="BF51" s="138">
        <v>40</v>
      </c>
      <c r="BG51" s="138">
        <v>11.94</v>
      </c>
      <c r="BH51" s="138">
        <v>0.29499999999999998</v>
      </c>
      <c r="BI51" s="138">
        <v>8.0050000000000008</v>
      </c>
      <c r="BJ51" s="138">
        <v>0.51500000000000001</v>
      </c>
      <c r="BK51" s="138">
        <v>0.6</v>
      </c>
      <c r="BM51" s="133" t="s">
        <v>85</v>
      </c>
      <c r="CF51" s="150" t="s">
        <v>319</v>
      </c>
      <c r="CG51">
        <v>1</v>
      </c>
      <c r="CH51">
        <v>7</v>
      </c>
      <c r="CI51" s="151" t="s">
        <v>261</v>
      </c>
      <c r="EH51" s="250">
        <v>51</v>
      </c>
      <c r="EI51" s="251">
        <v>612</v>
      </c>
      <c r="EJ51" s="252">
        <v>42</v>
      </c>
      <c r="EK51" s="252">
        <v>48</v>
      </c>
      <c r="EL51" s="252">
        <v>48</v>
      </c>
      <c r="EM51" s="252">
        <v>48</v>
      </c>
      <c r="EN51" s="252">
        <v>48</v>
      </c>
      <c r="EO51" s="252">
        <v>48</v>
      </c>
      <c r="EP51" s="252">
        <v>48</v>
      </c>
      <c r="EQ51" s="252">
        <v>48</v>
      </c>
      <c r="ER51" s="252">
        <v>48</v>
      </c>
      <c r="ES51" s="252">
        <v>48</v>
      </c>
      <c r="ET51" s="252">
        <v>48</v>
      </c>
      <c r="EU51" s="252">
        <v>48</v>
      </c>
      <c r="EV51" s="252">
        <v>42</v>
      </c>
      <c r="EW51" s="252" t="s">
        <v>1137</v>
      </c>
      <c r="EX51" s="252" t="s">
        <v>1137</v>
      </c>
      <c r="EY51" s="252" t="s">
        <v>1137</v>
      </c>
      <c r="EZ51" s="252"/>
      <c r="FA51" s="253">
        <v>12</v>
      </c>
      <c r="FB51" s="254">
        <f t="shared" si="12"/>
        <v>612</v>
      </c>
      <c r="FD51" s="237">
        <f t="shared" si="108"/>
        <v>51</v>
      </c>
      <c r="FE51" s="246">
        <f t="shared" si="108"/>
        <v>612</v>
      </c>
      <c r="FF51" s="247">
        <f t="shared" si="108"/>
        <v>42</v>
      </c>
      <c r="FG51" s="247">
        <f t="shared" si="107"/>
        <v>48</v>
      </c>
      <c r="FH51" s="247">
        <f t="shared" si="107"/>
        <v>48</v>
      </c>
      <c r="FI51" s="247">
        <f t="shared" si="107"/>
        <v>48</v>
      </c>
      <c r="FJ51" s="247">
        <f t="shared" si="107"/>
        <v>48</v>
      </c>
      <c r="FK51" s="247">
        <f t="shared" si="107"/>
        <v>48</v>
      </c>
      <c r="FL51" s="247">
        <f t="shared" si="107"/>
        <v>48</v>
      </c>
      <c r="FM51" s="247">
        <f t="shared" si="107"/>
        <v>48</v>
      </c>
      <c r="FN51" s="247">
        <f t="shared" si="107"/>
        <v>48</v>
      </c>
      <c r="FO51" s="247">
        <f t="shared" si="107"/>
        <v>48</v>
      </c>
      <c r="FP51" s="247">
        <f t="shared" si="107"/>
        <v>48</v>
      </c>
      <c r="FQ51" s="247">
        <f t="shared" si="107"/>
        <v>48</v>
      </c>
      <c r="FR51" s="247">
        <f t="shared" si="107"/>
        <v>42</v>
      </c>
      <c r="FS51" s="247" t="str">
        <f t="shared" si="107"/>
        <v xml:space="preserve"> </v>
      </c>
      <c r="FT51" s="247" t="str">
        <f t="shared" si="105"/>
        <v xml:space="preserve"> </v>
      </c>
      <c r="FU51" s="247" t="str">
        <f t="shared" si="105"/>
        <v xml:space="preserve"> </v>
      </c>
      <c r="FV51" s="247">
        <f t="shared" si="105"/>
        <v>0</v>
      </c>
      <c r="FW51" s="248">
        <f t="shared" si="105"/>
        <v>12</v>
      </c>
      <c r="FX51" s="241">
        <f t="shared" si="105"/>
        <v>612</v>
      </c>
      <c r="FZ51" s="255">
        <v>51</v>
      </c>
      <c r="GA51" s="251">
        <v>612</v>
      </c>
      <c r="GB51" s="252">
        <v>36</v>
      </c>
      <c r="GC51" s="252">
        <v>60</v>
      </c>
      <c r="GD51" s="252">
        <v>60</v>
      </c>
      <c r="GE51" s="252">
        <v>60</v>
      </c>
      <c r="GF51" s="252">
        <v>60</v>
      </c>
      <c r="GG51" s="252">
        <v>60</v>
      </c>
      <c r="GH51" s="252">
        <v>60</v>
      </c>
      <c r="GI51" s="252">
        <v>60</v>
      </c>
      <c r="GJ51" s="252">
        <v>60</v>
      </c>
      <c r="GK51" s="252">
        <v>60</v>
      </c>
      <c r="GL51" s="252">
        <v>36</v>
      </c>
      <c r="GM51" s="252"/>
      <c r="GN51" s="252"/>
      <c r="GO51" s="252"/>
      <c r="GP51" s="252"/>
      <c r="GQ51" s="252"/>
      <c r="GR51" s="252"/>
      <c r="GS51" s="253">
        <v>10</v>
      </c>
      <c r="GT51" s="254">
        <f t="shared" si="14"/>
        <v>612</v>
      </c>
      <c r="GV51" s="237">
        <f t="shared" si="111"/>
        <v>51</v>
      </c>
      <c r="GW51" s="246">
        <f t="shared" si="111"/>
        <v>612</v>
      </c>
      <c r="GX51" s="247">
        <f t="shared" si="111"/>
        <v>36</v>
      </c>
      <c r="GY51" s="247">
        <f t="shared" si="111"/>
        <v>60</v>
      </c>
      <c r="GZ51" s="247">
        <f t="shared" si="111"/>
        <v>60</v>
      </c>
      <c r="HA51" s="247">
        <f t="shared" si="111"/>
        <v>60</v>
      </c>
      <c r="HB51" s="247">
        <f t="shared" si="111"/>
        <v>60</v>
      </c>
      <c r="HC51" s="247">
        <f t="shared" si="111"/>
        <v>60</v>
      </c>
      <c r="HD51" s="247">
        <f t="shared" si="111"/>
        <v>60</v>
      </c>
      <c r="HE51" s="247">
        <f t="shared" si="111"/>
        <v>60</v>
      </c>
      <c r="HF51" s="247">
        <f t="shared" si="111"/>
        <v>60</v>
      </c>
      <c r="HG51" s="247">
        <f t="shared" si="111"/>
        <v>60</v>
      </c>
      <c r="HH51" s="247">
        <f t="shared" si="111"/>
        <v>36</v>
      </c>
      <c r="HI51" s="247">
        <f t="shared" si="111"/>
        <v>0</v>
      </c>
      <c r="HJ51" s="247">
        <f t="shared" si="111"/>
        <v>0</v>
      </c>
      <c r="HK51" s="247">
        <f t="shared" ref="HK51:HK65" si="112">GO51</f>
        <v>0</v>
      </c>
      <c r="HL51" s="247">
        <f t="shared" si="106"/>
        <v>0</v>
      </c>
      <c r="HM51" s="247">
        <f t="shared" si="10"/>
        <v>0</v>
      </c>
      <c r="HN51" s="247">
        <f t="shared" si="10"/>
        <v>0</v>
      </c>
      <c r="HO51" s="248">
        <f t="shared" si="10"/>
        <v>10</v>
      </c>
      <c r="HP51" s="241">
        <f t="shared" si="10"/>
        <v>612</v>
      </c>
      <c r="HR51" s="250">
        <v>51</v>
      </c>
      <c r="HS51" s="251">
        <v>612</v>
      </c>
      <c r="HT51" s="252">
        <v>54</v>
      </c>
      <c r="HU51" s="252">
        <v>72</v>
      </c>
      <c r="HV51" s="252">
        <v>72</v>
      </c>
      <c r="HW51" s="252">
        <v>72</v>
      </c>
      <c r="HX51" s="252">
        <v>72</v>
      </c>
      <c r="HY51" s="252">
        <v>72</v>
      </c>
      <c r="HZ51" s="252">
        <v>72</v>
      </c>
      <c r="IA51" s="252">
        <v>72</v>
      </c>
      <c r="IB51" s="252">
        <v>54</v>
      </c>
      <c r="IC51" s="252"/>
      <c r="ID51" s="252"/>
      <c r="IE51" s="252"/>
      <c r="IF51" s="252"/>
      <c r="IG51" s="252"/>
      <c r="IH51" s="252"/>
      <c r="II51" s="252"/>
      <c r="IJ51" s="252"/>
      <c r="IK51" s="253">
        <v>8</v>
      </c>
      <c r="IL51" s="254">
        <f t="shared" si="16"/>
        <v>612</v>
      </c>
      <c r="IN51" s="250">
        <v>51</v>
      </c>
      <c r="IO51" s="251">
        <v>612</v>
      </c>
      <c r="IP51" s="252">
        <v>54</v>
      </c>
      <c r="IQ51" s="252">
        <v>84</v>
      </c>
      <c r="IR51" s="252">
        <v>84</v>
      </c>
      <c r="IS51" s="252">
        <v>84</v>
      </c>
      <c r="IT51" s="252">
        <v>84</v>
      </c>
      <c r="IU51" s="252">
        <v>84</v>
      </c>
      <c r="IV51" s="252">
        <v>84</v>
      </c>
      <c r="IW51" s="252">
        <v>54</v>
      </c>
      <c r="IX51" s="252"/>
      <c r="IY51" s="252"/>
      <c r="IZ51" s="252"/>
      <c r="JA51" s="252"/>
      <c r="JB51" s="252"/>
      <c r="JC51" s="252"/>
      <c r="JD51" s="252"/>
      <c r="JE51" s="252"/>
      <c r="JF51" s="252"/>
      <c r="JG51" s="253">
        <v>7</v>
      </c>
      <c r="JH51" s="254">
        <f t="shared" si="17"/>
        <v>612</v>
      </c>
      <c r="JJ51" s="255">
        <v>51</v>
      </c>
      <c r="JK51" s="251">
        <v>612</v>
      </c>
      <c r="JL51" s="252">
        <v>66</v>
      </c>
      <c r="JM51" s="252">
        <v>96</v>
      </c>
      <c r="JN51" s="252">
        <v>96</v>
      </c>
      <c r="JO51" s="252">
        <v>96</v>
      </c>
      <c r="JP51" s="252">
        <v>96</v>
      </c>
      <c r="JQ51" s="252">
        <v>96</v>
      </c>
      <c r="JR51" s="252">
        <v>66</v>
      </c>
      <c r="JS51" s="252"/>
      <c r="JT51" s="252"/>
      <c r="JU51" s="252"/>
      <c r="JV51" s="252"/>
      <c r="JW51" s="252"/>
      <c r="JX51" s="252"/>
      <c r="JY51" s="252"/>
      <c r="JZ51" s="252"/>
      <c r="KA51" s="252"/>
      <c r="KB51" s="252"/>
      <c r="KC51" s="253">
        <v>6</v>
      </c>
      <c r="KD51" s="254">
        <f t="shared" si="18"/>
        <v>612</v>
      </c>
      <c r="KF51" s="250">
        <v>51</v>
      </c>
      <c r="KG51" s="251">
        <v>612</v>
      </c>
      <c r="KH51" s="252">
        <v>36</v>
      </c>
      <c r="KI51" s="252">
        <v>54</v>
      </c>
      <c r="KJ51" s="252">
        <v>54</v>
      </c>
      <c r="KK51" s="252">
        <v>54</v>
      </c>
      <c r="KL51" s="252">
        <v>54</v>
      </c>
      <c r="KM51" s="252">
        <v>54</v>
      </c>
      <c r="KN51" s="252">
        <v>54</v>
      </c>
      <c r="KO51" s="252">
        <v>54</v>
      </c>
      <c r="KP51" s="252">
        <v>54</v>
      </c>
      <c r="KQ51" s="252">
        <v>54</v>
      </c>
      <c r="KR51" s="252">
        <v>54</v>
      </c>
      <c r="KS51" s="252">
        <v>36</v>
      </c>
      <c r="KT51" s="252"/>
      <c r="KU51" s="252"/>
      <c r="KV51" s="252"/>
      <c r="KW51" s="252"/>
      <c r="KX51" s="252"/>
      <c r="KY51" s="253">
        <v>11</v>
      </c>
      <c r="KZ51" s="254">
        <f t="shared" si="19"/>
        <v>612</v>
      </c>
      <c r="LB51" s="237">
        <f t="shared" si="20"/>
        <v>51</v>
      </c>
      <c r="LC51" s="284">
        <f t="shared" si="21"/>
        <v>612</v>
      </c>
      <c r="LD51" s="237">
        <f t="shared" si="22"/>
        <v>36</v>
      </c>
      <c r="LE51" s="237">
        <f t="shared" si="23"/>
        <v>54</v>
      </c>
      <c r="LF51" s="237">
        <f t="shared" si="24"/>
        <v>54</v>
      </c>
      <c r="LG51" s="237">
        <f t="shared" si="25"/>
        <v>54</v>
      </c>
      <c r="LH51" s="237">
        <f t="shared" si="26"/>
        <v>54</v>
      </c>
      <c r="LI51" s="237">
        <f t="shared" si="27"/>
        <v>54</v>
      </c>
      <c r="LJ51" s="237">
        <f t="shared" si="28"/>
        <v>54</v>
      </c>
      <c r="LK51" s="237">
        <f t="shared" si="29"/>
        <v>54</v>
      </c>
      <c r="LL51" s="237">
        <f t="shared" si="30"/>
        <v>54</v>
      </c>
      <c r="LM51" s="237">
        <f t="shared" si="31"/>
        <v>54</v>
      </c>
      <c r="LN51" s="237">
        <f t="shared" si="32"/>
        <v>54</v>
      </c>
      <c r="LO51" s="237">
        <f t="shared" si="33"/>
        <v>36</v>
      </c>
      <c r="LP51" s="237">
        <f t="shared" si="34"/>
        <v>0</v>
      </c>
      <c r="LQ51" s="237">
        <f t="shared" si="35"/>
        <v>0</v>
      </c>
      <c r="LR51" s="237">
        <f t="shared" si="36"/>
        <v>0</v>
      </c>
      <c r="LS51" s="237">
        <f t="shared" si="37"/>
        <v>0</v>
      </c>
      <c r="LT51" s="237">
        <f t="shared" si="38"/>
        <v>0</v>
      </c>
      <c r="LU51" s="285">
        <f t="shared" si="39"/>
        <v>11</v>
      </c>
      <c r="LV51" s="280">
        <f t="shared" si="40"/>
        <v>612</v>
      </c>
      <c r="LX51" s="237">
        <f t="shared" si="41"/>
        <v>51</v>
      </c>
      <c r="LY51" s="284">
        <f t="shared" si="42"/>
        <v>612</v>
      </c>
      <c r="LZ51" s="237">
        <f t="shared" si="43"/>
        <v>36</v>
      </c>
      <c r="MA51" s="237">
        <f t="shared" si="44"/>
        <v>54</v>
      </c>
      <c r="MB51" s="237">
        <f t="shared" si="45"/>
        <v>54</v>
      </c>
      <c r="MC51" s="237">
        <f t="shared" si="46"/>
        <v>54</v>
      </c>
      <c r="MD51" s="237">
        <f t="shared" si="47"/>
        <v>54</v>
      </c>
      <c r="ME51" s="237">
        <f t="shared" si="48"/>
        <v>54</v>
      </c>
      <c r="MF51" s="237">
        <f t="shared" si="49"/>
        <v>54</v>
      </c>
      <c r="MG51" s="237">
        <f t="shared" si="50"/>
        <v>54</v>
      </c>
      <c r="MH51" s="237">
        <f t="shared" si="51"/>
        <v>54</v>
      </c>
      <c r="MI51" s="237">
        <f t="shared" si="52"/>
        <v>54</v>
      </c>
      <c r="MJ51" s="237">
        <f t="shared" si="53"/>
        <v>54</v>
      </c>
      <c r="MK51" s="237">
        <f t="shared" si="54"/>
        <v>36</v>
      </c>
      <c r="ML51" s="237">
        <f t="shared" si="55"/>
        <v>0</v>
      </c>
      <c r="MM51" s="237">
        <f t="shared" si="56"/>
        <v>0</v>
      </c>
      <c r="MN51" s="237">
        <f t="shared" si="57"/>
        <v>0</v>
      </c>
      <c r="MO51" s="237">
        <f t="shared" si="58"/>
        <v>0</v>
      </c>
      <c r="MP51" s="237">
        <f t="shared" si="59"/>
        <v>0</v>
      </c>
      <c r="MQ51" s="285">
        <f t="shared" si="60"/>
        <v>11</v>
      </c>
      <c r="MR51" s="280">
        <f t="shared" si="61"/>
        <v>612</v>
      </c>
      <c r="MT51" s="237">
        <f t="shared" si="62"/>
        <v>51</v>
      </c>
      <c r="MU51" s="284">
        <f t="shared" si="63"/>
        <v>612</v>
      </c>
      <c r="MV51" s="237">
        <f t="shared" si="64"/>
        <v>36</v>
      </c>
      <c r="MW51" s="237">
        <f t="shared" si="65"/>
        <v>54</v>
      </c>
      <c r="MX51" s="237">
        <f t="shared" si="66"/>
        <v>54</v>
      </c>
      <c r="MY51" s="237">
        <f t="shared" si="67"/>
        <v>54</v>
      </c>
      <c r="MZ51" s="237">
        <f t="shared" si="68"/>
        <v>54</v>
      </c>
      <c r="NA51" s="237">
        <f t="shared" si="69"/>
        <v>54</v>
      </c>
      <c r="NB51" s="237">
        <f t="shared" si="70"/>
        <v>54</v>
      </c>
      <c r="NC51" s="237">
        <f t="shared" si="71"/>
        <v>54</v>
      </c>
      <c r="ND51" s="237">
        <f t="shared" si="72"/>
        <v>54</v>
      </c>
      <c r="NE51" s="237">
        <f t="shared" si="73"/>
        <v>54</v>
      </c>
      <c r="NF51" s="237">
        <f t="shared" si="74"/>
        <v>54</v>
      </c>
      <c r="NG51" s="237">
        <f t="shared" si="75"/>
        <v>36</v>
      </c>
      <c r="NH51" s="237">
        <f t="shared" si="76"/>
        <v>0</v>
      </c>
      <c r="NI51" s="237">
        <f t="shared" si="77"/>
        <v>0</v>
      </c>
      <c r="NJ51" s="237">
        <f t="shared" si="78"/>
        <v>0</v>
      </c>
      <c r="NK51" s="237">
        <f t="shared" si="79"/>
        <v>0</v>
      </c>
      <c r="NL51" s="237">
        <f t="shared" si="80"/>
        <v>0</v>
      </c>
      <c r="NM51" s="285">
        <f t="shared" si="81"/>
        <v>11</v>
      </c>
      <c r="NN51" s="280">
        <f t="shared" si="82"/>
        <v>612</v>
      </c>
      <c r="NP51" s="237">
        <f t="shared" si="83"/>
        <v>51</v>
      </c>
      <c r="NQ51" s="284">
        <f t="shared" si="84"/>
        <v>612</v>
      </c>
      <c r="NR51" s="237">
        <f t="shared" si="85"/>
        <v>36</v>
      </c>
      <c r="NS51" s="237">
        <f t="shared" si="86"/>
        <v>54</v>
      </c>
      <c r="NT51" s="237">
        <f t="shared" si="87"/>
        <v>54</v>
      </c>
      <c r="NU51" s="237">
        <f t="shared" si="88"/>
        <v>54</v>
      </c>
      <c r="NV51" s="237">
        <f t="shared" si="89"/>
        <v>54</v>
      </c>
      <c r="NW51" s="237">
        <f t="shared" si="90"/>
        <v>54</v>
      </c>
      <c r="NX51" s="237">
        <f t="shared" si="91"/>
        <v>54</v>
      </c>
      <c r="NY51" s="237">
        <f t="shared" si="92"/>
        <v>54</v>
      </c>
      <c r="NZ51" s="237">
        <f t="shared" si="93"/>
        <v>54</v>
      </c>
      <c r="OA51" s="237">
        <f t="shared" si="94"/>
        <v>54</v>
      </c>
      <c r="OB51" s="237">
        <f t="shared" si="95"/>
        <v>54</v>
      </c>
      <c r="OC51" s="237">
        <f t="shared" si="96"/>
        <v>36</v>
      </c>
      <c r="OD51" s="237">
        <f t="shared" si="97"/>
        <v>0</v>
      </c>
      <c r="OE51" s="237">
        <f t="shared" si="98"/>
        <v>0</v>
      </c>
      <c r="OF51" s="237">
        <f t="shared" si="99"/>
        <v>0</v>
      </c>
      <c r="OG51" s="237">
        <f t="shared" si="100"/>
        <v>0</v>
      </c>
      <c r="OH51" s="237">
        <f t="shared" si="101"/>
        <v>0</v>
      </c>
      <c r="OI51" s="285">
        <f t="shared" si="102"/>
        <v>11</v>
      </c>
      <c r="OJ51" s="280">
        <f t="shared" si="103"/>
        <v>612</v>
      </c>
    </row>
    <row r="52" spans="31:400" x14ac:dyDescent="0.3">
      <c r="AE52" s="127" t="str">
        <f t="shared" si="109"/>
        <v>L3x3.5x0.4375</v>
      </c>
      <c r="AF52" s="138">
        <v>3.0000000000000004</v>
      </c>
      <c r="AG52" s="138">
        <v>3.5</v>
      </c>
      <c r="AH52" s="138">
        <v>0.4375</v>
      </c>
      <c r="AI52" s="138">
        <v>0.37500000000000006</v>
      </c>
      <c r="AJ52" s="138">
        <v>0.37500000000000006</v>
      </c>
      <c r="AK52">
        <f t="shared" si="110"/>
        <v>6.269999999999995E-2</v>
      </c>
      <c r="AM52" s="133" t="s">
        <v>85</v>
      </c>
      <c r="BD52" s="143" t="str">
        <f t="shared" si="4"/>
        <v>W12x45</v>
      </c>
      <c r="BE52">
        <v>12.000000000000002</v>
      </c>
      <c r="BF52" s="138">
        <v>45</v>
      </c>
      <c r="BG52" s="138">
        <v>12.06</v>
      </c>
      <c r="BH52" s="138">
        <v>0.33500000000000002</v>
      </c>
      <c r="BI52" s="138">
        <v>8.0449999999999999</v>
      </c>
      <c r="BJ52" s="138">
        <v>0.57499999999999996</v>
      </c>
      <c r="BK52" s="138">
        <v>0.6</v>
      </c>
      <c r="BM52" s="133" t="s">
        <v>85</v>
      </c>
      <c r="CF52" s="150" t="s">
        <v>320</v>
      </c>
      <c r="CG52">
        <v>1</v>
      </c>
      <c r="CH52">
        <v>7</v>
      </c>
      <c r="CI52" s="151" t="s">
        <v>261</v>
      </c>
      <c r="EH52" s="243">
        <v>52</v>
      </c>
      <c r="EI52" s="244">
        <v>624</v>
      </c>
      <c r="EJ52" s="90">
        <v>48</v>
      </c>
      <c r="EK52" s="90">
        <v>48</v>
      </c>
      <c r="EL52" s="90">
        <v>48</v>
      </c>
      <c r="EM52" s="90">
        <v>48</v>
      </c>
      <c r="EN52" s="90">
        <v>48</v>
      </c>
      <c r="EO52" s="90">
        <v>48</v>
      </c>
      <c r="EP52" s="90">
        <v>48</v>
      </c>
      <c r="EQ52" s="90">
        <v>48</v>
      </c>
      <c r="ER52" s="90">
        <v>48</v>
      </c>
      <c r="ES52" s="90">
        <v>48</v>
      </c>
      <c r="ET52" s="90">
        <v>48</v>
      </c>
      <c r="EU52" s="90">
        <v>48</v>
      </c>
      <c r="EV52" s="90">
        <v>48</v>
      </c>
      <c r="EW52" s="90" t="s">
        <v>1137</v>
      </c>
      <c r="EX52" s="90" t="s">
        <v>1137</v>
      </c>
      <c r="EY52" s="90" t="s">
        <v>1137</v>
      </c>
      <c r="EZ52" s="90"/>
      <c r="FA52" s="224">
        <v>12</v>
      </c>
      <c r="FB52" s="245">
        <f t="shared" si="12"/>
        <v>624</v>
      </c>
      <c r="FD52" s="237">
        <f t="shared" si="108"/>
        <v>52</v>
      </c>
      <c r="FE52" s="246">
        <f t="shared" si="108"/>
        <v>624</v>
      </c>
      <c r="FF52" s="247">
        <f t="shared" si="108"/>
        <v>48</v>
      </c>
      <c r="FG52" s="247">
        <f t="shared" si="107"/>
        <v>48</v>
      </c>
      <c r="FH52" s="247">
        <f t="shared" si="107"/>
        <v>48</v>
      </c>
      <c r="FI52" s="247">
        <f t="shared" si="107"/>
        <v>48</v>
      </c>
      <c r="FJ52" s="247">
        <f t="shared" si="107"/>
        <v>48</v>
      </c>
      <c r="FK52" s="247">
        <f t="shared" si="107"/>
        <v>48</v>
      </c>
      <c r="FL52" s="247">
        <f t="shared" si="107"/>
        <v>48</v>
      </c>
      <c r="FM52" s="247">
        <f t="shared" si="107"/>
        <v>48</v>
      </c>
      <c r="FN52" s="247">
        <f t="shared" si="107"/>
        <v>48</v>
      </c>
      <c r="FO52" s="247">
        <f t="shared" ref="FO52:FS65" si="113">ES52</f>
        <v>48</v>
      </c>
      <c r="FP52" s="247">
        <f t="shared" si="113"/>
        <v>48</v>
      </c>
      <c r="FQ52" s="247">
        <f t="shared" si="113"/>
        <v>48</v>
      </c>
      <c r="FR52" s="247">
        <f t="shared" si="113"/>
        <v>48</v>
      </c>
      <c r="FS52" s="247" t="str">
        <f t="shared" si="113"/>
        <v xml:space="preserve"> </v>
      </c>
      <c r="FT52" s="247" t="str">
        <f t="shared" si="105"/>
        <v xml:space="preserve"> </v>
      </c>
      <c r="FU52" s="247" t="str">
        <f t="shared" si="105"/>
        <v xml:space="preserve"> </v>
      </c>
      <c r="FV52" s="247">
        <f t="shared" si="105"/>
        <v>0</v>
      </c>
      <c r="FW52" s="248">
        <f t="shared" si="105"/>
        <v>12</v>
      </c>
      <c r="FX52" s="241">
        <f t="shared" si="105"/>
        <v>624</v>
      </c>
      <c r="FZ52" s="249">
        <v>52</v>
      </c>
      <c r="GA52" s="244">
        <v>624</v>
      </c>
      <c r="GB52" s="90">
        <v>42</v>
      </c>
      <c r="GC52" s="90">
        <v>60</v>
      </c>
      <c r="GD52" s="90">
        <v>60</v>
      </c>
      <c r="GE52" s="90">
        <v>60</v>
      </c>
      <c r="GF52" s="90">
        <v>60</v>
      </c>
      <c r="GG52" s="90">
        <v>60</v>
      </c>
      <c r="GH52" s="90">
        <v>60</v>
      </c>
      <c r="GI52" s="90">
        <v>60</v>
      </c>
      <c r="GJ52" s="90">
        <v>60</v>
      </c>
      <c r="GK52" s="90">
        <v>60</v>
      </c>
      <c r="GL52" s="90">
        <v>42</v>
      </c>
      <c r="GM52" s="90"/>
      <c r="GN52" s="90"/>
      <c r="GO52" s="90"/>
      <c r="GP52" s="90"/>
      <c r="GQ52" s="90"/>
      <c r="GR52" s="90"/>
      <c r="GS52" s="224">
        <v>10</v>
      </c>
      <c r="GT52" s="245">
        <f t="shared" si="14"/>
        <v>624</v>
      </c>
      <c r="GV52" s="237">
        <f t="shared" ref="GV52:HJ65" si="114">FZ52</f>
        <v>52</v>
      </c>
      <c r="GW52" s="246">
        <f t="shared" si="114"/>
        <v>624</v>
      </c>
      <c r="GX52" s="247">
        <f t="shared" si="114"/>
        <v>42</v>
      </c>
      <c r="GY52" s="247">
        <f t="shared" si="114"/>
        <v>60</v>
      </c>
      <c r="GZ52" s="247">
        <f t="shared" si="114"/>
        <v>60</v>
      </c>
      <c r="HA52" s="247">
        <f t="shared" si="114"/>
        <v>60</v>
      </c>
      <c r="HB52" s="247">
        <f t="shared" si="114"/>
        <v>60</v>
      </c>
      <c r="HC52" s="247">
        <f t="shared" si="114"/>
        <v>60</v>
      </c>
      <c r="HD52" s="247">
        <f t="shared" si="114"/>
        <v>60</v>
      </c>
      <c r="HE52" s="247">
        <f t="shared" si="114"/>
        <v>60</v>
      </c>
      <c r="HF52" s="247">
        <f t="shared" si="114"/>
        <v>60</v>
      </c>
      <c r="HG52" s="247">
        <f t="shared" si="114"/>
        <v>60</v>
      </c>
      <c r="HH52" s="247">
        <f t="shared" si="114"/>
        <v>42</v>
      </c>
      <c r="HI52" s="247">
        <f t="shared" si="114"/>
        <v>0</v>
      </c>
      <c r="HJ52" s="247">
        <f t="shared" si="114"/>
        <v>0</v>
      </c>
      <c r="HK52" s="247">
        <f t="shared" si="112"/>
        <v>0</v>
      </c>
      <c r="HL52" s="247">
        <f t="shared" si="106"/>
        <v>0</v>
      </c>
      <c r="HM52" s="247">
        <f t="shared" si="10"/>
        <v>0</v>
      </c>
      <c r="HN52" s="247">
        <f t="shared" si="10"/>
        <v>0</v>
      </c>
      <c r="HO52" s="248">
        <f t="shared" si="10"/>
        <v>10</v>
      </c>
      <c r="HP52" s="241">
        <f t="shared" si="10"/>
        <v>624</v>
      </c>
      <c r="HR52" s="243">
        <v>52</v>
      </c>
      <c r="HS52" s="244">
        <v>624</v>
      </c>
      <c r="HT52" s="90">
        <v>60</v>
      </c>
      <c r="HU52" s="90">
        <v>72</v>
      </c>
      <c r="HV52" s="90">
        <v>72</v>
      </c>
      <c r="HW52" s="90">
        <v>72</v>
      </c>
      <c r="HX52" s="90">
        <v>72</v>
      </c>
      <c r="HY52" s="90">
        <v>72</v>
      </c>
      <c r="HZ52" s="90">
        <v>72</v>
      </c>
      <c r="IA52" s="90">
        <v>72</v>
      </c>
      <c r="IB52" s="90">
        <v>60</v>
      </c>
      <c r="IC52" s="90"/>
      <c r="ID52" s="90"/>
      <c r="IE52" s="90"/>
      <c r="IF52" s="90"/>
      <c r="IG52" s="90"/>
      <c r="IH52" s="90"/>
      <c r="II52" s="90"/>
      <c r="IJ52" s="90"/>
      <c r="IK52" s="224">
        <v>8</v>
      </c>
      <c r="IL52" s="245">
        <f t="shared" si="16"/>
        <v>624</v>
      </c>
      <c r="IN52" s="243">
        <v>52</v>
      </c>
      <c r="IO52" s="244">
        <v>624</v>
      </c>
      <c r="IP52" s="90">
        <v>60</v>
      </c>
      <c r="IQ52" s="90">
        <v>84</v>
      </c>
      <c r="IR52" s="90">
        <v>84</v>
      </c>
      <c r="IS52" s="90">
        <v>84</v>
      </c>
      <c r="IT52" s="90">
        <v>84</v>
      </c>
      <c r="IU52" s="90">
        <v>84</v>
      </c>
      <c r="IV52" s="90">
        <v>84</v>
      </c>
      <c r="IW52" s="90">
        <v>60</v>
      </c>
      <c r="IX52" s="90"/>
      <c r="IY52" s="90"/>
      <c r="IZ52" s="90"/>
      <c r="JA52" s="90"/>
      <c r="JB52" s="90"/>
      <c r="JC52" s="90"/>
      <c r="JD52" s="90"/>
      <c r="JE52" s="90"/>
      <c r="JF52" s="90"/>
      <c r="JG52" s="224">
        <v>7</v>
      </c>
      <c r="JH52" s="245">
        <f t="shared" si="17"/>
        <v>624</v>
      </c>
      <c r="JJ52" s="249">
        <v>52</v>
      </c>
      <c r="JK52" s="244">
        <v>624</v>
      </c>
      <c r="JL52" s="90">
        <v>72</v>
      </c>
      <c r="JM52" s="90">
        <v>96</v>
      </c>
      <c r="JN52" s="90">
        <v>96</v>
      </c>
      <c r="JO52" s="90">
        <v>96</v>
      </c>
      <c r="JP52" s="90">
        <v>96</v>
      </c>
      <c r="JQ52" s="90">
        <v>96</v>
      </c>
      <c r="JR52" s="90">
        <v>72</v>
      </c>
      <c r="JS52" s="90"/>
      <c r="JT52" s="90"/>
      <c r="JU52" s="90"/>
      <c r="JV52" s="90"/>
      <c r="JW52" s="90"/>
      <c r="JX52" s="90"/>
      <c r="JY52" s="90"/>
      <c r="JZ52" s="90"/>
      <c r="KA52" s="90"/>
      <c r="KB52" s="90"/>
      <c r="KC52" s="224">
        <v>6</v>
      </c>
      <c r="KD52" s="245">
        <f t="shared" si="18"/>
        <v>624</v>
      </c>
      <c r="KF52" s="243">
        <v>52</v>
      </c>
      <c r="KG52" s="244">
        <v>624</v>
      </c>
      <c r="KH52" s="90">
        <v>42</v>
      </c>
      <c r="KI52" s="90">
        <v>54</v>
      </c>
      <c r="KJ52" s="90">
        <v>54</v>
      </c>
      <c r="KK52" s="90">
        <v>54</v>
      </c>
      <c r="KL52" s="90">
        <v>54</v>
      </c>
      <c r="KM52" s="90">
        <v>54</v>
      </c>
      <c r="KN52" s="90">
        <v>54</v>
      </c>
      <c r="KO52" s="90">
        <v>54</v>
      </c>
      <c r="KP52" s="90">
        <v>54</v>
      </c>
      <c r="KQ52" s="90">
        <v>54</v>
      </c>
      <c r="KR52" s="90">
        <v>54</v>
      </c>
      <c r="KS52" s="90">
        <v>42</v>
      </c>
      <c r="KT52" s="90"/>
      <c r="KU52" s="90"/>
      <c r="KV52" s="90"/>
      <c r="KW52" s="90"/>
      <c r="KX52" s="90"/>
      <c r="KY52" s="224">
        <v>11</v>
      </c>
      <c r="KZ52" s="245">
        <f t="shared" si="19"/>
        <v>624</v>
      </c>
      <c r="LB52" s="237">
        <f t="shared" si="20"/>
        <v>52</v>
      </c>
      <c r="LC52" s="284">
        <f t="shared" si="21"/>
        <v>624</v>
      </c>
      <c r="LD52" s="237">
        <f t="shared" si="22"/>
        <v>42</v>
      </c>
      <c r="LE52" s="237">
        <f t="shared" si="23"/>
        <v>54</v>
      </c>
      <c r="LF52" s="237">
        <f t="shared" si="24"/>
        <v>54</v>
      </c>
      <c r="LG52" s="237">
        <f t="shared" si="25"/>
        <v>54</v>
      </c>
      <c r="LH52" s="237">
        <f t="shared" si="26"/>
        <v>54</v>
      </c>
      <c r="LI52" s="237">
        <f t="shared" si="27"/>
        <v>54</v>
      </c>
      <c r="LJ52" s="237">
        <f t="shared" si="28"/>
        <v>54</v>
      </c>
      <c r="LK52" s="237">
        <f t="shared" si="29"/>
        <v>54</v>
      </c>
      <c r="LL52" s="237">
        <f t="shared" si="30"/>
        <v>54</v>
      </c>
      <c r="LM52" s="237">
        <f t="shared" si="31"/>
        <v>54</v>
      </c>
      <c r="LN52" s="237">
        <f t="shared" si="32"/>
        <v>54</v>
      </c>
      <c r="LO52" s="237">
        <f t="shared" si="33"/>
        <v>42</v>
      </c>
      <c r="LP52" s="237">
        <f t="shared" si="34"/>
        <v>0</v>
      </c>
      <c r="LQ52" s="237">
        <f t="shared" si="35"/>
        <v>0</v>
      </c>
      <c r="LR52" s="237">
        <f t="shared" si="36"/>
        <v>0</v>
      </c>
      <c r="LS52" s="237">
        <f t="shared" si="37"/>
        <v>0</v>
      </c>
      <c r="LT52" s="237">
        <f t="shared" si="38"/>
        <v>0</v>
      </c>
      <c r="LU52" s="285">
        <f t="shared" si="39"/>
        <v>11</v>
      </c>
      <c r="LV52" s="280">
        <f t="shared" si="40"/>
        <v>624</v>
      </c>
      <c r="LX52" s="237">
        <f t="shared" si="41"/>
        <v>52</v>
      </c>
      <c r="LY52" s="284">
        <f t="shared" si="42"/>
        <v>624</v>
      </c>
      <c r="LZ52" s="237">
        <f t="shared" si="43"/>
        <v>42</v>
      </c>
      <c r="MA52" s="237">
        <f t="shared" si="44"/>
        <v>54</v>
      </c>
      <c r="MB52" s="237">
        <f t="shared" si="45"/>
        <v>54</v>
      </c>
      <c r="MC52" s="237">
        <f t="shared" si="46"/>
        <v>54</v>
      </c>
      <c r="MD52" s="237">
        <f t="shared" si="47"/>
        <v>54</v>
      </c>
      <c r="ME52" s="237">
        <f t="shared" si="48"/>
        <v>54</v>
      </c>
      <c r="MF52" s="237">
        <f t="shared" si="49"/>
        <v>54</v>
      </c>
      <c r="MG52" s="237">
        <f t="shared" si="50"/>
        <v>54</v>
      </c>
      <c r="MH52" s="237">
        <f t="shared" si="51"/>
        <v>54</v>
      </c>
      <c r="MI52" s="237">
        <f t="shared" si="52"/>
        <v>54</v>
      </c>
      <c r="MJ52" s="237">
        <f t="shared" si="53"/>
        <v>54</v>
      </c>
      <c r="MK52" s="237">
        <f t="shared" si="54"/>
        <v>42</v>
      </c>
      <c r="ML52" s="237">
        <f t="shared" si="55"/>
        <v>0</v>
      </c>
      <c r="MM52" s="237">
        <f t="shared" si="56"/>
        <v>0</v>
      </c>
      <c r="MN52" s="237">
        <f t="shared" si="57"/>
        <v>0</v>
      </c>
      <c r="MO52" s="237">
        <f t="shared" si="58"/>
        <v>0</v>
      </c>
      <c r="MP52" s="237">
        <f t="shared" si="59"/>
        <v>0</v>
      </c>
      <c r="MQ52" s="285">
        <f t="shared" si="60"/>
        <v>11</v>
      </c>
      <c r="MR52" s="280">
        <f t="shared" si="61"/>
        <v>624</v>
      </c>
      <c r="MT52" s="237">
        <f t="shared" si="62"/>
        <v>52</v>
      </c>
      <c r="MU52" s="284">
        <f t="shared" si="63"/>
        <v>624</v>
      </c>
      <c r="MV52" s="237">
        <f t="shared" si="64"/>
        <v>42</v>
      </c>
      <c r="MW52" s="237">
        <f t="shared" si="65"/>
        <v>54</v>
      </c>
      <c r="MX52" s="237">
        <f t="shared" si="66"/>
        <v>54</v>
      </c>
      <c r="MY52" s="237">
        <f t="shared" si="67"/>
        <v>54</v>
      </c>
      <c r="MZ52" s="237">
        <f t="shared" si="68"/>
        <v>54</v>
      </c>
      <c r="NA52" s="237">
        <f t="shared" si="69"/>
        <v>54</v>
      </c>
      <c r="NB52" s="237">
        <f t="shared" si="70"/>
        <v>54</v>
      </c>
      <c r="NC52" s="237">
        <f t="shared" si="71"/>
        <v>54</v>
      </c>
      <c r="ND52" s="237">
        <f t="shared" si="72"/>
        <v>54</v>
      </c>
      <c r="NE52" s="237">
        <f t="shared" si="73"/>
        <v>54</v>
      </c>
      <c r="NF52" s="237">
        <f t="shared" si="74"/>
        <v>54</v>
      </c>
      <c r="NG52" s="237">
        <f t="shared" si="75"/>
        <v>42</v>
      </c>
      <c r="NH52" s="237">
        <f t="shared" si="76"/>
        <v>0</v>
      </c>
      <c r="NI52" s="237">
        <f t="shared" si="77"/>
        <v>0</v>
      </c>
      <c r="NJ52" s="237">
        <f t="shared" si="78"/>
        <v>0</v>
      </c>
      <c r="NK52" s="237">
        <f t="shared" si="79"/>
        <v>0</v>
      </c>
      <c r="NL52" s="237">
        <f t="shared" si="80"/>
        <v>0</v>
      </c>
      <c r="NM52" s="285">
        <f t="shared" si="81"/>
        <v>11</v>
      </c>
      <c r="NN52" s="280">
        <f t="shared" si="82"/>
        <v>624</v>
      </c>
      <c r="NP52" s="237">
        <f t="shared" si="83"/>
        <v>52</v>
      </c>
      <c r="NQ52" s="284">
        <f t="shared" si="84"/>
        <v>624</v>
      </c>
      <c r="NR52" s="237">
        <f t="shared" si="85"/>
        <v>42</v>
      </c>
      <c r="NS52" s="237">
        <f t="shared" si="86"/>
        <v>54</v>
      </c>
      <c r="NT52" s="237">
        <f t="shared" si="87"/>
        <v>54</v>
      </c>
      <c r="NU52" s="237">
        <f t="shared" si="88"/>
        <v>54</v>
      </c>
      <c r="NV52" s="237">
        <f t="shared" si="89"/>
        <v>54</v>
      </c>
      <c r="NW52" s="237">
        <f t="shared" si="90"/>
        <v>54</v>
      </c>
      <c r="NX52" s="237">
        <f t="shared" si="91"/>
        <v>54</v>
      </c>
      <c r="NY52" s="237">
        <f t="shared" si="92"/>
        <v>54</v>
      </c>
      <c r="NZ52" s="237">
        <f t="shared" si="93"/>
        <v>54</v>
      </c>
      <c r="OA52" s="237">
        <f t="shared" si="94"/>
        <v>54</v>
      </c>
      <c r="OB52" s="237">
        <f t="shared" si="95"/>
        <v>54</v>
      </c>
      <c r="OC52" s="237">
        <f t="shared" si="96"/>
        <v>42</v>
      </c>
      <c r="OD52" s="237">
        <f t="shared" si="97"/>
        <v>0</v>
      </c>
      <c r="OE52" s="237">
        <f t="shared" si="98"/>
        <v>0</v>
      </c>
      <c r="OF52" s="237">
        <f t="shared" si="99"/>
        <v>0</v>
      </c>
      <c r="OG52" s="237">
        <f t="shared" si="100"/>
        <v>0</v>
      </c>
      <c r="OH52" s="237">
        <f t="shared" si="101"/>
        <v>0</v>
      </c>
      <c r="OI52" s="285">
        <f t="shared" si="102"/>
        <v>11</v>
      </c>
      <c r="OJ52" s="280">
        <f t="shared" si="103"/>
        <v>624</v>
      </c>
    </row>
    <row r="53" spans="31:400" x14ac:dyDescent="0.3">
      <c r="AE53" s="127" t="str">
        <f t="shared" si="109"/>
        <v>L3x3.5x0.5</v>
      </c>
      <c r="AF53" s="138">
        <v>3.0000000000000004</v>
      </c>
      <c r="AG53" s="138">
        <v>3.5</v>
      </c>
      <c r="AH53" s="138">
        <v>0.5</v>
      </c>
      <c r="AI53" s="138">
        <v>0.37500000000000006</v>
      </c>
      <c r="AJ53" s="138">
        <v>0.37500000000000006</v>
      </c>
      <c r="AK53">
        <f t="shared" si="110"/>
        <v>0.12519999999999995</v>
      </c>
      <c r="AM53" s="133" t="s">
        <v>85</v>
      </c>
      <c r="BD53" s="143" t="str">
        <f t="shared" si="4"/>
        <v>W12x50</v>
      </c>
      <c r="BE53">
        <v>12.000000000000002</v>
      </c>
      <c r="BF53" s="138">
        <v>50</v>
      </c>
      <c r="BG53" s="138">
        <v>12.19</v>
      </c>
      <c r="BH53" s="138">
        <v>0.37</v>
      </c>
      <c r="BI53" s="138">
        <v>8.08</v>
      </c>
      <c r="BJ53" s="138">
        <v>0.64</v>
      </c>
      <c r="BK53" s="138">
        <v>0.6</v>
      </c>
      <c r="BM53" s="133" t="s">
        <v>85</v>
      </c>
      <c r="CF53" s="150" t="s">
        <v>321</v>
      </c>
      <c r="CG53">
        <v>0.9375</v>
      </c>
      <c r="CH53">
        <v>6.125</v>
      </c>
      <c r="CI53" s="151" t="s">
        <v>261</v>
      </c>
      <c r="EH53" s="232">
        <v>53</v>
      </c>
      <c r="EI53" s="256">
        <v>636</v>
      </c>
      <c r="EJ53" s="257">
        <v>30</v>
      </c>
      <c r="EK53" s="257">
        <v>48</v>
      </c>
      <c r="EL53" s="257">
        <v>48</v>
      </c>
      <c r="EM53" s="257">
        <v>48</v>
      </c>
      <c r="EN53" s="257">
        <v>48</v>
      </c>
      <c r="EO53" s="257">
        <v>48</v>
      </c>
      <c r="EP53" s="257">
        <v>48</v>
      </c>
      <c r="EQ53" s="257">
        <v>48</v>
      </c>
      <c r="ER53" s="257">
        <v>48</v>
      </c>
      <c r="ES53" s="257">
        <v>48</v>
      </c>
      <c r="ET53" s="257">
        <v>48</v>
      </c>
      <c r="EU53" s="257">
        <v>48</v>
      </c>
      <c r="EV53" s="257">
        <v>48</v>
      </c>
      <c r="EW53" s="257">
        <v>30</v>
      </c>
      <c r="EX53" s="257" t="s">
        <v>1137</v>
      </c>
      <c r="EY53" s="257" t="s">
        <v>1137</v>
      </c>
      <c r="EZ53" s="257"/>
      <c r="FA53" s="258">
        <v>13</v>
      </c>
      <c r="FB53" s="236">
        <f t="shared" si="12"/>
        <v>636</v>
      </c>
      <c r="FD53" s="237">
        <f t="shared" si="108"/>
        <v>53</v>
      </c>
      <c r="FE53" s="246">
        <f t="shared" si="108"/>
        <v>636</v>
      </c>
      <c r="FF53" s="247">
        <f t="shared" si="108"/>
        <v>30</v>
      </c>
      <c r="FG53" s="247">
        <f t="shared" si="108"/>
        <v>48</v>
      </c>
      <c r="FH53" s="247">
        <f t="shared" si="108"/>
        <v>48</v>
      </c>
      <c r="FI53" s="247">
        <f t="shared" si="108"/>
        <v>48</v>
      </c>
      <c r="FJ53" s="247">
        <f t="shared" si="108"/>
        <v>48</v>
      </c>
      <c r="FK53" s="247">
        <f t="shared" si="108"/>
        <v>48</v>
      </c>
      <c r="FL53" s="247">
        <f t="shared" si="108"/>
        <v>48</v>
      </c>
      <c r="FM53" s="247">
        <f t="shared" si="108"/>
        <v>48</v>
      </c>
      <c r="FN53" s="247">
        <f t="shared" si="108"/>
        <v>48</v>
      </c>
      <c r="FO53" s="247">
        <f t="shared" si="113"/>
        <v>48</v>
      </c>
      <c r="FP53" s="247">
        <f t="shared" si="113"/>
        <v>48</v>
      </c>
      <c r="FQ53" s="247">
        <f t="shared" si="113"/>
        <v>48</v>
      </c>
      <c r="FR53" s="247">
        <f t="shared" si="113"/>
        <v>48</v>
      </c>
      <c r="FS53" s="247">
        <f t="shared" si="113"/>
        <v>30</v>
      </c>
      <c r="FT53" s="247" t="str">
        <f t="shared" si="105"/>
        <v xml:space="preserve"> </v>
      </c>
      <c r="FU53" s="247" t="str">
        <f t="shared" si="105"/>
        <v xml:space="preserve"> </v>
      </c>
      <c r="FV53" s="247">
        <f t="shared" si="105"/>
        <v>0</v>
      </c>
      <c r="FW53" s="248">
        <f t="shared" si="105"/>
        <v>13</v>
      </c>
      <c r="FX53" s="241">
        <f t="shared" si="105"/>
        <v>636</v>
      </c>
      <c r="FZ53" s="242">
        <v>53</v>
      </c>
      <c r="GA53" s="256">
        <v>636</v>
      </c>
      <c r="GB53" s="257">
        <v>48</v>
      </c>
      <c r="GC53" s="257">
        <v>60</v>
      </c>
      <c r="GD53" s="257">
        <v>60</v>
      </c>
      <c r="GE53" s="257">
        <v>60</v>
      </c>
      <c r="GF53" s="257">
        <v>60</v>
      </c>
      <c r="GG53" s="257">
        <v>60</v>
      </c>
      <c r="GH53" s="257">
        <v>60</v>
      </c>
      <c r="GI53" s="257">
        <v>60</v>
      </c>
      <c r="GJ53" s="257">
        <v>60</v>
      </c>
      <c r="GK53" s="257">
        <v>60</v>
      </c>
      <c r="GL53" s="257">
        <v>48</v>
      </c>
      <c r="GM53" s="257"/>
      <c r="GN53" s="257"/>
      <c r="GO53" s="257"/>
      <c r="GP53" s="257"/>
      <c r="GQ53" s="257"/>
      <c r="GR53" s="257"/>
      <c r="GS53" s="258">
        <v>10</v>
      </c>
      <c r="GT53" s="236">
        <f t="shared" si="14"/>
        <v>636</v>
      </c>
      <c r="GV53" s="237">
        <f t="shared" si="114"/>
        <v>53</v>
      </c>
      <c r="GW53" s="246">
        <f t="shared" si="114"/>
        <v>636</v>
      </c>
      <c r="GX53" s="247">
        <f t="shared" si="114"/>
        <v>48</v>
      </c>
      <c r="GY53" s="247">
        <f t="shared" si="114"/>
        <v>60</v>
      </c>
      <c r="GZ53" s="247">
        <f t="shared" si="114"/>
        <v>60</v>
      </c>
      <c r="HA53" s="247">
        <f t="shared" si="114"/>
        <v>60</v>
      </c>
      <c r="HB53" s="247">
        <f t="shared" si="114"/>
        <v>60</v>
      </c>
      <c r="HC53" s="247">
        <f t="shared" si="114"/>
        <v>60</v>
      </c>
      <c r="HD53" s="247">
        <f t="shared" si="114"/>
        <v>60</v>
      </c>
      <c r="HE53" s="247">
        <f t="shared" si="114"/>
        <v>60</v>
      </c>
      <c r="HF53" s="247">
        <f t="shared" si="114"/>
        <v>60</v>
      </c>
      <c r="HG53" s="247">
        <f t="shared" si="114"/>
        <v>60</v>
      </c>
      <c r="HH53" s="247">
        <f t="shared" si="114"/>
        <v>48</v>
      </c>
      <c r="HI53" s="247">
        <f t="shared" si="114"/>
        <v>0</v>
      </c>
      <c r="HJ53" s="247">
        <f t="shared" si="114"/>
        <v>0</v>
      </c>
      <c r="HK53" s="247">
        <f t="shared" si="112"/>
        <v>0</v>
      </c>
      <c r="HL53" s="247">
        <f t="shared" si="106"/>
        <v>0</v>
      </c>
      <c r="HM53" s="247">
        <f t="shared" si="10"/>
        <v>0</v>
      </c>
      <c r="HN53" s="247">
        <f t="shared" si="10"/>
        <v>0</v>
      </c>
      <c r="HO53" s="248">
        <f t="shared" si="10"/>
        <v>10</v>
      </c>
      <c r="HP53" s="241">
        <f t="shared" si="10"/>
        <v>636</v>
      </c>
      <c r="HR53" s="232">
        <v>53</v>
      </c>
      <c r="HS53" s="256">
        <v>636</v>
      </c>
      <c r="HT53" s="257">
        <v>66</v>
      </c>
      <c r="HU53" s="257">
        <v>72</v>
      </c>
      <c r="HV53" s="257">
        <v>72</v>
      </c>
      <c r="HW53" s="257">
        <v>72</v>
      </c>
      <c r="HX53" s="257">
        <v>72</v>
      </c>
      <c r="HY53" s="257">
        <v>72</v>
      </c>
      <c r="HZ53" s="257">
        <v>72</v>
      </c>
      <c r="IA53" s="257">
        <v>72</v>
      </c>
      <c r="IB53" s="257">
        <v>66</v>
      </c>
      <c r="IC53" s="257"/>
      <c r="ID53" s="257"/>
      <c r="IE53" s="257"/>
      <c r="IF53" s="257"/>
      <c r="IG53" s="257"/>
      <c r="IH53" s="257"/>
      <c r="II53" s="257"/>
      <c r="IJ53" s="257"/>
      <c r="IK53" s="258">
        <v>8</v>
      </c>
      <c r="IL53" s="236">
        <f t="shared" si="16"/>
        <v>636</v>
      </c>
      <c r="IN53" s="232">
        <v>53</v>
      </c>
      <c r="IO53" s="256">
        <v>636</v>
      </c>
      <c r="IP53" s="257">
        <v>66</v>
      </c>
      <c r="IQ53" s="257">
        <v>84</v>
      </c>
      <c r="IR53" s="257">
        <v>84</v>
      </c>
      <c r="IS53" s="257">
        <v>84</v>
      </c>
      <c r="IT53" s="257">
        <v>84</v>
      </c>
      <c r="IU53" s="257">
        <v>84</v>
      </c>
      <c r="IV53" s="257">
        <v>84</v>
      </c>
      <c r="IW53" s="257">
        <v>66</v>
      </c>
      <c r="IX53" s="257"/>
      <c r="IY53" s="257"/>
      <c r="IZ53" s="257"/>
      <c r="JA53" s="257"/>
      <c r="JB53" s="257"/>
      <c r="JC53" s="257"/>
      <c r="JD53" s="257"/>
      <c r="JE53" s="257"/>
      <c r="JF53" s="257"/>
      <c r="JG53" s="258">
        <v>7</v>
      </c>
      <c r="JH53" s="236">
        <f t="shared" si="17"/>
        <v>636</v>
      </c>
      <c r="JJ53" s="242">
        <v>53</v>
      </c>
      <c r="JK53" s="256">
        <v>636</v>
      </c>
      <c r="JL53" s="257">
        <v>78</v>
      </c>
      <c r="JM53" s="257">
        <v>96</v>
      </c>
      <c r="JN53" s="257">
        <v>96</v>
      </c>
      <c r="JO53" s="257">
        <v>96</v>
      </c>
      <c r="JP53" s="257">
        <v>96</v>
      </c>
      <c r="JQ53" s="257">
        <v>96</v>
      </c>
      <c r="JR53" s="257">
        <v>78</v>
      </c>
      <c r="JS53" s="257"/>
      <c r="JT53" s="257"/>
      <c r="JU53" s="257"/>
      <c r="JV53" s="257"/>
      <c r="JW53" s="257"/>
      <c r="JX53" s="257"/>
      <c r="JY53" s="257"/>
      <c r="JZ53" s="257"/>
      <c r="KA53" s="257"/>
      <c r="KB53" s="257"/>
      <c r="KC53" s="258">
        <v>6</v>
      </c>
      <c r="KD53" s="236">
        <f t="shared" si="18"/>
        <v>636</v>
      </c>
      <c r="KF53" s="232">
        <v>53</v>
      </c>
      <c r="KG53" s="256">
        <v>636</v>
      </c>
      <c r="KH53" s="257">
        <v>48</v>
      </c>
      <c r="KI53" s="257">
        <v>54</v>
      </c>
      <c r="KJ53" s="257">
        <v>54</v>
      </c>
      <c r="KK53" s="257">
        <v>54</v>
      </c>
      <c r="KL53" s="257">
        <v>54</v>
      </c>
      <c r="KM53" s="257">
        <v>54</v>
      </c>
      <c r="KN53" s="257">
        <v>54</v>
      </c>
      <c r="KO53" s="257">
        <v>54</v>
      </c>
      <c r="KP53" s="257">
        <v>54</v>
      </c>
      <c r="KQ53" s="257">
        <v>54</v>
      </c>
      <c r="KR53" s="257">
        <v>54</v>
      </c>
      <c r="KS53" s="257">
        <v>48</v>
      </c>
      <c r="KT53" s="257"/>
      <c r="KU53" s="257"/>
      <c r="KV53" s="257"/>
      <c r="KW53" s="257"/>
      <c r="KX53" s="257"/>
      <c r="KY53" s="258">
        <v>11</v>
      </c>
      <c r="KZ53" s="236">
        <f t="shared" si="19"/>
        <v>636</v>
      </c>
      <c r="LB53" s="237">
        <f t="shared" si="20"/>
        <v>53</v>
      </c>
      <c r="LC53" s="284">
        <f t="shared" si="21"/>
        <v>636</v>
      </c>
      <c r="LD53" s="237">
        <f t="shared" si="22"/>
        <v>48</v>
      </c>
      <c r="LE53" s="237">
        <f t="shared" si="23"/>
        <v>54</v>
      </c>
      <c r="LF53" s="237">
        <f t="shared" si="24"/>
        <v>54</v>
      </c>
      <c r="LG53" s="237">
        <f t="shared" si="25"/>
        <v>54</v>
      </c>
      <c r="LH53" s="237">
        <f t="shared" si="26"/>
        <v>54</v>
      </c>
      <c r="LI53" s="237">
        <f t="shared" si="27"/>
        <v>54</v>
      </c>
      <c r="LJ53" s="237">
        <f t="shared" si="28"/>
        <v>54</v>
      </c>
      <c r="LK53" s="237">
        <f t="shared" si="29"/>
        <v>54</v>
      </c>
      <c r="LL53" s="237">
        <f t="shared" si="30"/>
        <v>54</v>
      </c>
      <c r="LM53" s="237">
        <f t="shared" si="31"/>
        <v>54</v>
      </c>
      <c r="LN53" s="237">
        <f t="shared" si="32"/>
        <v>54</v>
      </c>
      <c r="LO53" s="237">
        <f t="shared" si="33"/>
        <v>48</v>
      </c>
      <c r="LP53" s="237">
        <f t="shared" si="34"/>
        <v>0</v>
      </c>
      <c r="LQ53" s="237">
        <f t="shared" si="35"/>
        <v>0</v>
      </c>
      <c r="LR53" s="237">
        <f t="shared" si="36"/>
        <v>0</v>
      </c>
      <c r="LS53" s="237">
        <f t="shared" si="37"/>
        <v>0</v>
      </c>
      <c r="LT53" s="237">
        <f t="shared" si="38"/>
        <v>0</v>
      </c>
      <c r="LU53" s="285">
        <f t="shared" si="39"/>
        <v>11</v>
      </c>
      <c r="LV53" s="280">
        <f t="shared" si="40"/>
        <v>636</v>
      </c>
      <c r="LX53" s="237">
        <f t="shared" si="41"/>
        <v>53</v>
      </c>
      <c r="LY53" s="284">
        <f t="shared" si="42"/>
        <v>636</v>
      </c>
      <c r="LZ53" s="237">
        <f t="shared" si="43"/>
        <v>48</v>
      </c>
      <c r="MA53" s="237">
        <f t="shared" si="44"/>
        <v>54</v>
      </c>
      <c r="MB53" s="237">
        <f t="shared" si="45"/>
        <v>54</v>
      </c>
      <c r="MC53" s="237">
        <f t="shared" si="46"/>
        <v>54</v>
      </c>
      <c r="MD53" s="237">
        <f t="shared" si="47"/>
        <v>54</v>
      </c>
      <c r="ME53" s="237">
        <f t="shared" si="48"/>
        <v>54</v>
      </c>
      <c r="MF53" s="237">
        <f t="shared" si="49"/>
        <v>54</v>
      </c>
      <c r="MG53" s="237">
        <f t="shared" si="50"/>
        <v>54</v>
      </c>
      <c r="MH53" s="237">
        <f t="shared" si="51"/>
        <v>54</v>
      </c>
      <c r="MI53" s="237">
        <f t="shared" si="52"/>
        <v>54</v>
      </c>
      <c r="MJ53" s="237">
        <f t="shared" si="53"/>
        <v>54</v>
      </c>
      <c r="MK53" s="237">
        <f t="shared" si="54"/>
        <v>48</v>
      </c>
      <c r="ML53" s="237">
        <f t="shared" si="55"/>
        <v>0</v>
      </c>
      <c r="MM53" s="237">
        <f t="shared" si="56"/>
        <v>0</v>
      </c>
      <c r="MN53" s="237">
        <f t="shared" si="57"/>
        <v>0</v>
      </c>
      <c r="MO53" s="237">
        <f t="shared" si="58"/>
        <v>0</v>
      </c>
      <c r="MP53" s="237">
        <f t="shared" si="59"/>
        <v>0</v>
      </c>
      <c r="MQ53" s="285">
        <f t="shared" si="60"/>
        <v>11</v>
      </c>
      <c r="MR53" s="280">
        <f t="shared" si="61"/>
        <v>636</v>
      </c>
      <c r="MT53" s="237">
        <f t="shared" si="62"/>
        <v>53</v>
      </c>
      <c r="MU53" s="284">
        <f t="shared" si="63"/>
        <v>636</v>
      </c>
      <c r="MV53" s="237">
        <f t="shared" si="64"/>
        <v>48</v>
      </c>
      <c r="MW53" s="237">
        <f t="shared" si="65"/>
        <v>54</v>
      </c>
      <c r="MX53" s="237">
        <f t="shared" si="66"/>
        <v>54</v>
      </c>
      <c r="MY53" s="237">
        <f t="shared" si="67"/>
        <v>54</v>
      </c>
      <c r="MZ53" s="237">
        <f t="shared" si="68"/>
        <v>54</v>
      </c>
      <c r="NA53" s="237">
        <f t="shared" si="69"/>
        <v>54</v>
      </c>
      <c r="NB53" s="237">
        <f t="shared" si="70"/>
        <v>54</v>
      </c>
      <c r="NC53" s="237">
        <f t="shared" si="71"/>
        <v>54</v>
      </c>
      <c r="ND53" s="237">
        <f t="shared" si="72"/>
        <v>54</v>
      </c>
      <c r="NE53" s="237">
        <f t="shared" si="73"/>
        <v>54</v>
      </c>
      <c r="NF53" s="237">
        <f t="shared" si="74"/>
        <v>54</v>
      </c>
      <c r="NG53" s="237">
        <f t="shared" si="75"/>
        <v>48</v>
      </c>
      <c r="NH53" s="237">
        <f t="shared" si="76"/>
        <v>0</v>
      </c>
      <c r="NI53" s="237">
        <f t="shared" si="77"/>
        <v>0</v>
      </c>
      <c r="NJ53" s="237">
        <f t="shared" si="78"/>
        <v>0</v>
      </c>
      <c r="NK53" s="237">
        <f t="shared" si="79"/>
        <v>0</v>
      </c>
      <c r="NL53" s="237">
        <f t="shared" si="80"/>
        <v>0</v>
      </c>
      <c r="NM53" s="285">
        <f t="shared" si="81"/>
        <v>11</v>
      </c>
      <c r="NN53" s="280">
        <f t="shared" si="82"/>
        <v>636</v>
      </c>
      <c r="NP53" s="237">
        <f t="shared" si="83"/>
        <v>53</v>
      </c>
      <c r="NQ53" s="284">
        <f t="shared" si="84"/>
        <v>636</v>
      </c>
      <c r="NR53" s="237">
        <f t="shared" si="85"/>
        <v>48</v>
      </c>
      <c r="NS53" s="237">
        <f t="shared" si="86"/>
        <v>54</v>
      </c>
      <c r="NT53" s="237">
        <f t="shared" si="87"/>
        <v>54</v>
      </c>
      <c r="NU53" s="237">
        <f t="shared" si="88"/>
        <v>54</v>
      </c>
      <c r="NV53" s="237">
        <f t="shared" si="89"/>
        <v>54</v>
      </c>
      <c r="NW53" s="237">
        <f t="shared" si="90"/>
        <v>54</v>
      </c>
      <c r="NX53" s="237">
        <f t="shared" si="91"/>
        <v>54</v>
      </c>
      <c r="NY53" s="237">
        <f t="shared" si="92"/>
        <v>54</v>
      </c>
      <c r="NZ53" s="237">
        <f t="shared" si="93"/>
        <v>54</v>
      </c>
      <c r="OA53" s="237">
        <f t="shared" si="94"/>
        <v>54</v>
      </c>
      <c r="OB53" s="237">
        <f t="shared" si="95"/>
        <v>54</v>
      </c>
      <c r="OC53" s="237">
        <f t="shared" si="96"/>
        <v>48</v>
      </c>
      <c r="OD53" s="237">
        <f t="shared" si="97"/>
        <v>0</v>
      </c>
      <c r="OE53" s="237">
        <f t="shared" si="98"/>
        <v>0</v>
      </c>
      <c r="OF53" s="237">
        <f t="shared" si="99"/>
        <v>0</v>
      </c>
      <c r="OG53" s="237">
        <f t="shared" si="100"/>
        <v>0</v>
      </c>
      <c r="OH53" s="237">
        <f t="shared" si="101"/>
        <v>0</v>
      </c>
      <c r="OI53" s="285">
        <f t="shared" si="102"/>
        <v>11</v>
      </c>
      <c r="OJ53" s="280">
        <f t="shared" si="103"/>
        <v>636</v>
      </c>
    </row>
    <row r="54" spans="31:400" x14ac:dyDescent="0.3">
      <c r="AE54" s="127" t="str">
        <f t="shared" si="109"/>
        <v>L3x4x0.25</v>
      </c>
      <c r="AF54" s="138">
        <v>3.0000000000000004</v>
      </c>
      <c r="AG54" s="138">
        <v>4</v>
      </c>
      <c r="AH54" s="138">
        <v>0.25</v>
      </c>
      <c r="AI54" s="138">
        <v>0.37500000000000006</v>
      </c>
      <c r="AJ54" s="138">
        <v>0.25</v>
      </c>
      <c r="AK54">
        <f t="shared" si="110"/>
        <v>2.0000000000000001E-4</v>
      </c>
      <c r="AL54" t="s">
        <v>105</v>
      </c>
      <c r="AM54" s="133" t="s">
        <v>85</v>
      </c>
      <c r="BD54" s="143" t="str">
        <f t="shared" si="4"/>
        <v>W12x53</v>
      </c>
      <c r="BE54">
        <v>12.000000000000002</v>
      </c>
      <c r="BF54" s="138">
        <v>53.000000000000007</v>
      </c>
      <c r="BG54" s="138">
        <v>12.06</v>
      </c>
      <c r="BH54" s="138">
        <v>0.34499999999999992</v>
      </c>
      <c r="BI54" s="138">
        <v>9.9949999999999992</v>
      </c>
      <c r="BJ54" s="138">
        <v>0.57499999999999996</v>
      </c>
      <c r="BK54" s="138">
        <v>0.6</v>
      </c>
      <c r="BM54" s="133" t="s">
        <v>85</v>
      </c>
      <c r="CF54" s="150" t="s">
        <v>322</v>
      </c>
      <c r="CG54">
        <v>0.9375</v>
      </c>
      <c r="CH54">
        <v>6.125</v>
      </c>
      <c r="CI54" s="151" t="s">
        <v>261</v>
      </c>
      <c r="EH54" s="243">
        <v>54</v>
      </c>
      <c r="EI54" s="244">
        <v>648</v>
      </c>
      <c r="EJ54" s="90">
        <v>36</v>
      </c>
      <c r="EK54" s="90">
        <v>48</v>
      </c>
      <c r="EL54" s="90">
        <v>48</v>
      </c>
      <c r="EM54" s="90">
        <v>48</v>
      </c>
      <c r="EN54" s="90">
        <v>48</v>
      </c>
      <c r="EO54" s="90">
        <v>48</v>
      </c>
      <c r="EP54" s="90">
        <v>48</v>
      </c>
      <c r="EQ54" s="90">
        <v>48</v>
      </c>
      <c r="ER54" s="90">
        <v>48</v>
      </c>
      <c r="ES54" s="90">
        <v>48</v>
      </c>
      <c r="ET54" s="90">
        <v>48</v>
      </c>
      <c r="EU54" s="90">
        <v>48</v>
      </c>
      <c r="EV54" s="90">
        <v>48</v>
      </c>
      <c r="EW54" s="90">
        <v>36</v>
      </c>
      <c r="EX54" s="90" t="s">
        <v>1137</v>
      </c>
      <c r="EY54" s="90" t="s">
        <v>1137</v>
      </c>
      <c r="EZ54" s="90"/>
      <c r="FA54" s="224">
        <v>13</v>
      </c>
      <c r="FB54" s="245">
        <f t="shared" si="12"/>
        <v>648</v>
      </c>
      <c r="FD54" s="237">
        <f t="shared" si="108"/>
        <v>54</v>
      </c>
      <c r="FE54" s="246">
        <f t="shared" si="108"/>
        <v>648</v>
      </c>
      <c r="FF54" s="247">
        <f t="shared" si="108"/>
        <v>36</v>
      </c>
      <c r="FG54" s="247">
        <f t="shared" si="108"/>
        <v>48</v>
      </c>
      <c r="FH54" s="247">
        <f t="shared" si="108"/>
        <v>48</v>
      </c>
      <c r="FI54" s="247">
        <f t="shared" si="108"/>
        <v>48</v>
      </c>
      <c r="FJ54" s="247">
        <f t="shared" si="108"/>
        <v>48</v>
      </c>
      <c r="FK54" s="247">
        <f t="shared" si="108"/>
        <v>48</v>
      </c>
      <c r="FL54" s="247">
        <f t="shared" si="108"/>
        <v>48</v>
      </c>
      <c r="FM54" s="247">
        <f t="shared" si="108"/>
        <v>48</v>
      </c>
      <c r="FN54" s="247">
        <f t="shared" si="108"/>
        <v>48</v>
      </c>
      <c r="FO54" s="247">
        <f t="shared" si="113"/>
        <v>48</v>
      </c>
      <c r="FP54" s="247">
        <f t="shared" si="113"/>
        <v>48</v>
      </c>
      <c r="FQ54" s="247">
        <f t="shared" si="113"/>
        <v>48</v>
      </c>
      <c r="FR54" s="247">
        <f t="shared" si="113"/>
        <v>48</v>
      </c>
      <c r="FS54" s="247">
        <f t="shared" si="113"/>
        <v>36</v>
      </c>
      <c r="FT54" s="247" t="str">
        <f t="shared" si="105"/>
        <v xml:space="preserve"> </v>
      </c>
      <c r="FU54" s="247" t="str">
        <f t="shared" si="105"/>
        <v xml:space="preserve"> </v>
      </c>
      <c r="FV54" s="247">
        <f t="shared" si="105"/>
        <v>0</v>
      </c>
      <c r="FW54" s="248">
        <f t="shared" si="105"/>
        <v>13</v>
      </c>
      <c r="FX54" s="241">
        <f t="shared" si="105"/>
        <v>648</v>
      </c>
      <c r="FZ54" s="249">
        <v>54</v>
      </c>
      <c r="GA54" s="244">
        <v>648</v>
      </c>
      <c r="GB54" s="90">
        <v>54</v>
      </c>
      <c r="GC54" s="90">
        <v>60</v>
      </c>
      <c r="GD54" s="90">
        <v>60</v>
      </c>
      <c r="GE54" s="90">
        <v>60</v>
      </c>
      <c r="GF54" s="90">
        <v>60</v>
      </c>
      <c r="GG54" s="90">
        <v>60</v>
      </c>
      <c r="GH54" s="90">
        <v>60</v>
      </c>
      <c r="GI54" s="90">
        <v>60</v>
      </c>
      <c r="GJ54" s="90">
        <v>60</v>
      </c>
      <c r="GK54" s="90">
        <v>60</v>
      </c>
      <c r="GL54" s="90">
        <v>54</v>
      </c>
      <c r="GM54" s="90"/>
      <c r="GN54" s="90"/>
      <c r="GO54" s="90"/>
      <c r="GP54" s="90"/>
      <c r="GQ54" s="90"/>
      <c r="GR54" s="90"/>
      <c r="GS54" s="224">
        <v>10</v>
      </c>
      <c r="GT54" s="245">
        <f t="shared" si="14"/>
        <v>648</v>
      </c>
      <c r="GV54" s="237">
        <f t="shared" si="114"/>
        <v>54</v>
      </c>
      <c r="GW54" s="246">
        <f t="shared" si="114"/>
        <v>648</v>
      </c>
      <c r="GX54" s="247">
        <f t="shared" si="114"/>
        <v>54</v>
      </c>
      <c r="GY54" s="247">
        <f t="shared" si="114"/>
        <v>60</v>
      </c>
      <c r="GZ54" s="247">
        <f t="shared" si="114"/>
        <v>60</v>
      </c>
      <c r="HA54" s="247">
        <f t="shared" si="114"/>
        <v>60</v>
      </c>
      <c r="HB54" s="247">
        <f t="shared" si="114"/>
        <v>60</v>
      </c>
      <c r="HC54" s="247">
        <f t="shared" si="114"/>
        <v>60</v>
      </c>
      <c r="HD54" s="247">
        <f t="shared" si="114"/>
        <v>60</v>
      </c>
      <c r="HE54" s="247">
        <f t="shared" si="114"/>
        <v>60</v>
      </c>
      <c r="HF54" s="247">
        <f t="shared" si="114"/>
        <v>60</v>
      </c>
      <c r="HG54" s="247">
        <f t="shared" si="114"/>
        <v>60</v>
      </c>
      <c r="HH54" s="247">
        <f t="shared" si="114"/>
        <v>54</v>
      </c>
      <c r="HI54" s="247">
        <f t="shared" si="114"/>
        <v>0</v>
      </c>
      <c r="HJ54" s="247">
        <f t="shared" si="114"/>
        <v>0</v>
      </c>
      <c r="HK54" s="247">
        <f t="shared" si="112"/>
        <v>0</v>
      </c>
      <c r="HL54" s="247">
        <f t="shared" si="106"/>
        <v>0</v>
      </c>
      <c r="HM54" s="247">
        <f t="shared" si="10"/>
        <v>0</v>
      </c>
      <c r="HN54" s="247">
        <f t="shared" si="10"/>
        <v>0</v>
      </c>
      <c r="HO54" s="248">
        <f t="shared" si="10"/>
        <v>10</v>
      </c>
      <c r="HP54" s="241">
        <f t="shared" si="10"/>
        <v>648</v>
      </c>
      <c r="HR54" s="243">
        <v>54</v>
      </c>
      <c r="HS54" s="244">
        <v>648</v>
      </c>
      <c r="HT54" s="90">
        <v>72</v>
      </c>
      <c r="HU54" s="90">
        <v>72</v>
      </c>
      <c r="HV54" s="90">
        <v>72</v>
      </c>
      <c r="HW54" s="90">
        <v>72</v>
      </c>
      <c r="HX54" s="90">
        <v>72</v>
      </c>
      <c r="HY54" s="90">
        <v>72</v>
      </c>
      <c r="HZ54" s="90">
        <v>72</v>
      </c>
      <c r="IA54" s="90">
        <v>72</v>
      </c>
      <c r="IB54" s="90">
        <v>72</v>
      </c>
      <c r="IC54" s="90"/>
      <c r="ID54" s="90"/>
      <c r="IE54" s="90"/>
      <c r="IF54" s="90"/>
      <c r="IG54" s="90"/>
      <c r="IH54" s="90"/>
      <c r="II54" s="90"/>
      <c r="IJ54" s="90"/>
      <c r="IK54" s="224">
        <v>8</v>
      </c>
      <c r="IL54" s="245">
        <f t="shared" si="16"/>
        <v>648</v>
      </c>
      <c r="IN54" s="243">
        <v>54</v>
      </c>
      <c r="IO54" s="244">
        <v>648</v>
      </c>
      <c r="IP54" s="90">
        <v>72</v>
      </c>
      <c r="IQ54" s="90">
        <v>84</v>
      </c>
      <c r="IR54" s="90">
        <v>84</v>
      </c>
      <c r="IS54" s="90">
        <v>84</v>
      </c>
      <c r="IT54" s="90">
        <v>84</v>
      </c>
      <c r="IU54" s="90">
        <v>84</v>
      </c>
      <c r="IV54" s="90">
        <v>84</v>
      </c>
      <c r="IW54" s="90">
        <v>72</v>
      </c>
      <c r="IX54" s="90"/>
      <c r="IY54" s="90"/>
      <c r="IZ54" s="90"/>
      <c r="JA54" s="90"/>
      <c r="JB54" s="90"/>
      <c r="JC54" s="90"/>
      <c r="JD54" s="90"/>
      <c r="JE54" s="90"/>
      <c r="JF54" s="90"/>
      <c r="JG54" s="224">
        <v>7</v>
      </c>
      <c r="JH54" s="245">
        <f t="shared" si="17"/>
        <v>648</v>
      </c>
      <c r="JJ54" s="249">
        <v>54</v>
      </c>
      <c r="JK54" s="244">
        <v>648</v>
      </c>
      <c r="JL54" s="90">
        <v>84</v>
      </c>
      <c r="JM54" s="90">
        <v>96</v>
      </c>
      <c r="JN54" s="90">
        <v>96</v>
      </c>
      <c r="JO54" s="90">
        <v>96</v>
      </c>
      <c r="JP54" s="90">
        <v>96</v>
      </c>
      <c r="JQ54" s="90">
        <v>96</v>
      </c>
      <c r="JR54" s="90">
        <v>84</v>
      </c>
      <c r="JS54" s="90"/>
      <c r="JT54" s="90"/>
      <c r="JU54" s="90"/>
      <c r="JV54" s="90"/>
      <c r="JW54" s="90"/>
      <c r="JX54" s="90"/>
      <c r="JY54" s="90"/>
      <c r="JZ54" s="90"/>
      <c r="KA54" s="90"/>
      <c r="KB54" s="90"/>
      <c r="KC54" s="224">
        <v>6</v>
      </c>
      <c r="KD54" s="245">
        <f t="shared" si="18"/>
        <v>648</v>
      </c>
      <c r="KF54" s="243">
        <v>54</v>
      </c>
      <c r="KG54" s="244">
        <v>648</v>
      </c>
      <c r="KH54" s="90">
        <v>54</v>
      </c>
      <c r="KI54" s="90">
        <v>54</v>
      </c>
      <c r="KJ54" s="90">
        <v>54</v>
      </c>
      <c r="KK54" s="90">
        <v>54</v>
      </c>
      <c r="KL54" s="90">
        <v>54</v>
      </c>
      <c r="KM54" s="90">
        <v>54</v>
      </c>
      <c r="KN54" s="90">
        <v>54</v>
      </c>
      <c r="KO54" s="90">
        <v>54</v>
      </c>
      <c r="KP54" s="90">
        <v>54</v>
      </c>
      <c r="KQ54" s="90">
        <v>54</v>
      </c>
      <c r="KR54" s="90">
        <v>54</v>
      </c>
      <c r="KS54" s="90">
        <v>54</v>
      </c>
      <c r="KT54" s="90"/>
      <c r="KU54" s="90"/>
      <c r="KV54" s="90"/>
      <c r="KW54" s="90"/>
      <c r="KX54" s="90"/>
      <c r="KY54" s="224">
        <v>11</v>
      </c>
      <c r="KZ54" s="245">
        <f t="shared" si="19"/>
        <v>648</v>
      </c>
      <c r="LB54" s="237">
        <f t="shared" si="20"/>
        <v>54</v>
      </c>
      <c r="LC54" s="284">
        <f t="shared" si="21"/>
        <v>648</v>
      </c>
      <c r="LD54" s="237">
        <f t="shared" si="22"/>
        <v>54</v>
      </c>
      <c r="LE54" s="237">
        <f t="shared" si="23"/>
        <v>54</v>
      </c>
      <c r="LF54" s="237">
        <f t="shared" si="24"/>
        <v>54</v>
      </c>
      <c r="LG54" s="237">
        <f t="shared" si="25"/>
        <v>54</v>
      </c>
      <c r="LH54" s="237">
        <f t="shared" si="26"/>
        <v>54</v>
      </c>
      <c r="LI54" s="237">
        <f t="shared" si="27"/>
        <v>54</v>
      </c>
      <c r="LJ54" s="237">
        <f t="shared" si="28"/>
        <v>54</v>
      </c>
      <c r="LK54" s="237">
        <f t="shared" si="29"/>
        <v>54</v>
      </c>
      <c r="LL54" s="237">
        <f t="shared" si="30"/>
        <v>54</v>
      </c>
      <c r="LM54" s="237">
        <f t="shared" si="31"/>
        <v>54</v>
      </c>
      <c r="LN54" s="237">
        <f t="shared" si="32"/>
        <v>54</v>
      </c>
      <c r="LO54" s="237">
        <f t="shared" si="33"/>
        <v>54</v>
      </c>
      <c r="LP54" s="237">
        <f t="shared" si="34"/>
        <v>0</v>
      </c>
      <c r="LQ54" s="237">
        <f t="shared" si="35"/>
        <v>0</v>
      </c>
      <c r="LR54" s="237">
        <f t="shared" si="36"/>
        <v>0</v>
      </c>
      <c r="LS54" s="237">
        <f t="shared" si="37"/>
        <v>0</v>
      </c>
      <c r="LT54" s="237">
        <f t="shared" si="38"/>
        <v>0</v>
      </c>
      <c r="LU54" s="285">
        <f t="shared" si="39"/>
        <v>11</v>
      </c>
      <c r="LV54" s="280">
        <f t="shared" si="40"/>
        <v>648</v>
      </c>
      <c r="LX54" s="237">
        <f t="shared" si="41"/>
        <v>54</v>
      </c>
      <c r="LY54" s="284">
        <f t="shared" si="42"/>
        <v>648</v>
      </c>
      <c r="LZ54" s="237">
        <f t="shared" si="43"/>
        <v>54</v>
      </c>
      <c r="MA54" s="237">
        <f t="shared" si="44"/>
        <v>54</v>
      </c>
      <c r="MB54" s="237">
        <f t="shared" si="45"/>
        <v>54</v>
      </c>
      <c r="MC54" s="237">
        <f t="shared" si="46"/>
        <v>54</v>
      </c>
      <c r="MD54" s="237">
        <f t="shared" si="47"/>
        <v>54</v>
      </c>
      <c r="ME54" s="237">
        <f t="shared" si="48"/>
        <v>54</v>
      </c>
      <c r="MF54" s="237">
        <f t="shared" si="49"/>
        <v>54</v>
      </c>
      <c r="MG54" s="237">
        <f t="shared" si="50"/>
        <v>54</v>
      </c>
      <c r="MH54" s="237">
        <f t="shared" si="51"/>
        <v>54</v>
      </c>
      <c r="MI54" s="237">
        <f t="shared" si="52"/>
        <v>54</v>
      </c>
      <c r="MJ54" s="237">
        <f t="shared" si="53"/>
        <v>54</v>
      </c>
      <c r="MK54" s="237">
        <f t="shared" si="54"/>
        <v>54</v>
      </c>
      <c r="ML54" s="237">
        <f t="shared" si="55"/>
        <v>0</v>
      </c>
      <c r="MM54" s="237">
        <f t="shared" si="56"/>
        <v>0</v>
      </c>
      <c r="MN54" s="237">
        <f t="shared" si="57"/>
        <v>0</v>
      </c>
      <c r="MO54" s="237">
        <f t="shared" si="58"/>
        <v>0</v>
      </c>
      <c r="MP54" s="237">
        <f t="shared" si="59"/>
        <v>0</v>
      </c>
      <c r="MQ54" s="285">
        <f t="shared" si="60"/>
        <v>11</v>
      </c>
      <c r="MR54" s="280">
        <f t="shared" si="61"/>
        <v>648</v>
      </c>
      <c r="MT54" s="237">
        <f t="shared" si="62"/>
        <v>54</v>
      </c>
      <c r="MU54" s="284">
        <f t="shared" si="63"/>
        <v>648</v>
      </c>
      <c r="MV54" s="237">
        <f t="shared" si="64"/>
        <v>54</v>
      </c>
      <c r="MW54" s="237">
        <f t="shared" si="65"/>
        <v>54</v>
      </c>
      <c r="MX54" s="237">
        <f t="shared" si="66"/>
        <v>54</v>
      </c>
      <c r="MY54" s="237">
        <f t="shared" si="67"/>
        <v>54</v>
      </c>
      <c r="MZ54" s="237">
        <f t="shared" si="68"/>
        <v>54</v>
      </c>
      <c r="NA54" s="237">
        <f t="shared" si="69"/>
        <v>54</v>
      </c>
      <c r="NB54" s="237">
        <f t="shared" si="70"/>
        <v>54</v>
      </c>
      <c r="NC54" s="237">
        <f t="shared" si="71"/>
        <v>54</v>
      </c>
      <c r="ND54" s="237">
        <f t="shared" si="72"/>
        <v>54</v>
      </c>
      <c r="NE54" s="237">
        <f t="shared" si="73"/>
        <v>54</v>
      </c>
      <c r="NF54" s="237">
        <f t="shared" si="74"/>
        <v>54</v>
      </c>
      <c r="NG54" s="237">
        <f t="shared" si="75"/>
        <v>54</v>
      </c>
      <c r="NH54" s="237">
        <f t="shared" si="76"/>
        <v>0</v>
      </c>
      <c r="NI54" s="237">
        <f t="shared" si="77"/>
        <v>0</v>
      </c>
      <c r="NJ54" s="237">
        <f t="shared" si="78"/>
        <v>0</v>
      </c>
      <c r="NK54" s="237">
        <f t="shared" si="79"/>
        <v>0</v>
      </c>
      <c r="NL54" s="237">
        <f t="shared" si="80"/>
        <v>0</v>
      </c>
      <c r="NM54" s="285">
        <f t="shared" si="81"/>
        <v>11</v>
      </c>
      <c r="NN54" s="280">
        <f t="shared" si="82"/>
        <v>648</v>
      </c>
      <c r="NP54" s="237">
        <f t="shared" si="83"/>
        <v>54</v>
      </c>
      <c r="NQ54" s="284">
        <f t="shared" si="84"/>
        <v>648</v>
      </c>
      <c r="NR54" s="237">
        <f t="shared" si="85"/>
        <v>54</v>
      </c>
      <c r="NS54" s="237">
        <f t="shared" si="86"/>
        <v>54</v>
      </c>
      <c r="NT54" s="237">
        <f t="shared" si="87"/>
        <v>54</v>
      </c>
      <c r="NU54" s="237">
        <f t="shared" si="88"/>
        <v>54</v>
      </c>
      <c r="NV54" s="237">
        <f t="shared" si="89"/>
        <v>54</v>
      </c>
      <c r="NW54" s="237">
        <f t="shared" si="90"/>
        <v>54</v>
      </c>
      <c r="NX54" s="237">
        <f t="shared" si="91"/>
        <v>54</v>
      </c>
      <c r="NY54" s="237">
        <f t="shared" si="92"/>
        <v>54</v>
      </c>
      <c r="NZ54" s="237">
        <f t="shared" si="93"/>
        <v>54</v>
      </c>
      <c r="OA54" s="237">
        <f t="shared" si="94"/>
        <v>54</v>
      </c>
      <c r="OB54" s="237">
        <f t="shared" si="95"/>
        <v>54</v>
      </c>
      <c r="OC54" s="237">
        <f t="shared" si="96"/>
        <v>54</v>
      </c>
      <c r="OD54" s="237">
        <f t="shared" si="97"/>
        <v>0</v>
      </c>
      <c r="OE54" s="237">
        <f t="shared" si="98"/>
        <v>0</v>
      </c>
      <c r="OF54" s="237">
        <f t="shared" si="99"/>
        <v>0</v>
      </c>
      <c r="OG54" s="237">
        <f t="shared" si="100"/>
        <v>0</v>
      </c>
      <c r="OH54" s="237">
        <f t="shared" si="101"/>
        <v>0</v>
      </c>
      <c r="OI54" s="285">
        <f t="shared" si="102"/>
        <v>11</v>
      </c>
      <c r="OJ54" s="280">
        <f t="shared" si="103"/>
        <v>648</v>
      </c>
    </row>
    <row r="55" spans="31:400" x14ac:dyDescent="0.3">
      <c r="AE55" s="127" t="str">
        <f t="shared" si="109"/>
        <v>L3x4x0.3125</v>
      </c>
      <c r="AF55" s="138">
        <v>3.0000000000000004</v>
      </c>
      <c r="AG55" s="138">
        <v>4</v>
      </c>
      <c r="AH55" s="138">
        <v>0.3125</v>
      </c>
      <c r="AI55" s="138">
        <v>0.37500000000000006</v>
      </c>
      <c r="AJ55" s="138">
        <v>0.3125</v>
      </c>
      <c r="AK55">
        <f t="shared" si="110"/>
        <v>2.0000000000000001E-4</v>
      </c>
      <c r="AL55" t="s">
        <v>104</v>
      </c>
      <c r="AM55" s="133" t="s">
        <v>85</v>
      </c>
      <c r="BD55" s="143" t="str">
        <f t="shared" si="4"/>
        <v>W12x58</v>
      </c>
      <c r="BE55">
        <v>12.000000000000002</v>
      </c>
      <c r="BF55" s="138">
        <v>58.000000000000007</v>
      </c>
      <c r="BG55" s="138">
        <v>12.19</v>
      </c>
      <c r="BH55" s="138">
        <v>0.36</v>
      </c>
      <c r="BI55" s="138">
        <v>10.01</v>
      </c>
      <c r="BJ55" s="138">
        <v>0.64</v>
      </c>
      <c r="BK55" s="138">
        <v>0.6</v>
      </c>
      <c r="BM55" s="133" t="s">
        <v>85</v>
      </c>
      <c r="CF55" s="150" t="s">
        <v>262</v>
      </c>
      <c r="CG55">
        <v>0.9375</v>
      </c>
      <c r="CH55">
        <v>6.125</v>
      </c>
      <c r="CI55" s="151" t="s">
        <v>261</v>
      </c>
      <c r="EH55" s="250">
        <v>55</v>
      </c>
      <c r="EI55" s="251">
        <v>660</v>
      </c>
      <c r="EJ55" s="252">
        <v>42</v>
      </c>
      <c r="EK55" s="252">
        <v>48</v>
      </c>
      <c r="EL55" s="252">
        <v>48</v>
      </c>
      <c r="EM55" s="252">
        <v>48</v>
      </c>
      <c r="EN55" s="252">
        <v>48</v>
      </c>
      <c r="EO55" s="252">
        <v>48</v>
      </c>
      <c r="EP55" s="252">
        <v>48</v>
      </c>
      <c r="EQ55" s="252">
        <v>48</v>
      </c>
      <c r="ER55" s="252">
        <v>48</v>
      </c>
      <c r="ES55" s="252">
        <v>48</v>
      </c>
      <c r="ET55" s="252">
        <v>48</v>
      </c>
      <c r="EU55" s="252">
        <v>48</v>
      </c>
      <c r="EV55" s="252">
        <v>48</v>
      </c>
      <c r="EW55" s="252">
        <v>42</v>
      </c>
      <c r="EX55" s="252" t="s">
        <v>1137</v>
      </c>
      <c r="EY55" s="252" t="s">
        <v>1137</v>
      </c>
      <c r="EZ55" s="252"/>
      <c r="FA55" s="253">
        <v>13</v>
      </c>
      <c r="FB55" s="254">
        <f t="shared" si="12"/>
        <v>660</v>
      </c>
      <c r="FD55" s="237">
        <f t="shared" si="108"/>
        <v>55</v>
      </c>
      <c r="FE55" s="246">
        <f t="shared" si="108"/>
        <v>660</v>
      </c>
      <c r="FF55" s="247">
        <f t="shared" si="108"/>
        <v>42</v>
      </c>
      <c r="FG55" s="247">
        <f t="shared" si="108"/>
        <v>48</v>
      </c>
      <c r="FH55" s="247">
        <f t="shared" si="108"/>
        <v>48</v>
      </c>
      <c r="FI55" s="247">
        <f t="shared" si="108"/>
        <v>48</v>
      </c>
      <c r="FJ55" s="247">
        <f t="shared" si="108"/>
        <v>48</v>
      </c>
      <c r="FK55" s="247">
        <f t="shared" si="108"/>
        <v>48</v>
      </c>
      <c r="FL55" s="247">
        <f t="shared" si="108"/>
        <v>48</v>
      </c>
      <c r="FM55" s="247">
        <f t="shared" si="108"/>
        <v>48</v>
      </c>
      <c r="FN55" s="247">
        <f t="shared" si="108"/>
        <v>48</v>
      </c>
      <c r="FO55" s="247">
        <f t="shared" si="113"/>
        <v>48</v>
      </c>
      <c r="FP55" s="247">
        <f t="shared" si="113"/>
        <v>48</v>
      </c>
      <c r="FQ55" s="247">
        <f t="shared" si="113"/>
        <v>48</v>
      </c>
      <c r="FR55" s="247">
        <f t="shared" si="113"/>
        <v>48</v>
      </c>
      <c r="FS55" s="247">
        <f t="shared" si="113"/>
        <v>42</v>
      </c>
      <c r="FT55" s="247" t="str">
        <f t="shared" si="105"/>
        <v xml:space="preserve"> </v>
      </c>
      <c r="FU55" s="247" t="str">
        <f t="shared" si="105"/>
        <v xml:space="preserve"> </v>
      </c>
      <c r="FV55" s="247">
        <f t="shared" si="105"/>
        <v>0</v>
      </c>
      <c r="FW55" s="248">
        <f t="shared" si="105"/>
        <v>13</v>
      </c>
      <c r="FX55" s="241">
        <f t="shared" si="105"/>
        <v>660</v>
      </c>
      <c r="FZ55" s="255">
        <v>55</v>
      </c>
      <c r="GA55" s="251">
        <v>660</v>
      </c>
      <c r="GB55" s="252">
        <v>60</v>
      </c>
      <c r="GC55" s="252">
        <v>60</v>
      </c>
      <c r="GD55" s="252">
        <v>60</v>
      </c>
      <c r="GE55" s="252">
        <v>60</v>
      </c>
      <c r="GF55" s="252">
        <v>60</v>
      </c>
      <c r="GG55" s="252">
        <v>60</v>
      </c>
      <c r="GH55" s="252">
        <v>60</v>
      </c>
      <c r="GI55" s="252">
        <v>60</v>
      </c>
      <c r="GJ55" s="252">
        <v>60</v>
      </c>
      <c r="GK55" s="252">
        <v>60</v>
      </c>
      <c r="GL55" s="252">
        <v>60</v>
      </c>
      <c r="GM55" s="252"/>
      <c r="GN55" s="252"/>
      <c r="GO55" s="252"/>
      <c r="GP55" s="252"/>
      <c r="GQ55" s="252"/>
      <c r="GR55" s="252"/>
      <c r="GS55" s="253">
        <v>10</v>
      </c>
      <c r="GT55" s="254">
        <f t="shared" si="14"/>
        <v>660</v>
      </c>
      <c r="GV55" s="237">
        <f t="shared" si="114"/>
        <v>55</v>
      </c>
      <c r="GW55" s="246">
        <f t="shared" si="114"/>
        <v>660</v>
      </c>
      <c r="GX55" s="247">
        <f t="shared" si="114"/>
        <v>60</v>
      </c>
      <c r="GY55" s="247">
        <f t="shared" si="114"/>
        <v>60</v>
      </c>
      <c r="GZ55" s="247">
        <f t="shared" si="114"/>
        <v>60</v>
      </c>
      <c r="HA55" s="247">
        <f t="shared" si="114"/>
        <v>60</v>
      </c>
      <c r="HB55" s="247">
        <f t="shared" si="114"/>
        <v>60</v>
      </c>
      <c r="HC55" s="247">
        <f t="shared" si="114"/>
        <v>60</v>
      </c>
      <c r="HD55" s="247">
        <f t="shared" si="114"/>
        <v>60</v>
      </c>
      <c r="HE55" s="247">
        <f t="shared" si="114"/>
        <v>60</v>
      </c>
      <c r="HF55" s="247">
        <f t="shared" si="114"/>
        <v>60</v>
      </c>
      <c r="HG55" s="247">
        <f t="shared" si="114"/>
        <v>60</v>
      </c>
      <c r="HH55" s="247">
        <f t="shared" si="114"/>
        <v>60</v>
      </c>
      <c r="HI55" s="247">
        <f t="shared" si="114"/>
        <v>0</v>
      </c>
      <c r="HJ55" s="247">
        <f t="shared" si="114"/>
        <v>0</v>
      </c>
      <c r="HK55" s="247">
        <f t="shared" si="112"/>
        <v>0</v>
      </c>
      <c r="HL55" s="247">
        <f t="shared" si="106"/>
        <v>0</v>
      </c>
      <c r="HM55" s="247">
        <f t="shared" si="10"/>
        <v>0</v>
      </c>
      <c r="HN55" s="247">
        <f t="shared" si="10"/>
        <v>0</v>
      </c>
      <c r="HO55" s="248">
        <f t="shared" si="10"/>
        <v>10</v>
      </c>
      <c r="HP55" s="241">
        <f t="shared" si="10"/>
        <v>660</v>
      </c>
      <c r="HR55" s="250">
        <v>55</v>
      </c>
      <c r="HS55" s="251">
        <v>660</v>
      </c>
      <c r="HT55" s="252">
        <v>42</v>
      </c>
      <c r="HU55" s="252">
        <v>72</v>
      </c>
      <c r="HV55" s="252">
        <v>72</v>
      </c>
      <c r="HW55" s="252">
        <v>72</v>
      </c>
      <c r="HX55" s="252">
        <v>72</v>
      </c>
      <c r="HY55" s="252">
        <v>72</v>
      </c>
      <c r="HZ55" s="252">
        <v>72</v>
      </c>
      <c r="IA55" s="252">
        <v>72</v>
      </c>
      <c r="IB55" s="252">
        <v>72</v>
      </c>
      <c r="IC55" s="252">
        <v>42</v>
      </c>
      <c r="ID55" s="252"/>
      <c r="IE55" s="252"/>
      <c r="IF55" s="252"/>
      <c r="IG55" s="252"/>
      <c r="IH55" s="252"/>
      <c r="II55" s="252"/>
      <c r="IJ55" s="252"/>
      <c r="IK55" s="253">
        <v>9</v>
      </c>
      <c r="IL55" s="254">
        <f t="shared" si="16"/>
        <v>660</v>
      </c>
      <c r="IN55" s="250">
        <v>55</v>
      </c>
      <c r="IO55" s="251">
        <v>660</v>
      </c>
      <c r="IP55" s="252">
        <v>78</v>
      </c>
      <c r="IQ55" s="252">
        <v>84</v>
      </c>
      <c r="IR55" s="252">
        <v>84</v>
      </c>
      <c r="IS55" s="252">
        <v>84</v>
      </c>
      <c r="IT55" s="252">
        <v>84</v>
      </c>
      <c r="IU55" s="252">
        <v>84</v>
      </c>
      <c r="IV55" s="252">
        <v>84</v>
      </c>
      <c r="IW55" s="252">
        <v>78</v>
      </c>
      <c r="IX55" s="252"/>
      <c r="IY55" s="252"/>
      <c r="IZ55" s="252"/>
      <c r="JA55" s="252"/>
      <c r="JB55" s="252"/>
      <c r="JC55" s="252"/>
      <c r="JD55" s="252"/>
      <c r="JE55" s="252"/>
      <c r="JF55" s="252"/>
      <c r="JG55" s="253">
        <v>7</v>
      </c>
      <c r="JH55" s="254">
        <f t="shared" si="17"/>
        <v>660</v>
      </c>
      <c r="JJ55" s="255">
        <v>55</v>
      </c>
      <c r="JK55" s="251">
        <v>660</v>
      </c>
      <c r="JL55" s="252">
        <v>90</v>
      </c>
      <c r="JM55" s="252">
        <v>96</v>
      </c>
      <c r="JN55" s="252">
        <v>96</v>
      </c>
      <c r="JO55" s="252">
        <v>96</v>
      </c>
      <c r="JP55" s="252">
        <v>96</v>
      </c>
      <c r="JQ55" s="252">
        <v>96</v>
      </c>
      <c r="JR55" s="252">
        <v>90</v>
      </c>
      <c r="JS55" s="252"/>
      <c r="JT55" s="252"/>
      <c r="JU55" s="252"/>
      <c r="JV55" s="252"/>
      <c r="JW55" s="252"/>
      <c r="JX55" s="252"/>
      <c r="JY55" s="252"/>
      <c r="JZ55" s="252"/>
      <c r="KA55" s="252"/>
      <c r="KB55" s="252"/>
      <c r="KC55" s="253">
        <v>6</v>
      </c>
      <c r="KD55" s="254">
        <f t="shared" si="18"/>
        <v>660</v>
      </c>
      <c r="KF55" s="250">
        <v>55</v>
      </c>
      <c r="KG55" s="251">
        <v>660</v>
      </c>
      <c r="KH55" s="252">
        <v>33</v>
      </c>
      <c r="KI55" s="252">
        <v>54</v>
      </c>
      <c r="KJ55" s="252">
        <v>54</v>
      </c>
      <c r="KK55" s="252">
        <v>54</v>
      </c>
      <c r="KL55" s="252">
        <v>54</v>
      </c>
      <c r="KM55" s="252">
        <v>54</v>
      </c>
      <c r="KN55" s="252">
        <v>54</v>
      </c>
      <c r="KO55" s="252">
        <v>54</v>
      </c>
      <c r="KP55" s="252">
        <v>54</v>
      </c>
      <c r="KQ55" s="252">
        <v>54</v>
      </c>
      <c r="KR55" s="252">
        <v>54</v>
      </c>
      <c r="KS55" s="252">
        <v>54</v>
      </c>
      <c r="KT55" s="252">
        <v>33</v>
      </c>
      <c r="KU55" s="252"/>
      <c r="KV55" s="252"/>
      <c r="KW55" s="252"/>
      <c r="KX55" s="252"/>
      <c r="KY55" s="253">
        <v>12</v>
      </c>
      <c r="KZ55" s="254">
        <f t="shared" si="19"/>
        <v>660</v>
      </c>
      <c r="LB55" s="237">
        <f t="shared" si="20"/>
        <v>55</v>
      </c>
      <c r="LC55" s="284">
        <f t="shared" si="21"/>
        <v>660</v>
      </c>
      <c r="LD55" s="237">
        <f t="shared" si="22"/>
        <v>33</v>
      </c>
      <c r="LE55" s="237">
        <f t="shared" si="23"/>
        <v>54</v>
      </c>
      <c r="LF55" s="237">
        <f t="shared" si="24"/>
        <v>54</v>
      </c>
      <c r="LG55" s="237">
        <f t="shared" si="25"/>
        <v>54</v>
      </c>
      <c r="LH55" s="237">
        <f t="shared" si="26"/>
        <v>54</v>
      </c>
      <c r="LI55" s="237">
        <f t="shared" si="27"/>
        <v>54</v>
      </c>
      <c r="LJ55" s="237">
        <f t="shared" si="28"/>
        <v>54</v>
      </c>
      <c r="LK55" s="237">
        <f t="shared" si="29"/>
        <v>54</v>
      </c>
      <c r="LL55" s="237">
        <f t="shared" si="30"/>
        <v>54</v>
      </c>
      <c r="LM55" s="237">
        <f t="shared" si="31"/>
        <v>54</v>
      </c>
      <c r="LN55" s="237">
        <f t="shared" si="32"/>
        <v>54</v>
      </c>
      <c r="LO55" s="237">
        <f t="shared" si="33"/>
        <v>54</v>
      </c>
      <c r="LP55" s="237">
        <f t="shared" si="34"/>
        <v>33</v>
      </c>
      <c r="LQ55" s="237">
        <f t="shared" si="35"/>
        <v>0</v>
      </c>
      <c r="LR55" s="237">
        <f t="shared" si="36"/>
        <v>0</v>
      </c>
      <c r="LS55" s="237">
        <f t="shared" si="37"/>
        <v>0</v>
      </c>
      <c r="LT55" s="237">
        <f t="shared" si="38"/>
        <v>0</v>
      </c>
      <c r="LU55" s="285">
        <f t="shared" si="39"/>
        <v>12</v>
      </c>
      <c r="LV55" s="280">
        <f t="shared" si="40"/>
        <v>660</v>
      </c>
      <c r="LX55" s="237">
        <f t="shared" si="41"/>
        <v>55</v>
      </c>
      <c r="LY55" s="284">
        <f t="shared" si="42"/>
        <v>660</v>
      </c>
      <c r="LZ55" s="237">
        <f t="shared" si="43"/>
        <v>33</v>
      </c>
      <c r="MA55" s="237">
        <f t="shared" si="44"/>
        <v>54</v>
      </c>
      <c r="MB55" s="237">
        <f t="shared" si="45"/>
        <v>54</v>
      </c>
      <c r="MC55" s="237">
        <f t="shared" si="46"/>
        <v>54</v>
      </c>
      <c r="MD55" s="237">
        <f t="shared" si="47"/>
        <v>54</v>
      </c>
      <c r="ME55" s="237">
        <f t="shared" si="48"/>
        <v>54</v>
      </c>
      <c r="MF55" s="237">
        <f t="shared" si="49"/>
        <v>54</v>
      </c>
      <c r="MG55" s="237">
        <f t="shared" si="50"/>
        <v>54</v>
      </c>
      <c r="MH55" s="237">
        <f t="shared" si="51"/>
        <v>54</v>
      </c>
      <c r="MI55" s="237">
        <f t="shared" si="52"/>
        <v>54</v>
      </c>
      <c r="MJ55" s="237">
        <f t="shared" si="53"/>
        <v>54</v>
      </c>
      <c r="MK55" s="237">
        <f t="shared" si="54"/>
        <v>54</v>
      </c>
      <c r="ML55" s="237">
        <f t="shared" si="55"/>
        <v>33</v>
      </c>
      <c r="MM55" s="237">
        <f t="shared" si="56"/>
        <v>0</v>
      </c>
      <c r="MN55" s="237">
        <f t="shared" si="57"/>
        <v>0</v>
      </c>
      <c r="MO55" s="237">
        <f t="shared" si="58"/>
        <v>0</v>
      </c>
      <c r="MP55" s="237">
        <f t="shared" si="59"/>
        <v>0</v>
      </c>
      <c r="MQ55" s="285">
        <f t="shared" si="60"/>
        <v>12</v>
      </c>
      <c r="MR55" s="280">
        <f t="shared" si="61"/>
        <v>660</v>
      </c>
      <c r="MT55" s="237">
        <f t="shared" si="62"/>
        <v>55</v>
      </c>
      <c r="MU55" s="284">
        <f t="shared" si="63"/>
        <v>660</v>
      </c>
      <c r="MV55" s="237">
        <f t="shared" si="64"/>
        <v>33</v>
      </c>
      <c r="MW55" s="237">
        <f t="shared" si="65"/>
        <v>54</v>
      </c>
      <c r="MX55" s="237">
        <f t="shared" si="66"/>
        <v>54</v>
      </c>
      <c r="MY55" s="237">
        <f t="shared" si="67"/>
        <v>54</v>
      </c>
      <c r="MZ55" s="237">
        <f t="shared" si="68"/>
        <v>54</v>
      </c>
      <c r="NA55" s="237">
        <f t="shared" si="69"/>
        <v>54</v>
      </c>
      <c r="NB55" s="237">
        <f t="shared" si="70"/>
        <v>54</v>
      </c>
      <c r="NC55" s="237">
        <f t="shared" si="71"/>
        <v>54</v>
      </c>
      <c r="ND55" s="237">
        <f t="shared" si="72"/>
        <v>54</v>
      </c>
      <c r="NE55" s="237">
        <f t="shared" si="73"/>
        <v>54</v>
      </c>
      <c r="NF55" s="237">
        <f t="shared" si="74"/>
        <v>54</v>
      </c>
      <c r="NG55" s="237">
        <f t="shared" si="75"/>
        <v>54</v>
      </c>
      <c r="NH55" s="237">
        <f t="shared" si="76"/>
        <v>33</v>
      </c>
      <c r="NI55" s="237">
        <f t="shared" si="77"/>
        <v>0</v>
      </c>
      <c r="NJ55" s="237">
        <f t="shared" si="78"/>
        <v>0</v>
      </c>
      <c r="NK55" s="237">
        <f t="shared" si="79"/>
        <v>0</v>
      </c>
      <c r="NL55" s="237">
        <f t="shared" si="80"/>
        <v>0</v>
      </c>
      <c r="NM55" s="285">
        <f t="shared" si="81"/>
        <v>12</v>
      </c>
      <c r="NN55" s="280">
        <f t="shared" si="82"/>
        <v>660</v>
      </c>
      <c r="NP55" s="237">
        <f t="shared" si="83"/>
        <v>55</v>
      </c>
      <c r="NQ55" s="284">
        <f t="shared" si="84"/>
        <v>660</v>
      </c>
      <c r="NR55" s="237">
        <f t="shared" si="85"/>
        <v>33</v>
      </c>
      <c r="NS55" s="237">
        <f t="shared" si="86"/>
        <v>54</v>
      </c>
      <c r="NT55" s="237">
        <f t="shared" si="87"/>
        <v>54</v>
      </c>
      <c r="NU55" s="237">
        <f t="shared" si="88"/>
        <v>54</v>
      </c>
      <c r="NV55" s="237">
        <f t="shared" si="89"/>
        <v>54</v>
      </c>
      <c r="NW55" s="237">
        <f t="shared" si="90"/>
        <v>54</v>
      </c>
      <c r="NX55" s="237">
        <f t="shared" si="91"/>
        <v>54</v>
      </c>
      <c r="NY55" s="237">
        <f t="shared" si="92"/>
        <v>54</v>
      </c>
      <c r="NZ55" s="237">
        <f t="shared" si="93"/>
        <v>54</v>
      </c>
      <c r="OA55" s="237">
        <f t="shared" si="94"/>
        <v>54</v>
      </c>
      <c r="OB55" s="237">
        <f t="shared" si="95"/>
        <v>54</v>
      </c>
      <c r="OC55" s="237">
        <f t="shared" si="96"/>
        <v>54</v>
      </c>
      <c r="OD55" s="237">
        <f t="shared" si="97"/>
        <v>33</v>
      </c>
      <c r="OE55" s="237">
        <f t="shared" si="98"/>
        <v>0</v>
      </c>
      <c r="OF55" s="237">
        <f t="shared" si="99"/>
        <v>0</v>
      </c>
      <c r="OG55" s="237">
        <f t="shared" si="100"/>
        <v>0</v>
      </c>
      <c r="OH55" s="237">
        <f t="shared" si="101"/>
        <v>0</v>
      </c>
      <c r="OI55" s="285">
        <f t="shared" si="102"/>
        <v>12</v>
      </c>
      <c r="OJ55" s="280">
        <f t="shared" si="103"/>
        <v>660</v>
      </c>
    </row>
    <row r="56" spans="31:400" x14ac:dyDescent="0.3">
      <c r="AE56" s="127" t="str">
        <f t="shared" si="109"/>
        <v>L3x4x0.375</v>
      </c>
      <c r="AF56" s="138">
        <v>3.0000000000000004</v>
      </c>
      <c r="AG56" s="138">
        <v>4</v>
      </c>
      <c r="AH56" s="138">
        <v>0.37500000000000006</v>
      </c>
      <c r="AI56" s="138">
        <v>0.37500000000000006</v>
      </c>
      <c r="AJ56" s="138">
        <v>0.37500000000000006</v>
      </c>
      <c r="AK56">
        <f t="shared" si="110"/>
        <v>2.0000000000000001E-4</v>
      </c>
      <c r="AL56" t="s">
        <v>103</v>
      </c>
      <c r="AM56" s="133" t="s">
        <v>85</v>
      </c>
      <c r="BD56" s="143" t="str">
        <f t="shared" si="4"/>
        <v>W12x65</v>
      </c>
      <c r="BE56">
        <v>12.000000000000002</v>
      </c>
      <c r="BF56" s="138">
        <v>65</v>
      </c>
      <c r="BG56" s="138">
        <v>12.12</v>
      </c>
      <c r="BH56" s="138">
        <v>0.39</v>
      </c>
      <c r="BI56" s="138">
        <v>12.000000000000002</v>
      </c>
      <c r="BJ56" s="138">
        <v>0.60499999999999998</v>
      </c>
      <c r="BK56" s="138">
        <v>0.6</v>
      </c>
      <c r="BL56" t="s">
        <v>180</v>
      </c>
      <c r="BM56" s="133" t="s">
        <v>85</v>
      </c>
      <c r="CF56" s="150" t="s">
        <v>323</v>
      </c>
      <c r="CG56">
        <v>0.875</v>
      </c>
      <c r="CH56">
        <v>5.25</v>
      </c>
      <c r="CI56" s="151" t="s">
        <v>261</v>
      </c>
      <c r="EH56" s="243">
        <v>56</v>
      </c>
      <c r="EI56" s="244">
        <v>672</v>
      </c>
      <c r="EJ56" s="90">
        <v>48</v>
      </c>
      <c r="EK56" s="90">
        <v>48</v>
      </c>
      <c r="EL56" s="90">
        <v>48</v>
      </c>
      <c r="EM56" s="90">
        <v>48</v>
      </c>
      <c r="EN56" s="90">
        <v>48</v>
      </c>
      <c r="EO56" s="90">
        <v>48</v>
      </c>
      <c r="EP56" s="90">
        <v>48</v>
      </c>
      <c r="EQ56" s="90">
        <v>48</v>
      </c>
      <c r="ER56" s="90">
        <v>48</v>
      </c>
      <c r="ES56" s="90">
        <v>48</v>
      </c>
      <c r="ET56" s="90">
        <v>48</v>
      </c>
      <c r="EU56" s="90">
        <v>48</v>
      </c>
      <c r="EV56" s="90">
        <v>48</v>
      </c>
      <c r="EW56" s="90">
        <v>48</v>
      </c>
      <c r="EX56" s="90" t="s">
        <v>1137</v>
      </c>
      <c r="EY56" s="90" t="s">
        <v>1137</v>
      </c>
      <c r="EZ56" s="90"/>
      <c r="FA56" s="224">
        <v>13</v>
      </c>
      <c r="FB56" s="245">
        <f t="shared" si="12"/>
        <v>672</v>
      </c>
      <c r="FD56" s="237">
        <f t="shared" si="108"/>
        <v>56</v>
      </c>
      <c r="FE56" s="246">
        <f t="shared" si="108"/>
        <v>672</v>
      </c>
      <c r="FF56" s="247">
        <f t="shared" si="108"/>
        <v>48</v>
      </c>
      <c r="FG56" s="247">
        <f t="shared" si="108"/>
        <v>48</v>
      </c>
      <c r="FH56" s="247">
        <f t="shared" si="108"/>
        <v>48</v>
      </c>
      <c r="FI56" s="247">
        <f t="shared" si="108"/>
        <v>48</v>
      </c>
      <c r="FJ56" s="247">
        <f t="shared" si="108"/>
        <v>48</v>
      </c>
      <c r="FK56" s="247">
        <f t="shared" si="108"/>
        <v>48</v>
      </c>
      <c r="FL56" s="247">
        <f t="shared" si="108"/>
        <v>48</v>
      </c>
      <c r="FM56" s="247">
        <f t="shared" si="108"/>
        <v>48</v>
      </c>
      <c r="FN56" s="247">
        <f t="shared" si="108"/>
        <v>48</v>
      </c>
      <c r="FO56" s="247">
        <f t="shared" si="113"/>
        <v>48</v>
      </c>
      <c r="FP56" s="247">
        <f t="shared" si="113"/>
        <v>48</v>
      </c>
      <c r="FQ56" s="247">
        <f t="shared" si="113"/>
        <v>48</v>
      </c>
      <c r="FR56" s="247">
        <f t="shared" si="113"/>
        <v>48</v>
      </c>
      <c r="FS56" s="247">
        <f t="shared" si="113"/>
        <v>48</v>
      </c>
      <c r="FT56" s="247" t="str">
        <f t="shared" si="105"/>
        <v xml:space="preserve"> </v>
      </c>
      <c r="FU56" s="247" t="str">
        <f t="shared" si="105"/>
        <v xml:space="preserve"> </v>
      </c>
      <c r="FV56" s="247">
        <f t="shared" si="105"/>
        <v>0</v>
      </c>
      <c r="FW56" s="248">
        <f t="shared" si="105"/>
        <v>13</v>
      </c>
      <c r="FX56" s="241">
        <f t="shared" si="105"/>
        <v>672</v>
      </c>
      <c r="FZ56" s="249">
        <v>56</v>
      </c>
      <c r="GA56" s="244">
        <v>672</v>
      </c>
      <c r="GB56" s="90">
        <v>36</v>
      </c>
      <c r="GC56" s="90">
        <v>60</v>
      </c>
      <c r="GD56" s="90">
        <v>60</v>
      </c>
      <c r="GE56" s="90">
        <v>60</v>
      </c>
      <c r="GF56" s="90">
        <v>60</v>
      </c>
      <c r="GG56" s="90">
        <v>60</v>
      </c>
      <c r="GH56" s="90">
        <v>60</v>
      </c>
      <c r="GI56" s="90">
        <v>60</v>
      </c>
      <c r="GJ56" s="90">
        <v>60</v>
      </c>
      <c r="GK56" s="90">
        <v>60</v>
      </c>
      <c r="GL56" s="90">
        <v>60</v>
      </c>
      <c r="GM56" s="90">
        <v>36</v>
      </c>
      <c r="GN56" s="90"/>
      <c r="GO56" s="90"/>
      <c r="GP56" s="90"/>
      <c r="GQ56" s="90"/>
      <c r="GR56" s="90"/>
      <c r="GS56" s="224">
        <v>11</v>
      </c>
      <c r="GT56" s="245">
        <f t="shared" si="14"/>
        <v>672</v>
      </c>
      <c r="GV56" s="237">
        <f t="shared" si="114"/>
        <v>56</v>
      </c>
      <c r="GW56" s="246">
        <f t="shared" si="114"/>
        <v>672</v>
      </c>
      <c r="GX56" s="247">
        <f t="shared" si="114"/>
        <v>36</v>
      </c>
      <c r="GY56" s="247">
        <f t="shared" si="114"/>
        <v>60</v>
      </c>
      <c r="GZ56" s="247">
        <f t="shared" si="114"/>
        <v>60</v>
      </c>
      <c r="HA56" s="247">
        <f t="shared" si="114"/>
        <v>60</v>
      </c>
      <c r="HB56" s="247">
        <f t="shared" si="114"/>
        <v>60</v>
      </c>
      <c r="HC56" s="247">
        <f t="shared" si="114"/>
        <v>60</v>
      </c>
      <c r="HD56" s="247">
        <f t="shared" si="114"/>
        <v>60</v>
      </c>
      <c r="HE56" s="247">
        <f t="shared" si="114"/>
        <v>60</v>
      </c>
      <c r="HF56" s="247">
        <f t="shared" si="114"/>
        <v>60</v>
      </c>
      <c r="HG56" s="247">
        <f t="shared" si="114"/>
        <v>60</v>
      </c>
      <c r="HH56" s="247">
        <f t="shared" si="114"/>
        <v>60</v>
      </c>
      <c r="HI56" s="247">
        <f t="shared" si="114"/>
        <v>36</v>
      </c>
      <c r="HJ56" s="247">
        <f t="shared" si="114"/>
        <v>0</v>
      </c>
      <c r="HK56" s="247">
        <f t="shared" si="112"/>
        <v>0</v>
      </c>
      <c r="HL56" s="247">
        <f t="shared" si="106"/>
        <v>0</v>
      </c>
      <c r="HM56" s="247">
        <f t="shared" si="10"/>
        <v>0</v>
      </c>
      <c r="HN56" s="247">
        <f t="shared" si="10"/>
        <v>0</v>
      </c>
      <c r="HO56" s="248">
        <f t="shared" si="10"/>
        <v>11</v>
      </c>
      <c r="HP56" s="241">
        <f t="shared" si="10"/>
        <v>672</v>
      </c>
      <c r="HR56" s="243">
        <v>56</v>
      </c>
      <c r="HS56" s="244">
        <v>672</v>
      </c>
      <c r="HT56" s="90">
        <v>48</v>
      </c>
      <c r="HU56" s="90">
        <v>72</v>
      </c>
      <c r="HV56" s="90">
        <v>72</v>
      </c>
      <c r="HW56" s="90">
        <v>72</v>
      </c>
      <c r="HX56" s="90">
        <v>72</v>
      </c>
      <c r="HY56" s="90">
        <v>72</v>
      </c>
      <c r="HZ56" s="90">
        <v>72</v>
      </c>
      <c r="IA56" s="90">
        <v>72</v>
      </c>
      <c r="IB56" s="90">
        <v>72</v>
      </c>
      <c r="IC56" s="90">
        <v>48</v>
      </c>
      <c r="ID56" s="90"/>
      <c r="IE56" s="90"/>
      <c r="IF56" s="90"/>
      <c r="IG56" s="90"/>
      <c r="IH56" s="90"/>
      <c r="II56" s="90"/>
      <c r="IJ56" s="90"/>
      <c r="IK56" s="224">
        <v>9</v>
      </c>
      <c r="IL56" s="245">
        <f t="shared" si="16"/>
        <v>672</v>
      </c>
      <c r="IN56" s="243">
        <v>56</v>
      </c>
      <c r="IO56" s="244">
        <v>672</v>
      </c>
      <c r="IP56" s="90">
        <v>84</v>
      </c>
      <c r="IQ56" s="90">
        <v>84</v>
      </c>
      <c r="IR56" s="90">
        <v>84</v>
      </c>
      <c r="IS56" s="90">
        <v>84</v>
      </c>
      <c r="IT56" s="90">
        <v>84</v>
      </c>
      <c r="IU56" s="90">
        <v>84</v>
      </c>
      <c r="IV56" s="90">
        <v>84</v>
      </c>
      <c r="IW56" s="90">
        <v>84</v>
      </c>
      <c r="IX56" s="90"/>
      <c r="IY56" s="90"/>
      <c r="IZ56" s="90"/>
      <c r="JA56" s="90"/>
      <c r="JB56" s="90"/>
      <c r="JC56" s="90"/>
      <c r="JD56" s="90"/>
      <c r="JE56" s="90"/>
      <c r="JF56" s="90"/>
      <c r="JG56" s="224">
        <v>7</v>
      </c>
      <c r="JH56" s="245">
        <f t="shared" si="17"/>
        <v>672</v>
      </c>
      <c r="JJ56" s="249">
        <v>56</v>
      </c>
      <c r="JK56" s="244">
        <v>672</v>
      </c>
      <c r="JL56" s="90">
        <v>96</v>
      </c>
      <c r="JM56" s="90">
        <v>96</v>
      </c>
      <c r="JN56" s="90">
        <v>96</v>
      </c>
      <c r="JO56" s="90">
        <v>96</v>
      </c>
      <c r="JP56" s="90">
        <v>96</v>
      </c>
      <c r="JQ56" s="90">
        <v>96</v>
      </c>
      <c r="JR56" s="90">
        <v>96</v>
      </c>
      <c r="JS56" s="90"/>
      <c r="JT56" s="90"/>
      <c r="JU56" s="90"/>
      <c r="JV56" s="90"/>
      <c r="JW56" s="90"/>
      <c r="JX56" s="90"/>
      <c r="JY56" s="90"/>
      <c r="JZ56" s="90"/>
      <c r="KA56" s="90"/>
      <c r="KB56" s="90"/>
      <c r="KC56" s="224">
        <v>6</v>
      </c>
      <c r="KD56" s="245">
        <f t="shared" si="18"/>
        <v>672</v>
      </c>
      <c r="KF56" s="243">
        <v>56</v>
      </c>
      <c r="KG56" s="244">
        <v>672</v>
      </c>
      <c r="KH56" s="90">
        <v>39</v>
      </c>
      <c r="KI56" s="90">
        <v>54</v>
      </c>
      <c r="KJ56" s="90">
        <v>54</v>
      </c>
      <c r="KK56" s="90">
        <v>54</v>
      </c>
      <c r="KL56" s="90">
        <v>54</v>
      </c>
      <c r="KM56" s="90">
        <v>54</v>
      </c>
      <c r="KN56" s="90">
        <v>54</v>
      </c>
      <c r="KO56" s="90">
        <v>54</v>
      </c>
      <c r="KP56" s="90">
        <v>54</v>
      </c>
      <c r="KQ56" s="90">
        <v>54</v>
      </c>
      <c r="KR56" s="90">
        <v>54</v>
      </c>
      <c r="KS56" s="90">
        <v>54</v>
      </c>
      <c r="KT56" s="90">
        <v>39</v>
      </c>
      <c r="KU56" s="90"/>
      <c r="KV56" s="90"/>
      <c r="KW56" s="90"/>
      <c r="KX56" s="90"/>
      <c r="KY56" s="224">
        <v>12</v>
      </c>
      <c r="KZ56" s="245">
        <f t="shared" si="19"/>
        <v>672</v>
      </c>
      <c r="LB56" s="237">
        <f t="shared" si="20"/>
        <v>56</v>
      </c>
      <c r="LC56" s="284">
        <f t="shared" si="21"/>
        <v>672</v>
      </c>
      <c r="LD56" s="237">
        <f t="shared" si="22"/>
        <v>39</v>
      </c>
      <c r="LE56" s="237">
        <f t="shared" si="23"/>
        <v>54</v>
      </c>
      <c r="LF56" s="237">
        <f t="shared" si="24"/>
        <v>54</v>
      </c>
      <c r="LG56" s="237">
        <f t="shared" si="25"/>
        <v>54</v>
      </c>
      <c r="LH56" s="237">
        <f t="shared" si="26"/>
        <v>54</v>
      </c>
      <c r="LI56" s="237">
        <f t="shared" si="27"/>
        <v>54</v>
      </c>
      <c r="LJ56" s="237">
        <f t="shared" si="28"/>
        <v>54</v>
      </c>
      <c r="LK56" s="237">
        <f t="shared" si="29"/>
        <v>54</v>
      </c>
      <c r="LL56" s="237">
        <f t="shared" si="30"/>
        <v>54</v>
      </c>
      <c r="LM56" s="237">
        <f t="shared" si="31"/>
        <v>54</v>
      </c>
      <c r="LN56" s="237">
        <f t="shared" si="32"/>
        <v>54</v>
      </c>
      <c r="LO56" s="237">
        <f t="shared" si="33"/>
        <v>54</v>
      </c>
      <c r="LP56" s="237">
        <f t="shared" si="34"/>
        <v>39</v>
      </c>
      <c r="LQ56" s="237">
        <f t="shared" si="35"/>
        <v>0</v>
      </c>
      <c r="LR56" s="237">
        <f t="shared" si="36"/>
        <v>0</v>
      </c>
      <c r="LS56" s="237">
        <f t="shared" si="37"/>
        <v>0</v>
      </c>
      <c r="LT56" s="237">
        <f t="shared" si="38"/>
        <v>0</v>
      </c>
      <c r="LU56" s="285">
        <f t="shared" si="39"/>
        <v>12</v>
      </c>
      <c r="LV56" s="280">
        <f t="shared" si="40"/>
        <v>672</v>
      </c>
      <c r="LX56" s="237">
        <f t="shared" si="41"/>
        <v>56</v>
      </c>
      <c r="LY56" s="284">
        <f t="shared" si="42"/>
        <v>672</v>
      </c>
      <c r="LZ56" s="237">
        <f t="shared" si="43"/>
        <v>39</v>
      </c>
      <c r="MA56" s="237">
        <f t="shared" si="44"/>
        <v>54</v>
      </c>
      <c r="MB56" s="237">
        <f t="shared" si="45"/>
        <v>54</v>
      </c>
      <c r="MC56" s="237">
        <f t="shared" si="46"/>
        <v>54</v>
      </c>
      <c r="MD56" s="237">
        <f t="shared" si="47"/>
        <v>54</v>
      </c>
      <c r="ME56" s="237">
        <f t="shared" si="48"/>
        <v>54</v>
      </c>
      <c r="MF56" s="237">
        <f t="shared" si="49"/>
        <v>54</v>
      </c>
      <c r="MG56" s="237">
        <f t="shared" si="50"/>
        <v>54</v>
      </c>
      <c r="MH56" s="237">
        <f t="shared" si="51"/>
        <v>54</v>
      </c>
      <c r="MI56" s="237">
        <f t="shared" si="52"/>
        <v>54</v>
      </c>
      <c r="MJ56" s="237">
        <f t="shared" si="53"/>
        <v>54</v>
      </c>
      <c r="MK56" s="237">
        <f t="shared" si="54"/>
        <v>54</v>
      </c>
      <c r="ML56" s="237">
        <f t="shared" si="55"/>
        <v>39</v>
      </c>
      <c r="MM56" s="237">
        <f t="shared" si="56"/>
        <v>0</v>
      </c>
      <c r="MN56" s="237">
        <f t="shared" si="57"/>
        <v>0</v>
      </c>
      <c r="MO56" s="237">
        <f t="shared" si="58"/>
        <v>0</v>
      </c>
      <c r="MP56" s="237">
        <f t="shared" si="59"/>
        <v>0</v>
      </c>
      <c r="MQ56" s="285">
        <f t="shared" si="60"/>
        <v>12</v>
      </c>
      <c r="MR56" s="280">
        <f t="shared" si="61"/>
        <v>672</v>
      </c>
      <c r="MT56" s="237">
        <f t="shared" si="62"/>
        <v>56</v>
      </c>
      <c r="MU56" s="284">
        <f t="shared" si="63"/>
        <v>672</v>
      </c>
      <c r="MV56" s="237">
        <f t="shared" si="64"/>
        <v>39</v>
      </c>
      <c r="MW56" s="237">
        <f t="shared" si="65"/>
        <v>54</v>
      </c>
      <c r="MX56" s="237">
        <f t="shared" si="66"/>
        <v>54</v>
      </c>
      <c r="MY56" s="237">
        <f t="shared" si="67"/>
        <v>54</v>
      </c>
      <c r="MZ56" s="237">
        <f t="shared" si="68"/>
        <v>54</v>
      </c>
      <c r="NA56" s="237">
        <f t="shared" si="69"/>
        <v>54</v>
      </c>
      <c r="NB56" s="237">
        <f t="shared" si="70"/>
        <v>54</v>
      </c>
      <c r="NC56" s="237">
        <f t="shared" si="71"/>
        <v>54</v>
      </c>
      <c r="ND56" s="237">
        <f t="shared" si="72"/>
        <v>54</v>
      </c>
      <c r="NE56" s="237">
        <f t="shared" si="73"/>
        <v>54</v>
      </c>
      <c r="NF56" s="237">
        <f t="shared" si="74"/>
        <v>54</v>
      </c>
      <c r="NG56" s="237">
        <f t="shared" si="75"/>
        <v>54</v>
      </c>
      <c r="NH56" s="237">
        <f t="shared" si="76"/>
        <v>39</v>
      </c>
      <c r="NI56" s="237">
        <f t="shared" si="77"/>
        <v>0</v>
      </c>
      <c r="NJ56" s="237">
        <f t="shared" si="78"/>
        <v>0</v>
      </c>
      <c r="NK56" s="237">
        <f t="shared" si="79"/>
        <v>0</v>
      </c>
      <c r="NL56" s="237">
        <f t="shared" si="80"/>
        <v>0</v>
      </c>
      <c r="NM56" s="285">
        <f t="shared" si="81"/>
        <v>12</v>
      </c>
      <c r="NN56" s="280">
        <f t="shared" si="82"/>
        <v>672</v>
      </c>
      <c r="NP56" s="237">
        <f t="shared" si="83"/>
        <v>56</v>
      </c>
      <c r="NQ56" s="284">
        <f t="shared" si="84"/>
        <v>672</v>
      </c>
      <c r="NR56" s="237">
        <f t="shared" si="85"/>
        <v>39</v>
      </c>
      <c r="NS56" s="237">
        <f t="shared" si="86"/>
        <v>54</v>
      </c>
      <c r="NT56" s="237">
        <f t="shared" si="87"/>
        <v>54</v>
      </c>
      <c r="NU56" s="237">
        <f t="shared" si="88"/>
        <v>54</v>
      </c>
      <c r="NV56" s="237">
        <f t="shared" si="89"/>
        <v>54</v>
      </c>
      <c r="NW56" s="237">
        <f t="shared" si="90"/>
        <v>54</v>
      </c>
      <c r="NX56" s="237">
        <f t="shared" si="91"/>
        <v>54</v>
      </c>
      <c r="NY56" s="237">
        <f t="shared" si="92"/>
        <v>54</v>
      </c>
      <c r="NZ56" s="237">
        <f t="shared" si="93"/>
        <v>54</v>
      </c>
      <c r="OA56" s="237">
        <f t="shared" si="94"/>
        <v>54</v>
      </c>
      <c r="OB56" s="237">
        <f t="shared" si="95"/>
        <v>54</v>
      </c>
      <c r="OC56" s="237">
        <f t="shared" si="96"/>
        <v>54</v>
      </c>
      <c r="OD56" s="237">
        <f t="shared" si="97"/>
        <v>39</v>
      </c>
      <c r="OE56" s="237">
        <f t="shared" si="98"/>
        <v>0</v>
      </c>
      <c r="OF56" s="237">
        <f t="shared" si="99"/>
        <v>0</v>
      </c>
      <c r="OG56" s="237">
        <f t="shared" si="100"/>
        <v>0</v>
      </c>
      <c r="OH56" s="237">
        <f t="shared" si="101"/>
        <v>0</v>
      </c>
      <c r="OI56" s="285">
        <f t="shared" si="102"/>
        <v>12</v>
      </c>
      <c r="OJ56" s="280">
        <f t="shared" si="103"/>
        <v>672</v>
      </c>
    </row>
    <row r="57" spans="31:400" x14ac:dyDescent="0.3">
      <c r="AE57" s="127" t="str">
        <f t="shared" si="109"/>
        <v>L3x4x0.4375</v>
      </c>
      <c r="AF57" s="138">
        <v>3.0000000000000004</v>
      </c>
      <c r="AG57" s="138">
        <v>4</v>
      </c>
      <c r="AH57" s="138">
        <v>0.4375</v>
      </c>
      <c r="AI57" s="138">
        <v>0.37500000000000006</v>
      </c>
      <c r="AJ57" s="138">
        <v>0.37500000000000006</v>
      </c>
      <c r="AK57">
        <f t="shared" si="110"/>
        <v>6.269999999999995E-2</v>
      </c>
      <c r="AM57" s="133" t="s">
        <v>85</v>
      </c>
      <c r="BD57" s="143" t="str">
        <f t="shared" si="4"/>
        <v>W12x72</v>
      </c>
      <c r="BE57">
        <v>12.000000000000002</v>
      </c>
      <c r="BF57" s="138">
        <v>72</v>
      </c>
      <c r="BG57" s="138">
        <v>12.25</v>
      </c>
      <c r="BH57" s="138">
        <v>0.43</v>
      </c>
      <c r="BI57" s="138">
        <v>12.04</v>
      </c>
      <c r="BJ57" s="138">
        <v>0.67</v>
      </c>
      <c r="BK57" s="138">
        <v>0.6</v>
      </c>
      <c r="BM57" s="133" t="s">
        <v>85</v>
      </c>
      <c r="CF57" s="150" t="s">
        <v>324</v>
      </c>
      <c r="CG57">
        <v>0.875</v>
      </c>
      <c r="CH57">
        <v>5.25</v>
      </c>
      <c r="CI57" s="151" t="s">
        <v>261</v>
      </c>
      <c r="EH57" s="232">
        <v>57</v>
      </c>
      <c r="EI57" s="256">
        <v>684</v>
      </c>
      <c r="EJ57" s="257">
        <v>30</v>
      </c>
      <c r="EK57" s="257">
        <v>48</v>
      </c>
      <c r="EL57" s="257">
        <v>48</v>
      </c>
      <c r="EM57" s="257">
        <v>48</v>
      </c>
      <c r="EN57" s="257">
        <v>48</v>
      </c>
      <c r="EO57" s="257">
        <v>48</v>
      </c>
      <c r="EP57" s="257">
        <v>48</v>
      </c>
      <c r="EQ57" s="257">
        <v>48</v>
      </c>
      <c r="ER57" s="257">
        <v>48</v>
      </c>
      <c r="ES57" s="257">
        <v>48</v>
      </c>
      <c r="ET57" s="257">
        <v>48</v>
      </c>
      <c r="EU57" s="257">
        <v>48</v>
      </c>
      <c r="EV57" s="257">
        <v>48</v>
      </c>
      <c r="EW57" s="257">
        <v>48</v>
      </c>
      <c r="EX57" s="257">
        <v>30</v>
      </c>
      <c r="EY57" s="257" t="s">
        <v>1137</v>
      </c>
      <c r="EZ57" s="257"/>
      <c r="FA57" s="258">
        <v>14</v>
      </c>
      <c r="FB57" s="236">
        <f t="shared" si="12"/>
        <v>684</v>
      </c>
      <c r="FD57" s="237">
        <f t="shared" si="108"/>
        <v>57</v>
      </c>
      <c r="FE57" s="246">
        <f t="shared" si="108"/>
        <v>684</v>
      </c>
      <c r="FF57" s="247">
        <f t="shared" si="108"/>
        <v>30</v>
      </c>
      <c r="FG57" s="247">
        <f t="shared" si="108"/>
        <v>48</v>
      </c>
      <c r="FH57" s="247">
        <f t="shared" si="108"/>
        <v>48</v>
      </c>
      <c r="FI57" s="247">
        <f t="shared" si="108"/>
        <v>48</v>
      </c>
      <c r="FJ57" s="247">
        <f t="shared" si="108"/>
        <v>48</v>
      </c>
      <c r="FK57" s="247">
        <f t="shared" si="108"/>
        <v>48</v>
      </c>
      <c r="FL57" s="247">
        <f t="shared" si="108"/>
        <v>48</v>
      </c>
      <c r="FM57" s="247">
        <f t="shared" si="108"/>
        <v>48</v>
      </c>
      <c r="FN57" s="247">
        <f t="shared" si="108"/>
        <v>48</v>
      </c>
      <c r="FO57" s="247">
        <f t="shared" si="113"/>
        <v>48</v>
      </c>
      <c r="FP57" s="247">
        <f t="shared" si="113"/>
        <v>48</v>
      </c>
      <c r="FQ57" s="247">
        <f t="shared" si="113"/>
        <v>48</v>
      </c>
      <c r="FR57" s="247">
        <f t="shared" si="113"/>
        <v>48</v>
      </c>
      <c r="FS57" s="247">
        <f t="shared" si="113"/>
        <v>48</v>
      </c>
      <c r="FT57" s="247">
        <f t="shared" si="105"/>
        <v>30</v>
      </c>
      <c r="FU57" s="247" t="str">
        <f t="shared" si="105"/>
        <v xml:space="preserve"> </v>
      </c>
      <c r="FV57" s="247">
        <f t="shared" si="105"/>
        <v>0</v>
      </c>
      <c r="FW57" s="248">
        <f t="shared" si="105"/>
        <v>14</v>
      </c>
      <c r="FX57" s="241">
        <f t="shared" si="105"/>
        <v>684</v>
      </c>
      <c r="FZ57" s="242">
        <v>57</v>
      </c>
      <c r="GA57" s="256">
        <v>684</v>
      </c>
      <c r="GB57" s="257">
        <v>42</v>
      </c>
      <c r="GC57" s="257">
        <v>60</v>
      </c>
      <c r="GD57" s="257">
        <v>60</v>
      </c>
      <c r="GE57" s="257">
        <v>60</v>
      </c>
      <c r="GF57" s="257">
        <v>60</v>
      </c>
      <c r="GG57" s="257">
        <v>60</v>
      </c>
      <c r="GH57" s="257">
        <v>60</v>
      </c>
      <c r="GI57" s="257">
        <v>60</v>
      </c>
      <c r="GJ57" s="257">
        <v>60</v>
      </c>
      <c r="GK57" s="257">
        <v>60</v>
      </c>
      <c r="GL57" s="257">
        <v>60</v>
      </c>
      <c r="GM57" s="257">
        <v>42</v>
      </c>
      <c r="GN57" s="257"/>
      <c r="GO57" s="257"/>
      <c r="GP57" s="257"/>
      <c r="GQ57" s="257"/>
      <c r="GR57" s="257"/>
      <c r="GS57" s="258">
        <v>11</v>
      </c>
      <c r="GT57" s="236">
        <f t="shared" si="14"/>
        <v>684</v>
      </c>
      <c r="GV57" s="237">
        <f t="shared" si="114"/>
        <v>57</v>
      </c>
      <c r="GW57" s="246">
        <f t="shared" si="114"/>
        <v>684</v>
      </c>
      <c r="GX57" s="247">
        <f t="shared" si="114"/>
        <v>42</v>
      </c>
      <c r="GY57" s="247">
        <f t="shared" si="114"/>
        <v>60</v>
      </c>
      <c r="GZ57" s="247">
        <f t="shared" si="114"/>
        <v>60</v>
      </c>
      <c r="HA57" s="247">
        <f t="shared" si="114"/>
        <v>60</v>
      </c>
      <c r="HB57" s="247">
        <f t="shared" si="114"/>
        <v>60</v>
      </c>
      <c r="HC57" s="247">
        <f t="shared" si="114"/>
        <v>60</v>
      </c>
      <c r="HD57" s="247">
        <f t="shared" si="114"/>
        <v>60</v>
      </c>
      <c r="HE57" s="247">
        <f t="shared" si="114"/>
        <v>60</v>
      </c>
      <c r="HF57" s="247">
        <f t="shared" si="114"/>
        <v>60</v>
      </c>
      <c r="HG57" s="247">
        <f t="shared" si="114"/>
        <v>60</v>
      </c>
      <c r="HH57" s="247">
        <f t="shared" si="114"/>
        <v>60</v>
      </c>
      <c r="HI57" s="247">
        <f t="shared" si="114"/>
        <v>42</v>
      </c>
      <c r="HJ57" s="247">
        <f t="shared" si="114"/>
        <v>0</v>
      </c>
      <c r="HK57" s="247">
        <f t="shared" si="112"/>
        <v>0</v>
      </c>
      <c r="HL57" s="247">
        <f t="shared" si="106"/>
        <v>0</v>
      </c>
      <c r="HM57" s="247">
        <f t="shared" si="10"/>
        <v>0</v>
      </c>
      <c r="HN57" s="247">
        <f t="shared" si="10"/>
        <v>0</v>
      </c>
      <c r="HO57" s="248">
        <f t="shared" si="10"/>
        <v>11</v>
      </c>
      <c r="HP57" s="241">
        <f t="shared" si="10"/>
        <v>684</v>
      </c>
      <c r="HR57" s="232">
        <v>57</v>
      </c>
      <c r="HS57" s="256">
        <v>684</v>
      </c>
      <c r="HT57" s="257">
        <v>54</v>
      </c>
      <c r="HU57" s="257">
        <v>72</v>
      </c>
      <c r="HV57" s="257">
        <v>72</v>
      </c>
      <c r="HW57" s="257">
        <v>72</v>
      </c>
      <c r="HX57" s="257">
        <v>72</v>
      </c>
      <c r="HY57" s="257">
        <v>72</v>
      </c>
      <c r="HZ57" s="257">
        <v>72</v>
      </c>
      <c r="IA57" s="257">
        <v>72</v>
      </c>
      <c r="IB57" s="257">
        <v>72</v>
      </c>
      <c r="IC57" s="257">
        <v>54</v>
      </c>
      <c r="ID57" s="257"/>
      <c r="IE57" s="257"/>
      <c r="IF57" s="257"/>
      <c r="IG57" s="257"/>
      <c r="IH57" s="257"/>
      <c r="II57" s="257"/>
      <c r="IJ57" s="257"/>
      <c r="IK57" s="258">
        <v>9</v>
      </c>
      <c r="IL57" s="236">
        <f t="shared" si="16"/>
        <v>684</v>
      </c>
      <c r="IN57" s="232">
        <v>57</v>
      </c>
      <c r="IO57" s="256">
        <v>684</v>
      </c>
      <c r="IP57" s="257">
        <v>48</v>
      </c>
      <c r="IQ57" s="257">
        <v>84</v>
      </c>
      <c r="IR57" s="257">
        <v>84</v>
      </c>
      <c r="IS57" s="257">
        <v>84</v>
      </c>
      <c r="IT57" s="257">
        <v>84</v>
      </c>
      <c r="IU57" s="257">
        <v>84</v>
      </c>
      <c r="IV57" s="257">
        <v>84</v>
      </c>
      <c r="IW57" s="257">
        <v>84</v>
      </c>
      <c r="IX57" s="257">
        <v>48</v>
      </c>
      <c r="IY57" s="257"/>
      <c r="IZ57" s="257"/>
      <c r="JA57" s="257"/>
      <c r="JB57" s="257"/>
      <c r="JC57" s="257"/>
      <c r="JD57" s="257"/>
      <c r="JE57" s="257"/>
      <c r="JF57" s="257"/>
      <c r="JG57" s="258">
        <v>8</v>
      </c>
      <c r="JH57" s="236">
        <f t="shared" si="17"/>
        <v>684</v>
      </c>
      <c r="JJ57" s="242">
        <v>57</v>
      </c>
      <c r="JK57" s="256">
        <v>684</v>
      </c>
      <c r="JL57" s="257">
        <v>54</v>
      </c>
      <c r="JM57" s="257">
        <v>96</v>
      </c>
      <c r="JN57" s="257">
        <v>96</v>
      </c>
      <c r="JO57" s="257">
        <v>96</v>
      </c>
      <c r="JP57" s="257">
        <v>96</v>
      </c>
      <c r="JQ57" s="257">
        <v>96</v>
      </c>
      <c r="JR57" s="257">
        <v>96</v>
      </c>
      <c r="JS57" s="257">
        <v>54</v>
      </c>
      <c r="JT57" s="257"/>
      <c r="JU57" s="257"/>
      <c r="JV57" s="257"/>
      <c r="JW57" s="257"/>
      <c r="JX57" s="257"/>
      <c r="JY57" s="257"/>
      <c r="JZ57" s="257"/>
      <c r="KA57" s="257"/>
      <c r="KB57" s="257"/>
      <c r="KC57" s="258">
        <v>7</v>
      </c>
      <c r="KD57" s="236">
        <f t="shared" si="18"/>
        <v>684</v>
      </c>
      <c r="KF57" s="232">
        <v>57</v>
      </c>
      <c r="KG57" s="256">
        <v>684</v>
      </c>
      <c r="KH57" s="257">
        <v>45</v>
      </c>
      <c r="KI57" s="257">
        <v>54</v>
      </c>
      <c r="KJ57" s="257">
        <v>54</v>
      </c>
      <c r="KK57" s="257">
        <v>54</v>
      </c>
      <c r="KL57" s="257">
        <v>54</v>
      </c>
      <c r="KM57" s="257">
        <v>54</v>
      </c>
      <c r="KN57" s="257">
        <v>54</v>
      </c>
      <c r="KO57" s="257">
        <v>54</v>
      </c>
      <c r="KP57" s="257">
        <v>54</v>
      </c>
      <c r="KQ57" s="257">
        <v>54</v>
      </c>
      <c r="KR57" s="257">
        <v>54</v>
      </c>
      <c r="KS57" s="257">
        <v>54</v>
      </c>
      <c r="KT57" s="257">
        <v>45</v>
      </c>
      <c r="KU57" s="257"/>
      <c r="KV57" s="257"/>
      <c r="KW57" s="257"/>
      <c r="KX57" s="257"/>
      <c r="KY57" s="258">
        <v>12</v>
      </c>
      <c r="KZ57" s="236">
        <f t="shared" si="19"/>
        <v>684</v>
      </c>
      <c r="LB57" s="237">
        <f t="shared" si="20"/>
        <v>57</v>
      </c>
      <c r="LC57" s="284">
        <f t="shared" si="21"/>
        <v>684</v>
      </c>
      <c r="LD57" s="237">
        <f t="shared" si="22"/>
        <v>45</v>
      </c>
      <c r="LE57" s="237">
        <f t="shared" si="23"/>
        <v>54</v>
      </c>
      <c r="LF57" s="237">
        <f t="shared" si="24"/>
        <v>54</v>
      </c>
      <c r="LG57" s="237">
        <f t="shared" si="25"/>
        <v>54</v>
      </c>
      <c r="LH57" s="237">
        <f t="shared" si="26"/>
        <v>54</v>
      </c>
      <c r="LI57" s="237">
        <f t="shared" si="27"/>
        <v>54</v>
      </c>
      <c r="LJ57" s="237">
        <f t="shared" si="28"/>
        <v>54</v>
      </c>
      <c r="LK57" s="237">
        <f t="shared" si="29"/>
        <v>54</v>
      </c>
      <c r="LL57" s="237">
        <f t="shared" si="30"/>
        <v>54</v>
      </c>
      <c r="LM57" s="237">
        <f t="shared" si="31"/>
        <v>54</v>
      </c>
      <c r="LN57" s="237">
        <f t="shared" si="32"/>
        <v>54</v>
      </c>
      <c r="LO57" s="237">
        <f t="shared" si="33"/>
        <v>54</v>
      </c>
      <c r="LP57" s="237">
        <f t="shared" si="34"/>
        <v>45</v>
      </c>
      <c r="LQ57" s="237">
        <f t="shared" si="35"/>
        <v>0</v>
      </c>
      <c r="LR57" s="237">
        <f t="shared" si="36"/>
        <v>0</v>
      </c>
      <c r="LS57" s="237">
        <f t="shared" si="37"/>
        <v>0</v>
      </c>
      <c r="LT57" s="237">
        <f t="shared" si="38"/>
        <v>0</v>
      </c>
      <c r="LU57" s="285">
        <f t="shared" si="39"/>
        <v>12</v>
      </c>
      <c r="LV57" s="280">
        <f t="shared" si="40"/>
        <v>684</v>
      </c>
      <c r="LX57" s="237">
        <f t="shared" si="41"/>
        <v>57</v>
      </c>
      <c r="LY57" s="284">
        <f t="shared" si="42"/>
        <v>684</v>
      </c>
      <c r="LZ57" s="237">
        <f t="shared" si="43"/>
        <v>45</v>
      </c>
      <c r="MA57" s="237">
        <f t="shared" si="44"/>
        <v>54</v>
      </c>
      <c r="MB57" s="237">
        <f t="shared" si="45"/>
        <v>54</v>
      </c>
      <c r="MC57" s="237">
        <f t="shared" si="46"/>
        <v>54</v>
      </c>
      <c r="MD57" s="237">
        <f t="shared" si="47"/>
        <v>54</v>
      </c>
      <c r="ME57" s="237">
        <f t="shared" si="48"/>
        <v>54</v>
      </c>
      <c r="MF57" s="237">
        <f t="shared" si="49"/>
        <v>54</v>
      </c>
      <c r="MG57" s="237">
        <f t="shared" si="50"/>
        <v>54</v>
      </c>
      <c r="MH57" s="237">
        <f t="shared" si="51"/>
        <v>54</v>
      </c>
      <c r="MI57" s="237">
        <f t="shared" si="52"/>
        <v>54</v>
      </c>
      <c r="MJ57" s="237">
        <f t="shared" si="53"/>
        <v>54</v>
      </c>
      <c r="MK57" s="237">
        <f t="shared" si="54"/>
        <v>54</v>
      </c>
      <c r="ML57" s="237">
        <f t="shared" si="55"/>
        <v>45</v>
      </c>
      <c r="MM57" s="237">
        <f t="shared" si="56"/>
        <v>0</v>
      </c>
      <c r="MN57" s="237">
        <f t="shared" si="57"/>
        <v>0</v>
      </c>
      <c r="MO57" s="237">
        <f t="shared" si="58"/>
        <v>0</v>
      </c>
      <c r="MP57" s="237">
        <f t="shared" si="59"/>
        <v>0</v>
      </c>
      <c r="MQ57" s="285">
        <f t="shared" si="60"/>
        <v>12</v>
      </c>
      <c r="MR57" s="280">
        <f t="shared" si="61"/>
        <v>684</v>
      </c>
      <c r="MT57" s="237">
        <f t="shared" si="62"/>
        <v>57</v>
      </c>
      <c r="MU57" s="284">
        <f t="shared" si="63"/>
        <v>684</v>
      </c>
      <c r="MV57" s="237">
        <f t="shared" si="64"/>
        <v>45</v>
      </c>
      <c r="MW57" s="237">
        <f t="shared" si="65"/>
        <v>54</v>
      </c>
      <c r="MX57" s="237">
        <f t="shared" si="66"/>
        <v>54</v>
      </c>
      <c r="MY57" s="237">
        <f t="shared" si="67"/>
        <v>54</v>
      </c>
      <c r="MZ57" s="237">
        <f t="shared" si="68"/>
        <v>54</v>
      </c>
      <c r="NA57" s="237">
        <f t="shared" si="69"/>
        <v>54</v>
      </c>
      <c r="NB57" s="237">
        <f t="shared" si="70"/>
        <v>54</v>
      </c>
      <c r="NC57" s="237">
        <f t="shared" si="71"/>
        <v>54</v>
      </c>
      <c r="ND57" s="237">
        <f t="shared" si="72"/>
        <v>54</v>
      </c>
      <c r="NE57" s="237">
        <f t="shared" si="73"/>
        <v>54</v>
      </c>
      <c r="NF57" s="237">
        <f t="shared" si="74"/>
        <v>54</v>
      </c>
      <c r="NG57" s="237">
        <f t="shared" si="75"/>
        <v>54</v>
      </c>
      <c r="NH57" s="237">
        <f t="shared" si="76"/>
        <v>45</v>
      </c>
      <c r="NI57" s="237">
        <f t="shared" si="77"/>
        <v>0</v>
      </c>
      <c r="NJ57" s="237">
        <f t="shared" si="78"/>
        <v>0</v>
      </c>
      <c r="NK57" s="237">
        <f t="shared" si="79"/>
        <v>0</v>
      </c>
      <c r="NL57" s="237">
        <f t="shared" si="80"/>
        <v>0</v>
      </c>
      <c r="NM57" s="285">
        <f t="shared" si="81"/>
        <v>12</v>
      </c>
      <c r="NN57" s="280">
        <f t="shared" si="82"/>
        <v>684</v>
      </c>
      <c r="NP57" s="237">
        <f t="shared" si="83"/>
        <v>57</v>
      </c>
      <c r="NQ57" s="284">
        <f t="shared" si="84"/>
        <v>684</v>
      </c>
      <c r="NR57" s="237">
        <f t="shared" si="85"/>
        <v>45</v>
      </c>
      <c r="NS57" s="237">
        <f t="shared" si="86"/>
        <v>54</v>
      </c>
      <c r="NT57" s="237">
        <f t="shared" si="87"/>
        <v>54</v>
      </c>
      <c r="NU57" s="237">
        <f t="shared" si="88"/>
        <v>54</v>
      </c>
      <c r="NV57" s="237">
        <f t="shared" si="89"/>
        <v>54</v>
      </c>
      <c r="NW57" s="237">
        <f t="shared" si="90"/>
        <v>54</v>
      </c>
      <c r="NX57" s="237">
        <f t="shared" si="91"/>
        <v>54</v>
      </c>
      <c r="NY57" s="237">
        <f t="shared" si="92"/>
        <v>54</v>
      </c>
      <c r="NZ57" s="237">
        <f t="shared" si="93"/>
        <v>54</v>
      </c>
      <c r="OA57" s="237">
        <f t="shared" si="94"/>
        <v>54</v>
      </c>
      <c r="OB57" s="237">
        <f t="shared" si="95"/>
        <v>54</v>
      </c>
      <c r="OC57" s="237">
        <f t="shared" si="96"/>
        <v>54</v>
      </c>
      <c r="OD57" s="237">
        <f t="shared" si="97"/>
        <v>45</v>
      </c>
      <c r="OE57" s="237">
        <f t="shared" si="98"/>
        <v>0</v>
      </c>
      <c r="OF57" s="237">
        <f t="shared" si="99"/>
        <v>0</v>
      </c>
      <c r="OG57" s="237">
        <f t="shared" si="100"/>
        <v>0</v>
      </c>
      <c r="OH57" s="237">
        <f t="shared" si="101"/>
        <v>0</v>
      </c>
      <c r="OI57" s="285">
        <f t="shared" si="102"/>
        <v>12</v>
      </c>
      <c r="OJ57" s="280">
        <f t="shared" si="103"/>
        <v>684</v>
      </c>
    </row>
    <row r="58" spans="31:400" x14ac:dyDescent="0.3">
      <c r="AE58" s="127" t="str">
        <f t="shared" si="109"/>
        <v>L3x4x0.5</v>
      </c>
      <c r="AF58" s="138">
        <v>3.0000000000000004</v>
      </c>
      <c r="AG58" s="138">
        <v>4</v>
      </c>
      <c r="AH58" s="138">
        <v>0.5</v>
      </c>
      <c r="AI58" s="138">
        <v>0.37500000000000006</v>
      </c>
      <c r="AJ58" s="138">
        <v>0.37500000000000006</v>
      </c>
      <c r="AK58">
        <f t="shared" si="110"/>
        <v>0.12519999999999995</v>
      </c>
      <c r="AM58" s="133" t="s">
        <v>85</v>
      </c>
      <c r="BD58" s="143" t="str">
        <f t="shared" si="4"/>
        <v>W12x79</v>
      </c>
      <c r="BE58">
        <v>12.000000000000002</v>
      </c>
      <c r="BF58" s="138">
        <v>79.000000000000014</v>
      </c>
      <c r="BG58" s="138">
        <v>12.38</v>
      </c>
      <c r="BH58" s="138">
        <v>0.47</v>
      </c>
      <c r="BI58" s="138">
        <v>12.08</v>
      </c>
      <c r="BJ58" s="138">
        <v>0.73499999999999999</v>
      </c>
      <c r="BK58" s="138">
        <v>0.6</v>
      </c>
      <c r="BM58" s="133" t="s">
        <v>85</v>
      </c>
      <c r="CF58" s="150" t="s">
        <v>325</v>
      </c>
      <c r="CG58">
        <v>0.875</v>
      </c>
      <c r="CH58">
        <v>5.25</v>
      </c>
      <c r="CI58" s="151" t="s">
        <v>261</v>
      </c>
      <c r="EH58" s="243">
        <v>58</v>
      </c>
      <c r="EI58" s="244">
        <v>696</v>
      </c>
      <c r="EJ58" s="90">
        <v>36</v>
      </c>
      <c r="EK58" s="90">
        <v>48</v>
      </c>
      <c r="EL58" s="90">
        <v>48</v>
      </c>
      <c r="EM58" s="90">
        <v>48</v>
      </c>
      <c r="EN58" s="90">
        <v>48</v>
      </c>
      <c r="EO58" s="90">
        <v>48</v>
      </c>
      <c r="EP58" s="90">
        <v>48</v>
      </c>
      <c r="EQ58" s="90">
        <v>48</v>
      </c>
      <c r="ER58" s="90">
        <v>48</v>
      </c>
      <c r="ES58" s="90">
        <v>48</v>
      </c>
      <c r="ET58" s="90">
        <v>48</v>
      </c>
      <c r="EU58" s="90">
        <v>48</v>
      </c>
      <c r="EV58" s="90">
        <v>48</v>
      </c>
      <c r="EW58" s="90">
        <v>48</v>
      </c>
      <c r="EX58" s="90">
        <v>36</v>
      </c>
      <c r="EY58" s="90" t="s">
        <v>1137</v>
      </c>
      <c r="EZ58" s="90"/>
      <c r="FA58" s="224">
        <v>14</v>
      </c>
      <c r="FB58" s="245">
        <f t="shared" si="12"/>
        <v>696</v>
      </c>
      <c r="FD58" s="237">
        <f t="shared" si="108"/>
        <v>58</v>
      </c>
      <c r="FE58" s="246">
        <f t="shared" si="108"/>
        <v>696</v>
      </c>
      <c r="FF58" s="247">
        <f t="shared" si="108"/>
        <v>36</v>
      </c>
      <c r="FG58" s="247">
        <f t="shared" si="108"/>
        <v>48</v>
      </c>
      <c r="FH58" s="247">
        <f t="shared" si="108"/>
        <v>48</v>
      </c>
      <c r="FI58" s="247">
        <f t="shared" si="108"/>
        <v>48</v>
      </c>
      <c r="FJ58" s="247">
        <f t="shared" si="108"/>
        <v>48</v>
      </c>
      <c r="FK58" s="247">
        <f t="shared" si="108"/>
        <v>48</v>
      </c>
      <c r="FL58" s="247">
        <f t="shared" si="108"/>
        <v>48</v>
      </c>
      <c r="FM58" s="247">
        <f t="shared" si="108"/>
        <v>48</v>
      </c>
      <c r="FN58" s="247">
        <f t="shared" si="108"/>
        <v>48</v>
      </c>
      <c r="FO58" s="247">
        <f t="shared" si="113"/>
        <v>48</v>
      </c>
      <c r="FP58" s="247">
        <f t="shared" si="113"/>
        <v>48</v>
      </c>
      <c r="FQ58" s="247">
        <f t="shared" si="113"/>
        <v>48</v>
      </c>
      <c r="FR58" s="247">
        <f t="shared" si="113"/>
        <v>48</v>
      </c>
      <c r="FS58" s="247">
        <f t="shared" si="113"/>
        <v>48</v>
      </c>
      <c r="FT58" s="247">
        <f t="shared" si="105"/>
        <v>36</v>
      </c>
      <c r="FU58" s="247" t="str">
        <f t="shared" si="105"/>
        <v xml:space="preserve"> </v>
      </c>
      <c r="FV58" s="247">
        <f t="shared" si="105"/>
        <v>0</v>
      </c>
      <c r="FW58" s="248">
        <f t="shared" si="105"/>
        <v>14</v>
      </c>
      <c r="FX58" s="241">
        <f t="shared" si="105"/>
        <v>696</v>
      </c>
      <c r="FZ58" s="249">
        <v>58</v>
      </c>
      <c r="GA58" s="244">
        <v>696</v>
      </c>
      <c r="GB58" s="90">
        <v>48</v>
      </c>
      <c r="GC58" s="90">
        <v>60</v>
      </c>
      <c r="GD58" s="90">
        <v>60</v>
      </c>
      <c r="GE58" s="90">
        <v>60</v>
      </c>
      <c r="GF58" s="90">
        <v>60</v>
      </c>
      <c r="GG58" s="90">
        <v>60</v>
      </c>
      <c r="GH58" s="90">
        <v>60</v>
      </c>
      <c r="GI58" s="90">
        <v>60</v>
      </c>
      <c r="GJ58" s="90">
        <v>60</v>
      </c>
      <c r="GK58" s="90">
        <v>60</v>
      </c>
      <c r="GL58" s="90">
        <v>60</v>
      </c>
      <c r="GM58" s="90">
        <v>48</v>
      </c>
      <c r="GN58" s="90"/>
      <c r="GO58" s="90"/>
      <c r="GP58" s="90"/>
      <c r="GQ58" s="90"/>
      <c r="GR58" s="90"/>
      <c r="GS58" s="224">
        <v>11</v>
      </c>
      <c r="GT58" s="245">
        <f t="shared" si="14"/>
        <v>696</v>
      </c>
      <c r="GV58" s="237">
        <f t="shared" si="114"/>
        <v>58</v>
      </c>
      <c r="GW58" s="246">
        <f t="shared" si="114"/>
        <v>696</v>
      </c>
      <c r="GX58" s="247">
        <f t="shared" si="114"/>
        <v>48</v>
      </c>
      <c r="GY58" s="247">
        <f t="shared" si="114"/>
        <v>60</v>
      </c>
      <c r="GZ58" s="247">
        <f t="shared" si="114"/>
        <v>60</v>
      </c>
      <c r="HA58" s="247">
        <f t="shared" si="114"/>
        <v>60</v>
      </c>
      <c r="HB58" s="247">
        <f t="shared" si="114"/>
        <v>60</v>
      </c>
      <c r="HC58" s="247">
        <f t="shared" si="114"/>
        <v>60</v>
      </c>
      <c r="HD58" s="247">
        <f t="shared" si="114"/>
        <v>60</v>
      </c>
      <c r="HE58" s="247">
        <f t="shared" si="114"/>
        <v>60</v>
      </c>
      <c r="HF58" s="247">
        <f t="shared" si="114"/>
        <v>60</v>
      </c>
      <c r="HG58" s="247">
        <f t="shared" si="114"/>
        <v>60</v>
      </c>
      <c r="HH58" s="247">
        <f t="shared" si="114"/>
        <v>60</v>
      </c>
      <c r="HI58" s="247">
        <f t="shared" si="114"/>
        <v>48</v>
      </c>
      <c r="HJ58" s="247">
        <f t="shared" si="114"/>
        <v>0</v>
      </c>
      <c r="HK58" s="247">
        <f t="shared" si="112"/>
        <v>0</v>
      </c>
      <c r="HL58" s="247">
        <f t="shared" si="106"/>
        <v>0</v>
      </c>
      <c r="HM58" s="247">
        <f t="shared" si="10"/>
        <v>0</v>
      </c>
      <c r="HN58" s="247">
        <f t="shared" si="10"/>
        <v>0</v>
      </c>
      <c r="HO58" s="248">
        <f t="shared" si="10"/>
        <v>11</v>
      </c>
      <c r="HP58" s="241">
        <f t="shared" si="10"/>
        <v>696</v>
      </c>
      <c r="HR58" s="243">
        <v>58</v>
      </c>
      <c r="HS58" s="244">
        <v>696</v>
      </c>
      <c r="HT58" s="90">
        <v>60</v>
      </c>
      <c r="HU58" s="90">
        <v>72</v>
      </c>
      <c r="HV58" s="90">
        <v>72</v>
      </c>
      <c r="HW58" s="90">
        <v>72</v>
      </c>
      <c r="HX58" s="90">
        <v>72</v>
      </c>
      <c r="HY58" s="90">
        <v>72</v>
      </c>
      <c r="HZ58" s="90">
        <v>72</v>
      </c>
      <c r="IA58" s="90">
        <v>72</v>
      </c>
      <c r="IB58" s="90">
        <v>72</v>
      </c>
      <c r="IC58" s="90">
        <v>60</v>
      </c>
      <c r="ID58" s="90"/>
      <c r="IE58" s="90"/>
      <c r="IF58" s="90"/>
      <c r="IG58" s="90"/>
      <c r="IH58" s="90"/>
      <c r="II58" s="90"/>
      <c r="IJ58" s="90"/>
      <c r="IK58" s="224">
        <v>9</v>
      </c>
      <c r="IL58" s="245">
        <f t="shared" si="16"/>
        <v>696</v>
      </c>
      <c r="IN58" s="243">
        <v>58</v>
      </c>
      <c r="IO58" s="244">
        <v>696</v>
      </c>
      <c r="IP58" s="90">
        <v>54</v>
      </c>
      <c r="IQ58" s="90">
        <v>84</v>
      </c>
      <c r="IR58" s="90">
        <v>84</v>
      </c>
      <c r="IS58" s="90">
        <v>84</v>
      </c>
      <c r="IT58" s="90">
        <v>84</v>
      </c>
      <c r="IU58" s="90">
        <v>84</v>
      </c>
      <c r="IV58" s="90">
        <v>84</v>
      </c>
      <c r="IW58" s="90">
        <v>84</v>
      </c>
      <c r="IX58" s="90">
        <v>54</v>
      </c>
      <c r="IY58" s="90"/>
      <c r="IZ58" s="90"/>
      <c r="JA58" s="90"/>
      <c r="JB58" s="90"/>
      <c r="JC58" s="90"/>
      <c r="JD58" s="90"/>
      <c r="JE58" s="90"/>
      <c r="JF58" s="90"/>
      <c r="JG58" s="224">
        <v>8</v>
      </c>
      <c r="JH58" s="245">
        <f t="shared" si="17"/>
        <v>696</v>
      </c>
      <c r="JJ58" s="249">
        <v>58</v>
      </c>
      <c r="JK58" s="244">
        <v>696</v>
      </c>
      <c r="JL58" s="90">
        <v>60</v>
      </c>
      <c r="JM58" s="90">
        <v>96</v>
      </c>
      <c r="JN58" s="90">
        <v>96</v>
      </c>
      <c r="JO58" s="90">
        <v>96</v>
      </c>
      <c r="JP58" s="90">
        <v>96</v>
      </c>
      <c r="JQ58" s="90">
        <v>96</v>
      </c>
      <c r="JR58" s="90">
        <v>96</v>
      </c>
      <c r="JS58" s="90">
        <v>60</v>
      </c>
      <c r="JT58" s="90"/>
      <c r="JU58" s="90"/>
      <c r="JV58" s="90"/>
      <c r="JW58" s="90"/>
      <c r="JX58" s="90"/>
      <c r="JY58" s="90"/>
      <c r="JZ58" s="90"/>
      <c r="KA58" s="90"/>
      <c r="KB58" s="90"/>
      <c r="KC58" s="224">
        <v>7</v>
      </c>
      <c r="KD58" s="245">
        <f t="shared" si="18"/>
        <v>696</v>
      </c>
      <c r="KF58" s="243">
        <v>58</v>
      </c>
      <c r="KG58" s="244">
        <v>696</v>
      </c>
      <c r="KH58" s="90">
        <v>51</v>
      </c>
      <c r="KI58" s="90">
        <v>54</v>
      </c>
      <c r="KJ58" s="90">
        <v>54</v>
      </c>
      <c r="KK58" s="90">
        <v>54</v>
      </c>
      <c r="KL58" s="90">
        <v>54</v>
      </c>
      <c r="KM58" s="90">
        <v>54</v>
      </c>
      <c r="KN58" s="90">
        <v>54</v>
      </c>
      <c r="KO58" s="90">
        <v>54</v>
      </c>
      <c r="KP58" s="90">
        <v>54</v>
      </c>
      <c r="KQ58" s="90">
        <v>54</v>
      </c>
      <c r="KR58" s="90">
        <v>54</v>
      </c>
      <c r="KS58" s="90">
        <v>54</v>
      </c>
      <c r="KT58" s="90">
        <v>51</v>
      </c>
      <c r="KU58" s="90"/>
      <c r="KV58" s="90"/>
      <c r="KW58" s="90"/>
      <c r="KX58" s="90"/>
      <c r="KY58" s="224">
        <v>12</v>
      </c>
      <c r="KZ58" s="245">
        <f t="shared" si="19"/>
        <v>696</v>
      </c>
      <c r="LB58" s="237">
        <f t="shared" si="20"/>
        <v>58</v>
      </c>
      <c r="LC58" s="284">
        <f t="shared" si="21"/>
        <v>696</v>
      </c>
      <c r="LD58" s="237">
        <f t="shared" si="22"/>
        <v>51</v>
      </c>
      <c r="LE58" s="237">
        <f t="shared" si="23"/>
        <v>54</v>
      </c>
      <c r="LF58" s="237">
        <f t="shared" si="24"/>
        <v>54</v>
      </c>
      <c r="LG58" s="237">
        <f t="shared" si="25"/>
        <v>54</v>
      </c>
      <c r="LH58" s="237">
        <f t="shared" si="26"/>
        <v>54</v>
      </c>
      <c r="LI58" s="237">
        <f t="shared" si="27"/>
        <v>54</v>
      </c>
      <c r="LJ58" s="237">
        <f t="shared" si="28"/>
        <v>54</v>
      </c>
      <c r="LK58" s="237">
        <f t="shared" si="29"/>
        <v>54</v>
      </c>
      <c r="LL58" s="237">
        <f t="shared" si="30"/>
        <v>54</v>
      </c>
      <c r="LM58" s="237">
        <f t="shared" si="31"/>
        <v>54</v>
      </c>
      <c r="LN58" s="237">
        <f t="shared" si="32"/>
        <v>54</v>
      </c>
      <c r="LO58" s="237">
        <f t="shared" si="33"/>
        <v>54</v>
      </c>
      <c r="LP58" s="237">
        <f t="shared" si="34"/>
        <v>51</v>
      </c>
      <c r="LQ58" s="237">
        <f t="shared" si="35"/>
        <v>0</v>
      </c>
      <c r="LR58" s="237">
        <f t="shared" si="36"/>
        <v>0</v>
      </c>
      <c r="LS58" s="237">
        <f t="shared" si="37"/>
        <v>0</v>
      </c>
      <c r="LT58" s="237">
        <f t="shared" si="38"/>
        <v>0</v>
      </c>
      <c r="LU58" s="285">
        <f t="shared" si="39"/>
        <v>12</v>
      </c>
      <c r="LV58" s="280">
        <f t="shared" si="40"/>
        <v>696</v>
      </c>
      <c r="LX58" s="237">
        <f t="shared" si="41"/>
        <v>58</v>
      </c>
      <c r="LY58" s="284">
        <f t="shared" si="42"/>
        <v>696</v>
      </c>
      <c r="LZ58" s="237">
        <f t="shared" si="43"/>
        <v>51</v>
      </c>
      <c r="MA58" s="237">
        <f t="shared" si="44"/>
        <v>54</v>
      </c>
      <c r="MB58" s="237">
        <f t="shared" si="45"/>
        <v>54</v>
      </c>
      <c r="MC58" s="237">
        <f t="shared" si="46"/>
        <v>54</v>
      </c>
      <c r="MD58" s="237">
        <f t="shared" si="47"/>
        <v>54</v>
      </c>
      <c r="ME58" s="237">
        <f t="shared" si="48"/>
        <v>54</v>
      </c>
      <c r="MF58" s="237">
        <f t="shared" si="49"/>
        <v>54</v>
      </c>
      <c r="MG58" s="237">
        <f t="shared" si="50"/>
        <v>54</v>
      </c>
      <c r="MH58" s="237">
        <f t="shared" si="51"/>
        <v>54</v>
      </c>
      <c r="MI58" s="237">
        <f t="shared" si="52"/>
        <v>54</v>
      </c>
      <c r="MJ58" s="237">
        <f t="shared" si="53"/>
        <v>54</v>
      </c>
      <c r="MK58" s="237">
        <f t="shared" si="54"/>
        <v>54</v>
      </c>
      <c r="ML58" s="237">
        <f t="shared" si="55"/>
        <v>51</v>
      </c>
      <c r="MM58" s="237">
        <f t="shared" si="56"/>
        <v>0</v>
      </c>
      <c r="MN58" s="237">
        <f t="shared" si="57"/>
        <v>0</v>
      </c>
      <c r="MO58" s="237">
        <f t="shared" si="58"/>
        <v>0</v>
      </c>
      <c r="MP58" s="237">
        <f t="shared" si="59"/>
        <v>0</v>
      </c>
      <c r="MQ58" s="285">
        <f t="shared" si="60"/>
        <v>12</v>
      </c>
      <c r="MR58" s="280">
        <f t="shared" si="61"/>
        <v>696</v>
      </c>
      <c r="MT58" s="237">
        <f t="shared" si="62"/>
        <v>58</v>
      </c>
      <c r="MU58" s="284">
        <f t="shared" si="63"/>
        <v>696</v>
      </c>
      <c r="MV58" s="237">
        <f t="shared" si="64"/>
        <v>51</v>
      </c>
      <c r="MW58" s="237">
        <f t="shared" si="65"/>
        <v>54</v>
      </c>
      <c r="MX58" s="237">
        <f t="shared" si="66"/>
        <v>54</v>
      </c>
      <c r="MY58" s="237">
        <f t="shared" si="67"/>
        <v>54</v>
      </c>
      <c r="MZ58" s="237">
        <f t="shared" si="68"/>
        <v>54</v>
      </c>
      <c r="NA58" s="237">
        <f t="shared" si="69"/>
        <v>54</v>
      </c>
      <c r="NB58" s="237">
        <f t="shared" si="70"/>
        <v>54</v>
      </c>
      <c r="NC58" s="237">
        <f t="shared" si="71"/>
        <v>54</v>
      </c>
      <c r="ND58" s="237">
        <f t="shared" si="72"/>
        <v>54</v>
      </c>
      <c r="NE58" s="237">
        <f t="shared" si="73"/>
        <v>54</v>
      </c>
      <c r="NF58" s="237">
        <f t="shared" si="74"/>
        <v>54</v>
      </c>
      <c r="NG58" s="237">
        <f t="shared" si="75"/>
        <v>54</v>
      </c>
      <c r="NH58" s="237">
        <f t="shared" si="76"/>
        <v>51</v>
      </c>
      <c r="NI58" s="237">
        <f t="shared" si="77"/>
        <v>0</v>
      </c>
      <c r="NJ58" s="237">
        <f t="shared" si="78"/>
        <v>0</v>
      </c>
      <c r="NK58" s="237">
        <f t="shared" si="79"/>
        <v>0</v>
      </c>
      <c r="NL58" s="237">
        <f t="shared" si="80"/>
        <v>0</v>
      </c>
      <c r="NM58" s="285">
        <f t="shared" si="81"/>
        <v>12</v>
      </c>
      <c r="NN58" s="280">
        <f t="shared" si="82"/>
        <v>696</v>
      </c>
      <c r="NP58" s="237">
        <f t="shared" si="83"/>
        <v>58</v>
      </c>
      <c r="NQ58" s="284">
        <f t="shared" si="84"/>
        <v>696</v>
      </c>
      <c r="NR58" s="237">
        <f t="shared" si="85"/>
        <v>51</v>
      </c>
      <c r="NS58" s="237">
        <f t="shared" si="86"/>
        <v>54</v>
      </c>
      <c r="NT58" s="237">
        <f t="shared" si="87"/>
        <v>54</v>
      </c>
      <c r="NU58" s="237">
        <f t="shared" si="88"/>
        <v>54</v>
      </c>
      <c r="NV58" s="237">
        <f t="shared" si="89"/>
        <v>54</v>
      </c>
      <c r="NW58" s="237">
        <f t="shared" si="90"/>
        <v>54</v>
      </c>
      <c r="NX58" s="237">
        <f t="shared" si="91"/>
        <v>54</v>
      </c>
      <c r="NY58" s="237">
        <f t="shared" si="92"/>
        <v>54</v>
      </c>
      <c r="NZ58" s="237">
        <f t="shared" si="93"/>
        <v>54</v>
      </c>
      <c r="OA58" s="237">
        <f t="shared" si="94"/>
        <v>54</v>
      </c>
      <c r="OB58" s="237">
        <f t="shared" si="95"/>
        <v>54</v>
      </c>
      <c r="OC58" s="237">
        <f t="shared" si="96"/>
        <v>54</v>
      </c>
      <c r="OD58" s="237">
        <f t="shared" si="97"/>
        <v>51</v>
      </c>
      <c r="OE58" s="237">
        <f t="shared" si="98"/>
        <v>0</v>
      </c>
      <c r="OF58" s="237">
        <f t="shared" si="99"/>
        <v>0</v>
      </c>
      <c r="OG58" s="237">
        <f t="shared" si="100"/>
        <v>0</v>
      </c>
      <c r="OH58" s="237">
        <f t="shared" si="101"/>
        <v>0</v>
      </c>
      <c r="OI58" s="285">
        <f t="shared" si="102"/>
        <v>12</v>
      </c>
      <c r="OJ58" s="280">
        <f t="shared" si="103"/>
        <v>696</v>
      </c>
    </row>
    <row r="59" spans="31:400" x14ac:dyDescent="0.3">
      <c r="AE59" s="127" t="str">
        <f t="shared" si="109"/>
        <v>L3x4x0.625</v>
      </c>
      <c r="AF59" s="138">
        <v>3.0000000000000004</v>
      </c>
      <c r="AG59" s="138">
        <v>4</v>
      </c>
      <c r="AH59" s="138">
        <v>0.625</v>
      </c>
      <c r="AI59" s="138">
        <v>0.37500000000000006</v>
      </c>
      <c r="AJ59" s="138">
        <v>0.37500000000000006</v>
      </c>
      <c r="AK59">
        <f t="shared" si="110"/>
        <v>0.25019999999999992</v>
      </c>
      <c r="AM59" s="133" t="s">
        <v>85</v>
      </c>
      <c r="BD59" s="143" t="str">
        <f t="shared" si="4"/>
        <v>W12x87</v>
      </c>
      <c r="BE59">
        <v>12.000000000000002</v>
      </c>
      <c r="BF59" s="138">
        <v>87</v>
      </c>
      <c r="BG59" s="138">
        <v>12.53</v>
      </c>
      <c r="BH59" s="138">
        <v>0.51500000000000001</v>
      </c>
      <c r="BI59" s="138">
        <v>12.125</v>
      </c>
      <c r="BJ59" s="138">
        <v>0.81</v>
      </c>
      <c r="BK59" s="138">
        <v>0.6</v>
      </c>
      <c r="BL59" t="s">
        <v>179</v>
      </c>
      <c r="BM59" s="133" t="s">
        <v>85</v>
      </c>
      <c r="CF59" s="150" t="s">
        <v>326</v>
      </c>
      <c r="CG59">
        <v>0.8125</v>
      </c>
      <c r="CH59">
        <v>4.375</v>
      </c>
      <c r="CI59" s="151" t="s">
        <v>261</v>
      </c>
      <c r="EH59" s="250">
        <v>59</v>
      </c>
      <c r="EI59" s="251">
        <v>708</v>
      </c>
      <c r="EJ59" s="252">
        <v>42</v>
      </c>
      <c r="EK59" s="252">
        <v>48</v>
      </c>
      <c r="EL59" s="252">
        <v>48</v>
      </c>
      <c r="EM59" s="252">
        <v>48</v>
      </c>
      <c r="EN59" s="252">
        <v>48</v>
      </c>
      <c r="EO59" s="252">
        <v>48</v>
      </c>
      <c r="EP59" s="252">
        <v>48</v>
      </c>
      <c r="EQ59" s="252">
        <v>48</v>
      </c>
      <c r="ER59" s="252">
        <v>48</v>
      </c>
      <c r="ES59" s="252">
        <v>48</v>
      </c>
      <c r="ET59" s="252">
        <v>48</v>
      </c>
      <c r="EU59" s="252">
        <v>48</v>
      </c>
      <c r="EV59" s="252">
        <v>48</v>
      </c>
      <c r="EW59" s="252">
        <v>48</v>
      </c>
      <c r="EX59" s="252">
        <v>42</v>
      </c>
      <c r="EY59" s="252" t="s">
        <v>1137</v>
      </c>
      <c r="EZ59" s="252"/>
      <c r="FA59" s="253">
        <v>14</v>
      </c>
      <c r="FB59" s="254">
        <f t="shared" si="12"/>
        <v>708</v>
      </c>
      <c r="FD59" s="237">
        <f t="shared" si="108"/>
        <v>59</v>
      </c>
      <c r="FE59" s="246">
        <f t="shared" si="108"/>
        <v>708</v>
      </c>
      <c r="FF59" s="247">
        <f t="shared" si="108"/>
        <v>42</v>
      </c>
      <c r="FG59" s="247">
        <f t="shared" si="108"/>
        <v>48</v>
      </c>
      <c r="FH59" s="247">
        <f t="shared" si="108"/>
        <v>48</v>
      </c>
      <c r="FI59" s="247">
        <f t="shared" si="108"/>
        <v>48</v>
      </c>
      <c r="FJ59" s="247">
        <f t="shared" si="108"/>
        <v>48</v>
      </c>
      <c r="FK59" s="247">
        <f t="shared" si="108"/>
        <v>48</v>
      </c>
      <c r="FL59" s="247">
        <f t="shared" si="108"/>
        <v>48</v>
      </c>
      <c r="FM59" s="247">
        <f t="shared" si="108"/>
        <v>48</v>
      </c>
      <c r="FN59" s="247">
        <f t="shared" si="108"/>
        <v>48</v>
      </c>
      <c r="FO59" s="247">
        <f t="shared" si="113"/>
        <v>48</v>
      </c>
      <c r="FP59" s="247">
        <f t="shared" si="113"/>
        <v>48</v>
      </c>
      <c r="FQ59" s="247">
        <f t="shared" si="113"/>
        <v>48</v>
      </c>
      <c r="FR59" s="247">
        <f t="shared" si="113"/>
        <v>48</v>
      </c>
      <c r="FS59" s="247">
        <f t="shared" si="113"/>
        <v>48</v>
      </c>
      <c r="FT59" s="247">
        <f t="shared" si="105"/>
        <v>42</v>
      </c>
      <c r="FU59" s="247" t="str">
        <f t="shared" si="105"/>
        <v xml:space="preserve"> </v>
      </c>
      <c r="FV59" s="247">
        <f t="shared" si="105"/>
        <v>0</v>
      </c>
      <c r="FW59" s="248">
        <f t="shared" si="105"/>
        <v>14</v>
      </c>
      <c r="FX59" s="241">
        <f t="shared" si="105"/>
        <v>708</v>
      </c>
      <c r="FZ59" s="255">
        <v>59</v>
      </c>
      <c r="GA59" s="251">
        <v>708</v>
      </c>
      <c r="GB59" s="252">
        <v>54</v>
      </c>
      <c r="GC59" s="252">
        <v>60</v>
      </c>
      <c r="GD59" s="252">
        <v>60</v>
      </c>
      <c r="GE59" s="252">
        <v>60</v>
      </c>
      <c r="GF59" s="252">
        <v>60</v>
      </c>
      <c r="GG59" s="252">
        <v>60</v>
      </c>
      <c r="GH59" s="252">
        <v>60</v>
      </c>
      <c r="GI59" s="252">
        <v>60</v>
      </c>
      <c r="GJ59" s="252">
        <v>60</v>
      </c>
      <c r="GK59" s="252">
        <v>60</v>
      </c>
      <c r="GL59" s="252">
        <v>60</v>
      </c>
      <c r="GM59" s="252">
        <v>54</v>
      </c>
      <c r="GN59" s="252"/>
      <c r="GO59" s="252"/>
      <c r="GP59" s="252"/>
      <c r="GQ59" s="252"/>
      <c r="GR59" s="252"/>
      <c r="GS59" s="253">
        <v>11</v>
      </c>
      <c r="GT59" s="254">
        <f t="shared" si="14"/>
        <v>708</v>
      </c>
      <c r="GV59" s="237">
        <f t="shared" si="114"/>
        <v>59</v>
      </c>
      <c r="GW59" s="246">
        <f t="shared" si="114"/>
        <v>708</v>
      </c>
      <c r="GX59" s="247">
        <f t="shared" si="114"/>
        <v>54</v>
      </c>
      <c r="GY59" s="247">
        <f t="shared" si="114"/>
        <v>60</v>
      </c>
      <c r="GZ59" s="247">
        <f t="shared" si="114"/>
        <v>60</v>
      </c>
      <c r="HA59" s="247">
        <f t="shared" si="114"/>
        <v>60</v>
      </c>
      <c r="HB59" s="247">
        <f t="shared" si="114"/>
        <v>60</v>
      </c>
      <c r="HC59" s="247">
        <f t="shared" si="114"/>
        <v>60</v>
      </c>
      <c r="HD59" s="247">
        <f t="shared" si="114"/>
        <v>60</v>
      </c>
      <c r="HE59" s="247">
        <f t="shared" si="114"/>
        <v>60</v>
      </c>
      <c r="HF59" s="247">
        <f t="shared" si="114"/>
        <v>60</v>
      </c>
      <c r="HG59" s="247">
        <f t="shared" si="114"/>
        <v>60</v>
      </c>
      <c r="HH59" s="247">
        <f t="shared" si="114"/>
        <v>60</v>
      </c>
      <c r="HI59" s="247">
        <f t="shared" si="114"/>
        <v>54</v>
      </c>
      <c r="HJ59" s="247">
        <f t="shared" si="114"/>
        <v>0</v>
      </c>
      <c r="HK59" s="247">
        <f t="shared" si="112"/>
        <v>0</v>
      </c>
      <c r="HL59" s="247">
        <f t="shared" si="106"/>
        <v>0</v>
      </c>
      <c r="HM59" s="247">
        <f t="shared" si="10"/>
        <v>0</v>
      </c>
      <c r="HN59" s="247">
        <f t="shared" si="10"/>
        <v>0</v>
      </c>
      <c r="HO59" s="248">
        <f t="shared" si="10"/>
        <v>11</v>
      </c>
      <c r="HP59" s="241">
        <f t="shared" si="10"/>
        <v>708</v>
      </c>
      <c r="HR59" s="250">
        <v>59</v>
      </c>
      <c r="HS59" s="251">
        <v>708</v>
      </c>
      <c r="HT59" s="252">
        <v>66</v>
      </c>
      <c r="HU59" s="252">
        <v>72</v>
      </c>
      <c r="HV59" s="252">
        <v>72</v>
      </c>
      <c r="HW59" s="252">
        <v>72</v>
      </c>
      <c r="HX59" s="252">
        <v>72</v>
      </c>
      <c r="HY59" s="252">
        <v>72</v>
      </c>
      <c r="HZ59" s="252">
        <v>72</v>
      </c>
      <c r="IA59" s="252">
        <v>72</v>
      </c>
      <c r="IB59" s="252">
        <v>72</v>
      </c>
      <c r="IC59" s="252">
        <v>66</v>
      </c>
      <c r="ID59" s="252"/>
      <c r="IE59" s="252"/>
      <c r="IF59" s="252"/>
      <c r="IG59" s="252"/>
      <c r="IH59" s="252"/>
      <c r="II59" s="252"/>
      <c r="IJ59" s="252"/>
      <c r="IK59" s="253">
        <v>9</v>
      </c>
      <c r="IL59" s="254">
        <f t="shared" si="16"/>
        <v>708</v>
      </c>
      <c r="IN59" s="250">
        <v>59</v>
      </c>
      <c r="IO59" s="251">
        <v>708</v>
      </c>
      <c r="IP59" s="252">
        <v>60</v>
      </c>
      <c r="IQ59" s="252">
        <v>84</v>
      </c>
      <c r="IR59" s="252">
        <v>84</v>
      </c>
      <c r="IS59" s="252">
        <v>84</v>
      </c>
      <c r="IT59" s="252">
        <v>84</v>
      </c>
      <c r="IU59" s="252">
        <v>84</v>
      </c>
      <c r="IV59" s="252">
        <v>84</v>
      </c>
      <c r="IW59" s="252">
        <v>84</v>
      </c>
      <c r="IX59" s="252">
        <v>60</v>
      </c>
      <c r="IY59" s="252"/>
      <c r="IZ59" s="252"/>
      <c r="JA59" s="252"/>
      <c r="JB59" s="252"/>
      <c r="JC59" s="252"/>
      <c r="JD59" s="252"/>
      <c r="JE59" s="252"/>
      <c r="JF59" s="252"/>
      <c r="JG59" s="253">
        <v>8</v>
      </c>
      <c r="JH59" s="254">
        <f t="shared" si="17"/>
        <v>708</v>
      </c>
      <c r="JJ59" s="255">
        <v>59</v>
      </c>
      <c r="JK59" s="251">
        <v>708</v>
      </c>
      <c r="JL59" s="252">
        <v>66</v>
      </c>
      <c r="JM59" s="252">
        <v>96</v>
      </c>
      <c r="JN59" s="252">
        <v>96</v>
      </c>
      <c r="JO59" s="252">
        <v>96</v>
      </c>
      <c r="JP59" s="252">
        <v>96</v>
      </c>
      <c r="JQ59" s="252">
        <v>96</v>
      </c>
      <c r="JR59" s="252">
        <v>96</v>
      </c>
      <c r="JS59" s="252">
        <v>66</v>
      </c>
      <c r="JT59" s="252"/>
      <c r="JU59" s="252"/>
      <c r="JV59" s="252"/>
      <c r="JW59" s="252"/>
      <c r="JX59" s="252"/>
      <c r="JY59" s="252"/>
      <c r="JZ59" s="252"/>
      <c r="KA59" s="252"/>
      <c r="KB59" s="252"/>
      <c r="KC59" s="253">
        <v>7</v>
      </c>
      <c r="KD59" s="254">
        <f t="shared" si="18"/>
        <v>708</v>
      </c>
      <c r="KF59" s="250">
        <v>59</v>
      </c>
      <c r="KG59" s="251">
        <v>708</v>
      </c>
      <c r="KH59" s="252">
        <v>30</v>
      </c>
      <c r="KI59" s="252">
        <v>54</v>
      </c>
      <c r="KJ59" s="252">
        <v>54</v>
      </c>
      <c r="KK59" s="252">
        <v>54</v>
      </c>
      <c r="KL59" s="252">
        <v>54</v>
      </c>
      <c r="KM59" s="252">
        <v>54</v>
      </c>
      <c r="KN59" s="252">
        <v>54</v>
      </c>
      <c r="KO59" s="252">
        <v>54</v>
      </c>
      <c r="KP59" s="252">
        <v>54</v>
      </c>
      <c r="KQ59" s="252">
        <v>54</v>
      </c>
      <c r="KR59" s="252">
        <v>54</v>
      </c>
      <c r="KS59" s="252">
        <v>54</v>
      </c>
      <c r="KT59" s="252">
        <v>54</v>
      </c>
      <c r="KU59" s="252">
        <v>30</v>
      </c>
      <c r="KV59" s="252"/>
      <c r="KW59" s="252"/>
      <c r="KX59" s="252"/>
      <c r="KY59" s="253">
        <v>13</v>
      </c>
      <c r="KZ59" s="254">
        <f t="shared" si="19"/>
        <v>708</v>
      </c>
      <c r="LB59" s="237">
        <f t="shared" si="20"/>
        <v>59</v>
      </c>
      <c r="LC59" s="284">
        <f t="shared" si="21"/>
        <v>708</v>
      </c>
      <c r="LD59" s="237">
        <f t="shared" si="22"/>
        <v>30</v>
      </c>
      <c r="LE59" s="237">
        <f t="shared" si="23"/>
        <v>54</v>
      </c>
      <c r="LF59" s="237">
        <f t="shared" si="24"/>
        <v>54</v>
      </c>
      <c r="LG59" s="237">
        <f t="shared" si="25"/>
        <v>54</v>
      </c>
      <c r="LH59" s="237">
        <f t="shared" si="26"/>
        <v>54</v>
      </c>
      <c r="LI59" s="237">
        <f t="shared" si="27"/>
        <v>54</v>
      </c>
      <c r="LJ59" s="237">
        <f t="shared" si="28"/>
        <v>54</v>
      </c>
      <c r="LK59" s="237">
        <f t="shared" si="29"/>
        <v>54</v>
      </c>
      <c r="LL59" s="237">
        <f t="shared" si="30"/>
        <v>54</v>
      </c>
      <c r="LM59" s="237">
        <f t="shared" si="31"/>
        <v>54</v>
      </c>
      <c r="LN59" s="237">
        <f t="shared" si="32"/>
        <v>54</v>
      </c>
      <c r="LO59" s="237">
        <f t="shared" si="33"/>
        <v>54</v>
      </c>
      <c r="LP59" s="237">
        <f t="shared" si="34"/>
        <v>54</v>
      </c>
      <c r="LQ59" s="237">
        <f t="shared" si="35"/>
        <v>30</v>
      </c>
      <c r="LR59" s="237">
        <f t="shared" si="36"/>
        <v>0</v>
      </c>
      <c r="LS59" s="237">
        <f t="shared" si="37"/>
        <v>0</v>
      </c>
      <c r="LT59" s="237">
        <f t="shared" si="38"/>
        <v>0</v>
      </c>
      <c r="LU59" s="285">
        <f t="shared" si="39"/>
        <v>13</v>
      </c>
      <c r="LV59" s="280">
        <f t="shared" si="40"/>
        <v>708</v>
      </c>
      <c r="LX59" s="237">
        <f t="shared" si="41"/>
        <v>59</v>
      </c>
      <c r="LY59" s="284">
        <f t="shared" si="42"/>
        <v>708</v>
      </c>
      <c r="LZ59" s="237">
        <f t="shared" si="43"/>
        <v>30</v>
      </c>
      <c r="MA59" s="237">
        <f t="shared" si="44"/>
        <v>54</v>
      </c>
      <c r="MB59" s="237">
        <f t="shared" si="45"/>
        <v>54</v>
      </c>
      <c r="MC59" s="237">
        <f t="shared" si="46"/>
        <v>54</v>
      </c>
      <c r="MD59" s="237">
        <f t="shared" si="47"/>
        <v>54</v>
      </c>
      <c r="ME59" s="237">
        <f t="shared" si="48"/>
        <v>54</v>
      </c>
      <c r="MF59" s="237">
        <f t="shared" si="49"/>
        <v>54</v>
      </c>
      <c r="MG59" s="237">
        <f t="shared" si="50"/>
        <v>54</v>
      </c>
      <c r="MH59" s="237">
        <f t="shared" si="51"/>
        <v>54</v>
      </c>
      <c r="MI59" s="237">
        <f t="shared" si="52"/>
        <v>54</v>
      </c>
      <c r="MJ59" s="237">
        <f t="shared" si="53"/>
        <v>54</v>
      </c>
      <c r="MK59" s="237">
        <f t="shared" si="54"/>
        <v>54</v>
      </c>
      <c r="ML59" s="237">
        <f t="shared" si="55"/>
        <v>54</v>
      </c>
      <c r="MM59" s="237">
        <f t="shared" si="56"/>
        <v>30</v>
      </c>
      <c r="MN59" s="237">
        <f t="shared" si="57"/>
        <v>0</v>
      </c>
      <c r="MO59" s="237">
        <f t="shared" si="58"/>
        <v>0</v>
      </c>
      <c r="MP59" s="237">
        <f t="shared" si="59"/>
        <v>0</v>
      </c>
      <c r="MQ59" s="285">
        <f t="shared" si="60"/>
        <v>13</v>
      </c>
      <c r="MR59" s="280">
        <f t="shared" si="61"/>
        <v>708</v>
      </c>
      <c r="MT59" s="237">
        <f t="shared" si="62"/>
        <v>59</v>
      </c>
      <c r="MU59" s="284">
        <f t="shared" si="63"/>
        <v>708</v>
      </c>
      <c r="MV59" s="237">
        <f t="shared" si="64"/>
        <v>30</v>
      </c>
      <c r="MW59" s="237">
        <f t="shared" si="65"/>
        <v>54</v>
      </c>
      <c r="MX59" s="237">
        <f t="shared" si="66"/>
        <v>54</v>
      </c>
      <c r="MY59" s="237">
        <f t="shared" si="67"/>
        <v>54</v>
      </c>
      <c r="MZ59" s="237">
        <f t="shared" si="68"/>
        <v>54</v>
      </c>
      <c r="NA59" s="237">
        <f t="shared" si="69"/>
        <v>54</v>
      </c>
      <c r="NB59" s="237">
        <f t="shared" si="70"/>
        <v>54</v>
      </c>
      <c r="NC59" s="237">
        <f t="shared" si="71"/>
        <v>54</v>
      </c>
      <c r="ND59" s="237">
        <f t="shared" si="72"/>
        <v>54</v>
      </c>
      <c r="NE59" s="237">
        <f t="shared" si="73"/>
        <v>54</v>
      </c>
      <c r="NF59" s="237">
        <f t="shared" si="74"/>
        <v>54</v>
      </c>
      <c r="NG59" s="237">
        <f t="shared" si="75"/>
        <v>54</v>
      </c>
      <c r="NH59" s="237">
        <f t="shared" si="76"/>
        <v>54</v>
      </c>
      <c r="NI59" s="237">
        <f t="shared" si="77"/>
        <v>30</v>
      </c>
      <c r="NJ59" s="237">
        <f t="shared" si="78"/>
        <v>0</v>
      </c>
      <c r="NK59" s="237">
        <f t="shared" si="79"/>
        <v>0</v>
      </c>
      <c r="NL59" s="237">
        <f t="shared" si="80"/>
        <v>0</v>
      </c>
      <c r="NM59" s="285">
        <f t="shared" si="81"/>
        <v>13</v>
      </c>
      <c r="NN59" s="280">
        <f t="shared" si="82"/>
        <v>708</v>
      </c>
      <c r="NP59" s="237">
        <f t="shared" si="83"/>
        <v>59</v>
      </c>
      <c r="NQ59" s="284">
        <f t="shared" si="84"/>
        <v>708</v>
      </c>
      <c r="NR59" s="237">
        <f t="shared" si="85"/>
        <v>30</v>
      </c>
      <c r="NS59" s="237">
        <f t="shared" si="86"/>
        <v>54</v>
      </c>
      <c r="NT59" s="237">
        <f t="shared" si="87"/>
        <v>54</v>
      </c>
      <c r="NU59" s="237">
        <f t="shared" si="88"/>
        <v>54</v>
      </c>
      <c r="NV59" s="237">
        <f t="shared" si="89"/>
        <v>54</v>
      </c>
      <c r="NW59" s="237">
        <f t="shared" si="90"/>
        <v>54</v>
      </c>
      <c r="NX59" s="237">
        <f t="shared" si="91"/>
        <v>54</v>
      </c>
      <c r="NY59" s="237">
        <f t="shared" si="92"/>
        <v>54</v>
      </c>
      <c r="NZ59" s="237">
        <f t="shared" si="93"/>
        <v>54</v>
      </c>
      <c r="OA59" s="237">
        <f t="shared" si="94"/>
        <v>54</v>
      </c>
      <c r="OB59" s="237">
        <f t="shared" si="95"/>
        <v>54</v>
      </c>
      <c r="OC59" s="237">
        <f t="shared" si="96"/>
        <v>54</v>
      </c>
      <c r="OD59" s="237">
        <f t="shared" si="97"/>
        <v>54</v>
      </c>
      <c r="OE59" s="237">
        <f t="shared" si="98"/>
        <v>30</v>
      </c>
      <c r="OF59" s="237">
        <f t="shared" si="99"/>
        <v>0</v>
      </c>
      <c r="OG59" s="237">
        <f t="shared" si="100"/>
        <v>0</v>
      </c>
      <c r="OH59" s="237">
        <f t="shared" si="101"/>
        <v>0</v>
      </c>
      <c r="OI59" s="285">
        <f t="shared" si="102"/>
        <v>13</v>
      </c>
      <c r="OJ59" s="280">
        <f t="shared" si="103"/>
        <v>708</v>
      </c>
    </row>
    <row r="60" spans="31:400" x14ac:dyDescent="0.3">
      <c r="AE60" s="127" t="str">
        <f t="shared" si="109"/>
        <v>L3x5x0.25</v>
      </c>
      <c r="AF60" s="138">
        <v>3.0000000000000004</v>
      </c>
      <c r="AG60" s="138">
        <v>5</v>
      </c>
      <c r="AH60" s="138">
        <v>0.25</v>
      </c>
      <c r="AI60" s="138">
        <v>0.37500000000000006</v>
      </c>
      <c r="AJ60" s="138">
        <v>0.25</v>
      </c>
      <c r="AK60">
        <f t="shared" si="110"/>
        <v>2.0000000000000001E-4</v>
      </c>
      <c r="AL60" t="s">
        <v>94</v>
      </c>
      <c r="AM60" s="133" t="s">
        <v>85</v>
      </c>
      <c r="BD60" s="143" t="str">
        <f t="shared" si="4"/>
        <v>W12x96</v>
      </c>
      <c r="BE60">
        <v>12.000000000000002</v>
      </c>
      <c r="BF60" s="138">
        <v>96.000000000000014</v>
      </c>
      <c r="BG60" s="138">
        <v>12.71</v>
      </c>
      <c r="BH60" s="138">
        <v>0.55000000000000004</v>
      </c>
      <c r="BI60" s="138">
        <v>12.159999999999998</v>
      </c>
      <c r="BJ60" s="138">
        <v>0.89999999999999991</v>
      </c>
      <c r="BK60" s="138">
        <v>0.6</v>
      </c>
      <c r="BM60" s="133" t="s">
        <v>85</v>
      </c>
      <c r="CF60" s="150" t="s">
        <v>327</v>
      </c>
      <c r="CG60">
        <v>0.8125</v>
      </c>
      <c r="CH60">
        <v>4.375</v>
      </c>
      <c r="CI60" s="151" t="s">
        <v>261</v>
      </c>
      <c r="EH60" s="243">
        <v>60</v>
      </c>
      <c r="EI60" s="244">
        <v>720</v>
      </c>
      <c r="EJ60" s="90">
        <v>48</v>
      </c>
      <c r="EK60" s="90">
        <v>48</v>
      </c>
      <c r="EL60" s="90">
        <v>48</v>
      </c>
      <c r="EM60" s="90">
        <v>48</v>
      </c>
      <c r="EN60" s="90">
        <v>48</v>
      </c>
      <c r="EO60" s="90">
        <v>48</v>
      </c>
      <c r="EP60" s="90">
        <v>48</v>
      </c>
      <c r="EQ60" s="90">
        <v>48</v>
      </c>
      <c r="ER60" s="90">
        <v>48</v>
      </c>
      <c r="ES60" s="90">
        <v>48</v>
      </c>
      <c r="ET60" s="90">
        <v>48</v>
      </c>
      <c r="EU60" s="90">
        <v>48</v>
      </c>
      <c r="EV60" s="90">
        <v>48</v>
      </c>
      <c r="EW60" s="90">
        <v>48</v>
      </c>
      <c r="EX60" s="90">
        <v>48</v>
      </c>
      <c r="EY60" s="90" t="s">
        <v>1137</v>
      </c>
      <c r="EZ60" s="90"/>
      <c r="FA60" s="224">
        <v>14</v>
      </c>
      <c r="FB60" s="245">
        <f t="shared" si="12"/>
        <v>720</v>
      </c>
      <c r="FD60" s="237">
        <f t="shared" si="108"/>
        <v>60</v>
      </c>
      <c r="FE60" s="246">
        <f t="shared" si="108"/>
        <v>720</v>
      </c>
      <c r="FF60" s="247">
        <f t="shared" si="108"/>
        <v>48</v>
      </c>
      <c r="FG60" s="247">
        <f t="shared" si="108"/>
        <v>48</v>
      </c>
      <c r="FH60" s="247">
        <f t="shared" si="108"/>
        <v>48</v>
      </c>
      <c r="FI60" s="247">
        <f t="shared" si="108"/>
        <v>48</v>
      </c>
      <c r="FJ60" s="247">
        <f t="shared" si="108"/>
        <v>48</v>
      </c>
      <c r="FK60" s="247">
        <f t="shared" si="108"/>
        <v>48</v>
      </c>
      <c r="FL60" s="247">
        <f t="shared" si="108"/>
        <v>48</v>
      </c>
      <c r="FM60" s="247">
        <f t="shared" si="108"/>
        <v>48</v>
      </c>
      <c r="FN60" s="247">
        <f t="shared" si="108"/>
        <v>48</v>
      </c>
      <c r="FO60" s="247">
        <f t="shared" si="113"/>
        <v>48</v>
      </c>
      <c r="FP60" s="247">
        <f t="shared" si="113"/>
        <v>48</v>
      </c>
      <c r="FQ60" s="247">
        <f t="shared" si="113"/>
        <v>48</v>
      </c>
      <c r="FR60" s="247">
        <f t="shared" si="113"/>
        <v>48</v>
      </c>
      <c r="FS60" s="247">
        <f t="shared" si="113"/>
        <v>48</v>
      </c>
      <c r="FT60" s="247">
        <f t="shared" si="105"/>
        <v>48</v>
      </c>
      <c r="FU60" s="247" t="str">
        <f t="shared" si="105"/>
        <v xml:space="preserve"> </v>
      </c>
      <c r="FV60" s="247">
        <f t="shared" si="105"/>
        <v>0</v>
      </c>
      <c r="FW60" s="248">
        <f t="shared" si="105"/>
        <v>14</v>
      </c>
      <c r="FX60" s="241">
        <f t="shared" si="105"/>
        <v>720</v>
      </c>
      <c r="FZ60" s="249">
        <v>60</v>
      </c>
      <c r="GA60" s="244">
        <v>720</v>
      </c>
      <c r="GB60" s="90">
        <v>60</v>
      </c>
      <c r="GC60" s="90">
        <v>60</v>
      </c>
      <c r="GD60" s="90">
        <v>60</v>
      </c>
      <c r="GE60" s="90">
        <v>60</v>
      </c>
      <c r="GF60" s="90">
        <v>60</v>
      </c>
      <c r="GG60" s="90">
        <v>60</v>
      </c>
      <c r="GH60" s="90">
        <v>60</v>
      </c>
      <c r="GI60" s="90">
        <v>60</v>
      </c>
      <c r="GJ60" s="90">
        <v>60</v>
      </c>
      <c r="GK60" s="90">
        <v>60</v>
      </c>
      <c r="GL60" s="90">
        <v>60</v>
      </c>
      <c r="GM60" s="90">
        <v>60</v>
      </c>
      <c r="GN60" s="90"/>
      <c r="GO60" s="90"/>
      <c r="GP60" s="90"/>
      <c r="GQ60" s="90"/>
      <c r="GR60" s="90"/>
      <c r="GS60" s="224">
        <v>11</v>
      </c>
      <c r="GT60" s="245">
        <f t="shared" si="14"/>
        <v>720</v>
      </c>
      <c r="GV60" s="237">
        <f t="shared" si="114"/>
        <v>60</v>
      </c>
      <c r="GW60" s="246">
        <f t="shared" si="114"/>
        <v>720</v>
      </c>
      <c r="GX60" s="247">
        <f t="shared" si="114"/>
        <v>60</v>
      </c>
      <c r="GY60" s="247">
        <f t="shared" si="114"/>
        <v>60</v>
      </c>
      <c r="GZ60" s="247">
        <f t="shared" si="114"/>
        <v>60</v>
      </c>
      <c r="HA60" s="247">
        <f t="shared" si="114"/>
        <v>60</v>
      </c>
      <c r="HB60" s="247">
        <f t="shared" si="114"/>
        <v>60</v>
      </c>
      <c r="HC60" s="247">
        <f t="shared" si="114"/>
        <v>60</v>
      </c>
      <c r="HD60" s="247">
        <f t="shared" si="114"/>
        <v>60</v>
      </c>
      <c r="HE60" s="247">
        <f t="shared" si="114"/>
        <v>60</v>
      </c>
      <c r="HF60" s="247">
        <f t="shared" si="114"/>
        <v>60</v>
      </c>
      <c r="HG60" s="247">
        <f t="shared" si="114"/>
        <v>60</v>
      </c>
      <c r="HH60" s="247">
        <f t="shared" si="114"/>
        <v>60</v>
      </c>
      <c r="HI60" s="247">
        <f t="shared" si="114"/>
        <v>60</v>
      </c>
      <c r="HJ60" s="247">
        <f t="shared" si="114"/>
        <v>0</v>
      </c>
      <c r="HK60" s="247">
        <f t="shared" si="112"/>
        <v>0</v>
      </c>
      <c r="HL60" s="247">
        <f t="shared" si="106"/>
        <v>0</v>
      </c>
      <c r="HM60" s="247">
        <f t="shared" si="10"/>
        <v>0</v>
      </c>
      <c r="HN60" s="247">
        <f t="shared" si="10"/>
        <v>0</v>
      </c>
      <c r="HO60" s="248">
        <f t="shared" si="10"/>
        <v>11</v>
      </c>
      <c r="HP60" s="241">
        <f t="shared" si="10"/>
        <v>720</v>
      </c>
      <c r="HR60" s="243">
        <v>60</v>
      </c>
      <c r="HS60" s="244">
        <v>720</v>
      </c>
      <c r="HT60" s="90">
        <v>72</v>
      </c>
      <c r="HU60" s="90">
        <v>72</v>
      </c>
      <c r="HV60" s="90">
        <v>72</v>
      </c>
      <c r="HW60" s="90">
        <v>72</v>
      </c>
      <c r="HX60" s="90">
        <v>72</v>
      </c>
      <c r="HY60" s="90">
        <v>72</v>
      </c>
      <c r="HZ60" s="90">
        <v>72</v>
      </c>
      <c r="IA60" s="90">
        <v>72</v>
      </c>
      <c r="IB60" s="90">
        <v>72</v>
      </c>
      <c r="IC60" s="90">
        <v>72</v>
      </c>
      <c r="ID60" s="90"/>
      <c r="IE60" s="90"/>
      <c r="IF60" s="90"/>
      <c r="IG60" s="90"/>
      <c r="IH60" s="90"/>
      <c r="II60" s="90"/>
      <c r="IJ60" s="90"/>
      <c r="IK60" s="224">
        <v>9</v>
      </c>
      <c r="IL60" s="245">
        <f t="shared" si="16"/>
        <v>720</v>
      </c>
      <c r="IN60" s="243">
        <v>60</v>
      </c>
      <c r="IO60" s="244">
        <v>720</v>
      </c>
      <c r="IP60" s="90">
        <v>66</v>
      </c>
      <c r="IQ60" s="90">
        <v>84</v>
      </c>
      <c r="IR60" s="90">
        <v>84</v>
      </c>
      <c r="IS60" s="90">
        <v>84</v>
      </c>
      <c r="IT60" s="90">
        <v>84</v>
      </c>
      <c r="IU60" s="90">
        <v>84</v>
      </c>
      <c r="IV60" s="90">
        <v>84</v>
      </c>
      <c r="IW60" s="90">
        <v>84</v>
      </c>
      <c r="IX60" s="90">
        <v>66</v>
      </c>
      <c r="IY60" s="90"/>
      <c r="IZ60" s="90"/>
      <c r="JA60" s="90"/>
      <c r="JB60" s="90"/>
      <c r="JC60" s="90"/>
      <c r="JD60" s="90"/>
      <c r="JE60" s="90"/>
      <c r="JF60" s="90"/>
      <c r="JG60" s="224">
        <v>8</v>
      </c>
      <c r="JH60" s="245">
        <f t="shared" si="17"/>
        <v>720</v>
      </c>
      <c r="JJ60" s="249">
        <v>60</v>
      </c>
      <c r="JK60" s="244">
        <v>720</v>
      </c>
      <c r="JL60" s="90">
        <v>72</v>
      </c>
      <c r="JM60" s="90">
        <v>96</v>
      </c>
      <c r="JN60" s="90">
        <v>96</v>
      </c>
      <c r="JO60" s="90">
        <v>96</v>
      </c>
      <c r="JP60" s="90">
        <v>96</v>
      </c>
      <c r="JQ60" s="90">
        <v>96</v>
      </c>
      <c r="JR60" s="90">
        <v>96</v>
      </c>
      <c r="JS60" s="90">
        <v>72</v>
      </c>
      <c r="JT60" s="90"/>
      <c r="JU60" s="90"/>
      <c r="JV60" s="90"/>
      <c r="JW60" s="90"/>
      <c r="JX60" s="90"/>
      <c r="JY60" s="90"/>
      <c r="JZ60" s="90"/>
      <c r="KA60" s="90"/>
      <c r="KB60" s="90"/>
      <c r="KC60" s="224">
        <v>7</v>
      </c>
      <c r="KD60" s="245">
        <f t="shared" si="18"/>
        <v>720</v>
      </c>
      <c r="KF60" s="243">
        <v>60</v>
      </c>
      <c r="KG60" s="244">
        <v>720</v>
      </c>
      <c r="KH60" s="90">
        <v>36</v>
      </c>
      <c r="KI60" s="90">
        <v>54</v>
      </c>
      <c r="KJ60" s="90">
        <v>54</v>
      </c>
      <c r="KK60" s="90">
        <v>54</v>
      </c>
      <c r="KL60" s="90">
        <v>54</v>
      </c>
      <c r="KM60" s="90">
        <v>54</v>
      </c>
      <c r="KN60" s="90">
        <v>54</v>
      </c>
      <c r="KO60" s="90">
        <v>54</v>
      </c>
      <c r="KP60" s="90">
        <v>54</v>
      </c>
      <c r="KQ60" s="90">
        <v>54</v>
      </c>
      <c r="KR60" s="90">
        <v>54</v>
      </c>
      <c r="KS60" s="90">
        <v>54</v>
      </c>
      <c r="KT60" s="90">
        <v>54</v>
      </c>
      <c r="KU60" s="90">
        <v>36</v>
      </c>
      <c r="KV60" s="90"/>
      <c r="KW60" s="90"/>
      <c r="KX60" s="90"/>
      <c r="KY60" s="224">
        <v>13</v>
      </c>
      <c r="KZ60" s="245">
        <f t="shared" si="19"/>
        <v>720</v>
      </c>
      <c r="LB60" s="237">
        <f t="shared" si="20"/>
        <v>60</v>
      </c>
      <c r="LC60" s="284">
        <f t="shared" si="21"/>
        <v>720</v>
      </c>
      <c r="LD60" s="237">
        <f t="shared" si="22"/>
        <v>36</v>
      </c>
      <c r="LE60" s="237">
        <f t="shared" si="23"/>
        <v>54</v>
      </c>
      <c r="LF60" s="237">
        <f t="shared" si="24"/>
        <v>54</v>
      </c>
      <c r="LG60" s="237">
        <f t="shared" si="25"/>
        <v>54</v>
      </c>
      <c r="LH60" s="237">
        <f t="shared" si="26"/>
        <v>54</v>
      </c>
      <c r="LI60" s="237">
        <f t="shared" si="27"/>
        <v>54</v>
      </c>
      <c r="LJ60" s="237">
        <f t="shared" si="28"/>
        <v>54</v>
      </c>
      <c r="LK60" s="237">
        <f t="shared" si="29"/>
        <v>54</v>
      </c>
      <c r="LL60" s="237">
        <f t="shared" si="30"/>
        <v>54</v>
      </c>
      <c r="LM60" s="237">
        <f t="shared" si="31"/>
        <v>54</v>
      </c>
      <c r="LN60" s="237">
        <f t="shared" si="32"/>
        <v>54</v>
      </c>
      <c r="LO60" s="237">
        <f t="shared" si="33"/>
        <v>54</v>
      </c>
      <c r="LP60" s="237">
        <f t="shared" si="34"/>
        <v>54</v>
      </c>
      <c r="LQ60" s="237">
        <f t="shared" si="35"/>
        <v>36</v>
      </c>
      <c r="LR60" s="237">
        <f t="shared" si="36"/>
        <v>0</v>
      </c>
      <c r="LS60" s="237">
        <f t="shared" si="37"/>
        <v>0</v>
      </c>
      <c r="LT60" s="237">
        <f t="shared" si="38"/>
        <v>0</v>
      </c>
      <c r="LU60" s="285">
        <f t="shared" si="39"/>
        <v>13</v>
      </c>
      <c r="LV60" s="280">
        <f t="shared" si="40"/>
        <v>720</v>
      </c>
      <c r="LX60" s="237">
        <f t="shared" si="41"/>
        <v>60</v>
      </c>
      <c r="LY60" s="284">
        <f t="shared" si="42"/>
        <v>720</v>
      </c>
      <c r="LZ60" s="237">
        <f t="shared" si="43"/>
        <v>36</v>
      </c>
      <c r="MA60" s="237">
        <f t="shared" si="44"/>
        <v>54</v>
      </c>
      <c r="MB60" s="237">
        <f t="shared" si="45"/>
        <v>54</v>
      </c>
      <c r="MC60" s="237">
        <f t="shared" si="46"/>
        <v>54</v>
      </c>
      <c r="MD60" s="237">
        <f t="shared" si="47"/>
        <v>54</v>
      </c>
      <c r="ME60" s="237">
        <f t="shared" si="48"/>
        <v>54</v>
      </c>
      <c r="MF60" s="237">
        <f t="shared" si="49"/>
        <v>54</v>
      </c>
      <c r="MG60" s="237">
        <f t="shared" si="50"/>
        <v>54</v>
      </c>
      <c r="MH60" s="237">
        <f t="shared" si="51"/>
        <v>54</v>
      </c>
      <c r="MI60" s="237">
        <f t="shared" si="52"/>
        <v>54</v>
      </c>
      <c r="MJ60" s="237">
        <f t="shared" si="53"/>
        <v>54</v>
      </c>
      <c r="MK60" s="237">
        <f t="shared" si="54"/>
        <v>54</v>
      </c>
      <c r="ML60" s="237">
        <f t="shared" si="55"/>
        <v>54</v>
      </c>
      <c r="MM60" s="237">
        <f t="shared" si="56"/>
        <v>36</v>
      </c>
      <c r="MN60" s="237">
        <f t="shared" si="57"/>
        <v>0</v>
      </c>
      <c r="MO60" s="237">
        <f t="shared" si="58"/>
        <v>0</v>
      </c>
      <c r="MP60" s="237">
        <f t="shared" si="59"/>
        <v>0</v>
      </c>
      <c r="MQ60" s="285">
        <f t="shared" si="60"/>
        <v>13</v>
      </c>
      <c r="MR60" s="280">
        <f t="shared" si="61"/>
        <v>720</v>
      </c>
      <c r="MT60" s="237">
        <f t="shared" si="62"/>
        <v>60</v>
      </c>
      <c r="MU60" s="284">
        <f t="shared" si="63"/>
        <v>720</v>
      </c>
      <c r="MV60" s="237">
        <f t="shared" si="64"/>
        <v>36</v>
      </c>
      <c r="MW60" s="237">
        <f t="shared" si="65"/>
        <v>54</v>
      </c>
      <c r="MX60" s="237">
        <f t="shared" si="66"/>
        <v>54</v>
      </c>
      <c r="MY60" s="237">
        <f t="shared" si="67"/>
        <v>54</v>
      </c>
      <c r="MZ60" s="237">
        <f t="shared" si="68"/>
        <v>54</v>
      </c>
      <c r="NA60" s="237">
        <f t="shared" si="69"/>
        <v>54</v>
      </c>
      <c r="NB60" s="237">
        <f t="shared" si="70"/>
        <v>54</v>
      </c>
      <c r="NC60" s="237">
        <f t="shared" si="71"/>
        <v>54</v>
      </c>
      <c r="ND60" s="237">
        <f t="shared" si="72"/>
        <v>54</v>
      </c>
      <c r="NE60" s="237">
        <f t="shared" si="73"/>
        <v>54</v>
      </c>
      <c r="NF60" s="237">
        <f t="shared" si="74"/>
        <v>54</v>
      </c>
      <c r="NG60" s="237">
        <f t="shared" si="75"/>
        <v>54</v>
      </c>
      <c r="NH60" s="237">
        <f t="shared" si="76"/>
        <v>54</v>
      </c>
      <c r="NI60" s="237">
        <f t="shared" si="77"/>
        <v>36</v>
      </c>
      <c r="NJ60" s="237">
        <f t="shared" si="78"/>
        <v>0</v>
      </c>
      <c r="NK60" s="237">
        <f t="shared" si="79"/>
        <v>0</v>
      </c>
      <c r="NL60" s="237">
        <f t="shared" si="80"/>
        <v>0</v>
      </c>
      <c r="NM60" s="285">
        <f t="shared" si="81"/>
        <v>13</v>
      </c>
      <c r="NN60" s="280">
        <f t="shared" si="82"/>
        <v>720</v>
      </c>
      <c r="NP60" s="237">
        <f t="shared" si="83"/>
        <v>60</v>
      </c>
      <c r="NQ60" s="284">
        <f t="shared" si="84"/>
        <v>720</v>
      </c>
      <c r="NR60" s="237">
        <f t="shared" si="85"/>
        <v>36</v>
      </c>
      <c r="NS60" s="237">
        <f t="shared" si="86"/>
        <v>54</v>
      </c>
      <c r="NT60" s="237">
        <f t="shared" si="87"/>
        <v>54</v>
      </c>
      <c r="NU60" s="237">
        <f t="shared" si="88"/>
        <v>54</v>
      </c>
      <c r="NV60" s="237">
        <f t="shared" si="89"/>
        <v>54</v>
      </c>
      <c r="NW60" s="237">
        <f t="shared" si="90"/>
        <v>54</v>
      </c>
      <c r="NX60" s="237">
        <f t="shared" si="91"/>
        <v>54</v>
      </c>
      <c r="NY60" s="237">
        <f t="shared" si="92"/>
        <v>54</v>
      </c>
      <c r="NZ60" s="237">
        <f t="shared" si="93"/>
        <v>54</v>
      </c>
      <c r="OA60" s="237">
        <f t="shared" si="94"/>
        <v>54</v>
      </c>
      <c r="OB60" s="237">
        <f t="shared" si="95"/>
        <v>54</v>
      </c>
      <c r="OC60" s="237">
        <f t="shared" si="96"/>
        <v>54</v>
      </c>
      <c r="OD60" s="237">
        <f t="shared" si="97"/>
        <v>54</v>
      </c>
      <c r="OE60" s="237">
        <f t="shared" si="98"/>
        <v>36</v>
      </c>
      <c r="OF60" s="237">
        <f t="shared" si="99"/>
        <v>0</v>
      </c>
      <c r="OG60" s="237">
        <f t="shared" si="100"/>
        <v>0</v>
      </c>
      <c r="OH60" s="237">
        <f t="shared" si="101"/>
        <v>0</v>
      </c>
      <c r="OI60" s="285">
        <f t="shared" si="102"/>
        <v>13</v>
      </c>
      <c r="OJ60" s="280">
        <f t="shared" si="103"/>
        <v>720</v>
      </c>
    </row>
    <row r="61" spans="31:400" x14ac:dyDescent="0.3">
      <c r="AE61" s="127" t="str">
        <f t="shared" si="109"/>
        <v>L3x5x0.3125</v>
      </c>
      <c r="AF61" s="138">
        <v>3.0000000000000004</v>
      </c>
      <c r="AG61" s="138">
        <v>5</v>
      </c>
      <c r="AH61" s="138">
        <v>0.3125</v>
      </c>
      <c r="AI61" s="138">
        <v>0.37500000000000006</v>
      </c>
      <c r="AJ61" s="138">
        <v>0.3125</v>
      </c>
      <c r="AK61">
        <f t="shared" si="110"/>
        <v>2.0000000000000001E-4</v>
      </c>
      <c r="AM61" s="133" t="s">
        <v>85</v>
      </c>
      <c r="BD61" s="143" t="str">
        <f t="shared" si="4"/>
        <v>W12x106</v>
      </c>
      <c r="BE61">
        <v>12.000000000000002</v>
      </c>
      <c r="BF61" s="138">
        <v>106.00000000000001</v>
      </c>
      <c r="BG61" s="138">
        <v>12.890000000000002</v>
      </c>
      <c r="BH61" s="138">
        <v>0.61</v>
      </c>
      <c r="BI61" s="138">
        <v>12.22</v>
      </c>
      <c r="BJ61" s="138">
        <v>0.99</v>
      </c>
      <c r="BK61" s="138">
        <v>0.6</v>
      </c>
      <c r="BM61" s="133" t="s">
        <v>85</v>
      </c>
      <c r="CF61" s="150" t="s">
        <v>328</v>
      </c>
      <c r="CG61">
        <v>0.8125</v>
      </c>
      <c r="CH61">
        <v>4.375</v>
      </c>
      <c r="CI61" s="151" t="s">
        <v>261</v>
      </c>
      <c r="EH61" s="232">
        <v>61</v>
      </c>
      <c r="EI61" s="256">
        <v>732</v>
      </c>
      <c r="EJ61" s="257">
        <v>30</v>
      </c>
      <c r="EK61" s="257">
        <v>48</v>
      </c>
      <c r="EL61" s="257">
        <v>48</v>
      </c>
      <c r="EM61" s="257">
        <v>48</v>
      </c>
      <c r="EN61" s="257">
        <v>48</v>
      </c>
      <c r="EO61" s="257">
        <v>48</v>
      </c>
      <c r="EP61" s="257">
        <v>48</v>
      </c>
      <c r="EQ61" s="257">
        <v>48</v>
      </c>
      <c r="ER61" s="257">
        <v>48</v>
      </c>
      <c r="ES61" s="257">
        <v>48</v>
      </c>
      <c r="ET61" s="257">
        <v>48</v>
      </c>
      <c r="EU61" s="257">
        <v>48</v>
      </c>
      <c r="EV61" s="257">
        <v>48</v>
      </c>
      <c r="EW61" s="257">
        <v>48</v>
      </c>
      <c r="EX61" s="257">
        <v>48</v>
      </c>
      <c r="EY61" s="257">
        <v>30</v>
      </c>
      <c r="EZ61" s="257"/>
      <c r="FA61" s="258">
        <v>15</v>
      </c>
      <c r="FB61" s="236">
        <f t="shared" si="12"/>
        <v>732</v>
      </c>
      <c r="FD61" s="237">
        <f t="shared" si="108"/>
        <v>61</v>
      </c>
      <c r="FE61" s="246">
        <f t="shared" si="108"/>
        <v>732</v>
      </c>
      <c r="FF61" s="247">
        <f t="shared" si="108"/>
        <v>30</v>
      </c>
      <c r="FG61" s="247">
        <f t="shared" si="108"/>
        <v>48</v>
      </c>
      <c r="FH61" s="247">
        <f t="shared" si="108"/>
        <v>48</v>
      </c>
      <c r="FI61" s="247">
        <f t="shared" si="108"/>
        <v>48</v>
      </c>
      <c r="FJ61" s="247">
        <f t="shared" si="108"/>
        <v>48</v>
      </c>
      <c r="FK61" s="247">
        <f t="shared" si="108"/>
        <v>48</v>
      </c>
      <c r="FL61" s="247">
        <f t="shared" si="108"/>
        <v>48</v>
      </c>
      <c r="FM61" s="247">
        <f t="shared" si="108"/>
        <v>48</v>
      </c>
      <c r="FN61" s="247">
        <f t="shared" si="108"/>
        <v>48</v>
      </c>
      <c r="FO61" s="247">
        <f t="shared" si="113"/>
        <v>48</v>
      </c>
      <c r="FP61" s="247">
        <f t="shared" si="113"/>
        <v>48</v>
      </c>
      <c r="FQ61" s="247">
        <f t="shared" si="113"/>
        <v>48</v>
      </c>
      <c r="FR61" s="247">
        <f t="shared" si="113"/>
        <v>48</v>
      </c>
      <c r="FS61" s="247">
        <f t="shared" si="113"/>
        <v>48</v>
      </c>
      <c r="FT61" s="247">
        <f t="shared" si="105"/>
        <v>48</v>
      </c>
      <c r="FU61" s="247">
        <f t="shared" si="105"/>
        <v>30</v>
      </c>
      <c r="FV61" s="247">
        <f t="shared" si="105"/>
        <v>0</v>
      </c>
      <c r="FW61" s="248">
        <f t="shared" si="105"/>
        <v>15</v>
      </c>
      <c r="FX61" s="241">
        <f t="shared" si="105"/>
        <v>732</v>
      </c>
      <c r="FZ61" s="242">
        <v>61</v>
      </c>
      <c r="GA61" s="256">
        <v>732</v>
      </c>
      <c r="GB61" s="257">
        <v>36</v>
      </c>
      <c r="GC61" s="257">
        <v>60</v>
      </c>
      <c r="GD61" s="257">
        <v>60</v>
      </c>
      <c r="GE61" s="257">
        <v>60</v>
      </c>
      <c r="GF61" s="257">
        <v>60</v>
      </c>
      <c r="GG61" s="257">
        <v>60</v>
      </c>
      <c r="GH61" s="257">
        <v>60</v>
      </c>
      <c r="GI61" s="257">
        <v>60</v>
      </c>
      <c r="GJ61" s="257">
        <v>60</v>
      </c>
      <c r="GK61" s="257">
        <v>60</v>
      </c>
      <c r="GL61" s="257">
        <v>60</v>
      </c>
      <c r="GM61" s="257">
        <v>60</v>
      </c>
      <c r="GN61" s="257">
        <v>36</v>
      </c>
      <c r="GO61" s="257"/>
      <c r="GP61" s="257"/>
      <c r="GQ61" s="257"/>
      <c r="GR61" s="257"/>
      <c r="GS61" s="258">
        <v>12</v>
      </c>
      <c r="GT61" s="236">
        <f t="shared" si="14"/>
        <v>732</v>
      </c>
      <c r="GV61" s="237">
        <f t="shared" si="114"/>
        <v>61</v>
      </c>
      <c r="GW61" s="246">
        <f t="shared" si="114"/>
        <v>732</v>
      </c>
      <c r="GX61" s="247">
        <f t="shared" si="114"/>
        <v>36</v>
      </c>
      <c r="GY61" s="247">
        <f t="shared" si="114"/>
        <v>60</v>
      </c>
      <c r="GZ61" s="247">
        <f t="shared" si="114"/>
        <v>60</v>
      </c>
      <c r="HA61" s="247">
        <f t="shared" si="114"/>
        <v>60</v>
      </c>
      <c r="HB61" s="247">
        <f t="shared" si="114"/>
        <v>60</v>
      </c>
      <c r="HC61" s="247">
        <f t="shared" si="114"/>
        <v>60</v>
      </c>
      <c r="HD61" s="247">
        <f t="shared" si="114"/>
        <v>60</v>
      </c>
      <c r="HE61" s="247">
        <f t="shared" si="114"/>
        <v>60</v>
      </c>
      <c r="HF61" s="247">
        <f t="shared" si="114"/>
        <v>60</v>
      </c>
      <c r="HG61" s="247">
        <f t="shared" si="114"/>
        <v>60</v>
      </c>
      <c r="HH61" s="247">
        <f t="shared" si="114"/>
        <v>60</v>
      </c>
      <c r="HI61" s="247">
        <f t="shared" si="114"/>
        <v>60</v>
      </c>
      <c r="HJ61" s="247">
        <f t="shared" si="114"/>
        <v>36</v>
      </c>
      <c r="HK61" s="247">
        <f t="shared" si="112"/>
        <v>0</v>
      </c>
      <c r="HL61" s="247">
        <f t="shared" si="106"/>
        <v>0</v>
      </c>
      <c r="HM61" s="247">
        <f t="shared" si="10"/>
        <v>0</v>
      </c>
      <c r="HN61" s="247">
        <f t="shared" si="10"/>
        <v>0</v>
      </c>
      <c r="HO61" s="248">
        <f t="shared" si="10"/>
        <v>12</v>
      </c>
      <c r="HP61" s="241">
        <f t="shared" si="10"/>
        <v>732</v>
      </c>
      <c r="HR61" s="232">
        <v>61</v>
      </c>
      <c r="HS61" s="256">
        <v>732</v>
      </c>
      <c r="HT61" s="257">
        <v>42</v>
      </c>
      <c r="HU61" s="257">
        <v>72</v>
      </c>
      <c r="HV61" s="257">
        <v>72</v>
      </c>
      <c r="HW61" s="257">
        <v>72</v>
      </c>
      <c r="HX61" s="257">
        <v>72</v>
      </c>
      <c r="HY61" s="257">
        <v>72</v>
      </c>
      <c r="HZ61" s="257">
        <v>72</v>
      </c>
      <c r="IA61" s="257">
        <v>72</v>
      </c>
      <c r="IB61" s="257">
        <v>72</v>
      </c>
      <c r="IC61" s="257">
        <v>72</v>
      </c>
      <c r="ID61" s="257">
        <v>42</v>
      </c>
      <c r="IE61" s="257"/>
      <c r="IF61" s="257"/>
      <c r="IG61" s="257"/>
      <c r="IH61" s="257"/>
      <c r="II61" s="257"/>
      <c r="IJ61" s="257"/>
      <c r="IK61" s="258">
        <v>10</v>
      </c>
      <c r="IL61" s="236">
        <f t="shared" si="16"/>
        <v>732</v>
      </c>
      <c r="IN61" s="232">
        <v>61</v>
      </c>
      <c r="IO61" s="256">
        <v>732</v>
      </c>
      <c r="IP61" s="257">
        <v>72</v>
      </c>
      <c r="IQ61" s="257">
        <v>84</v>
      </c>
      <c r="IR61" s="257">
        <v>84</v>
      </c>
      <c r="IS61" s="257">
        <v>84</v>
      </c>
      <c r="IT61" s="257">
        <v>84</v>
      </c>
      <c r="IU61" s="257">
        <v>84</v>
      </c>
      <c r="IV61" s="257">
        <v>84</v>
      </c>
      <c r="IW61" s="257">
        <v>84</v>
      </c>
      <c r="IX61" s="257">
        <v>72</v>
      </c>
      <c r="IY61" s="257"/>
      <c r="IZ61" s="257"/>
      <c r="JA61" s="257"/>
      <c r="JB61" s="257"/>
      <c r="JC61" s="257"/>
      <c r="JD61" s="257"/>
      <c r="JE61" s="257"/>
      <c r="JF61" s="257"/>
      <c r="JG61" s="258">
        <v>8</v>
      </c>
      <c r="JH61" s="236">
        <f t="shared" si="17"/>
        <v>732</v>
      </c>
      <c r="JJ61" s="242">
        <v>61</v>
      </c>
      <c r="JK61" s="256">
        <v>732</v>
      </c>
      <c r="JL61" s="257">
        <v>78</v>
      </c>
      <c r="JM61" s="257">
        <v>96</v>
      </c>
      <c r="JN61" s="257">
        <v>96</v>
      </c>
      <c r="JO61" s="257">
        <v>96</v>
      </c>
      <c r="JP61" s="257">
        <v>96</v>
      </c>
      <c r="JQ61" s="257">
        <v>96</v>
      </c>
      <c r="JR61" s="257">
        <v>96</v>
      </c>
      <c r="JS61" s="257">
        <v>78</v>
      </c>
      <c r="JT61" s="257"/>
      <c r="JU61" s="257"/>
      <c r="JV61" s="257"/>
      <c r="JW61" s="257"/>
      <c r="JX61" s="257"/>
      <c r="JY61" s="257"/>
      <c r="JZ61" s="257"/>
      <c r="KA61" s="257"/>
      <c r="KB61" s="257"/>
      <c r="KC61" s="258">
        <v>7</v>
      </c>
      <c r="KD61" s="236">
        <f t="shared" si="18"/>
        <v>732</v>
      </c>
      <c r="KF61" s="232">
        <v>61</v>
      </c>
      <c r="KG61" s="256">
        <v>732</v>
      </c>
      <c r="KH61" s="257">
        <v>42</v>
      </c>
      <c r="KI61" s="257">
        <v>54</v>
      </c>
      <c r="KJ61" s="257">
        <v>54</v>
      </c>
      <c r="KK61" s="257">
        <v>54</v>
      </c>
      <c r="KL61" s="257">
        <v>54</v>
      </c>
      <c r="KM61" s="257">
        <v>54</v>
      </c>
      <c r="KN61" s="257">
        <v>54</v>
      </c>
      <c r="KO61" s="257">
        <v>54</v>
      </c>
      <c r="KP61" s="257">
        <v>54</v>
      </c>
      <c r="KQ61" s="257">
        <v>54</v>
      </c>
      <c r="KR61" s="257">
        <v>54</v>
      </c>
      <c r="KS61" s="257">
        <v>54</v>
      </c>
      <c r="KT61" s="257">
        <v>54</v>
      </c>
      <c r="KU61" s="257">
        <v>42</v>
      </c>
      <c r="KV61" s="257"/>
      <c r="KW61" s="257"/>
      <c r="KX61" s="257"/>
      <c r="KY61" s="258">
        <v>13</v>
      </c>
      <c r="KZ61" s="236">
        <f t="shared" si="19"/>
        <v>732</v>
      </c>
      <c r="LB61" s="237">
        <f t="shared" si="20"/>
        <v>61</v>
      </c>
      <c r="LC61" s="284">
        <f t="shared" si="21"/>
        <v>732</v>
      </c>
      <c r="LD61" s="237">
        <f t="shared" si="22"/>
        <v>42</v>
      </c>
      <c r="LE61" s="237">
        <f t="shared" si="23"/>
        <v>54</v>
      </c>
      <c r="LF61" s="237">
        <f t="shared" si="24"/>
        <v>54</v>
      </c>
      <c r="LG61" s="237">
        <f t="shared" si="25"/>
        <v>54</v>
      </c>
      <c r="LH61" s="237">
        <f t="shared" si="26"/>
        <v>54</v>
      </c>
      <c r="LI61" s="237">
        <f t="shared" si="27"/>
        <v>54</v>
      </c>
      <c r="LJ61" s="237">
        <f t="shared" si="28"/>
        <v>54</v>
      </c>
      <c r="LK61" s="237">
        <f t="shared" si="29"/>
        <v>54</v>
      </c>
      <c r="LL61" s="237">
        <f t="shared" si="30"/>
        <v>54</v>
      </c>
      <c r="LM61" s="237">
        <f t="shared" si="31"/>
        <v>54</v>
      </c>
      <c r="LN61" s="237">
        <f t="shared" si="32"/>
        <v>54</v>
      </c>
      <c r="LO61" s="237">
        <f t="shared" si="33"/>
        <v>54</v>
      </c>
      <c r="LP61" s="237">
        <f t="shared" si="34"/>
        <v>54</v>
      </c>
      <c r="LQ61" s="237">
        <f t="shared" si="35"/>
        <v>42</v>
      </c>
      <c r="LR61" s="237">
        <f t="shared" si="36"/>
        <v>0</v>
      </c>
      <c r="LS61" s="237">
        <f t="shared" si="37"/>
        <v>0</v>
      </c>
      <c r="LT61" s="237">
        <f t="shared" si="38"/>
        <v>0</v>
      </c>
      <c r="LU61" s="285">
        <f t="shared" si="39"/>
        <v>13</v>
      </c>
      <c r="LV61" s="280">
        <f t="shared" si="40"/>
        <v>732</v>
      </c>
      <c r="LX61" s="237">
        <f t="shared" si="41"/>
        <v>61</v>
      </c>
      <c r="LY61" s="284">
        <f t="shared" si="42"/>
        <v>732</v>
      </c>
      <c r="LZ61" s="237">
        <f t="shared" si="43"/>
        <v>42</v>
      </c>
      <c r="MA61" s="237">
        <f t="shared" si="44"/>
        <v>54</v>
      </c>
      <c r="MB61" s="237">
        <f t="shared" si="45"/>
        <v>54</v>
      </c>
      <c r="MC61" s="237">
        <f t="shared" si="46"/>
        <v>54</v>
      </c>
      <c r="MD61" s="237">
        <f t="shared" si="47"/>
        <v>54</v>
      </c>
      <c r="ME61" s="237">
        <f t="shared" si="48"/>
        <v>54</v>
      </c>
      <c r="MF61" s="237">
        <f t="shared" si="49"/>
        <v>54</v>
      </c>
      <c r="MG61" s="237">
        <f t="shared" si="50"/>
        <v>54</v>
      </c>
      <c r="MH61" s="237">
        <f t="shared" si="51"/>
        <v>54</v>
      </c>
      <c r="MI61" s="237">
        <f t="shared" si="52"/>
        <v>54</v>
      </c>
      <c r="MJ61" s="237">
        <f t="shared" si="53"/>
        <v>54</v>
      </c>
      <c r="MK61" s="237">
        <f t="shared" si="54"/>
        <v>54</v>
      </c>
      <c r="ML61" s="237">
        <f t="shared" si="55"/>
        <v>54</v>
      </c>
      <c r="MM61" s="237">
        <f t="shared" si="56"/>
        <v>42</v>
      </c>
      <c r="MN61" s="237">
        <f t="shared" si="57"/>
        <v>0</v>
      </c>
      <c r="MO61" s="237">
        <f t="shared" si="58"/>
        <v>0</v>
      </c>
      <c r="MP61" s="237">
        <f t="shared" si="59"/>
        <v>0</v>
      </c>
      <c r="MQ61" s="285">
        <f t="shared" si="60"/>
        <v>13</v>
      </c>
      <c r="MR61" s="280">
        <f t="shared" si="61"/>
        <v>732</v>
      </c>
      <c r="MT61" s="237">
        <f t="shared" si="62"/>
        <v>61</v>
      </c>
      <c r="MU61" s="284">
        <f t="shared" si="63"/>
        <v>732</v>
      </c>
      <c r="MV61" s="237">
        <f t="shared" si="64"/>
        <v>42</v>
      </c>
      <c r="MW61" s="237">
        <f t="shared" si="65"/>
        <v>54</v>
      </c>
      <c r="MX61" s="237">
        <f t="shared" si="66"/>
        <v>54</v>
      </c>
      <c r="MY61" s="237">
        <f t="shared" si="67"/>
        <v>54</v>
      </c>
      <c r="MZ61" s="237">
        <f t="shared" si="68"/>
        <v>54</v>
      </c>
      <c r="NA61" s="237">
        <f t="shared" si="69"/>
        <v>54</v>
      </c>
      <c r="NB61" s="237">
        <f t="shared" si="70"/>
        <v>54</v>
      </c>
      <c r="NC61" s="237">
        <f t="shared" si="71"/>
        <v>54</v>
      </c>
      <c r="ND61" s="237">
        <f t="shared" si="72"/>
        <v>54</v>
      </c>
      <c r="NE61" s="237">
        <f t="shared" si="73"/>
        <v>54</v>
      </c>
      <c r="NF61" s="237">
        <f t="shared" si="74"/>
        <v>54</v>
      </c>
      <c r="NG61" s="237">
        <f t="shared" si="75"/>
        <v>54</v>
      </c>
      <c r="NH61" s="237">
        <f t="shared" si="76"/>
        <v>54</v>
      </c>
      <c r="NI61" s="237">
        <f t="shared" si="77"/>
        <v>42</v>
      </c>
      <c r="NJ61" s="237">
        <f t="shared" si="78"/>
        <v>0</v>
      </c>
      <c r="NK61" s="237">
        <f t="shared" si="79"/>
        <v>0</v>
      </c>
      <c r="NL61" s="237">
        <f t="shared" si="80"/>
        <v>0</v>
      </c>
      <c r="NM61" s="285">
        <f t="shared" si="81"/>
        <v>13</v>
      </c>
      <c r="NN61" s="280">
        <f t="shared" si="82"/>
        <v>732</v>
      </c>
      <c r="NP61" s="237">
        <f t="shared" si="83"/>
        <v>61</v>
      </c>
      <c r="NQ61" s="284">
        <f t="shared" si="84"/>
        <v>732</v>
      </c>
      <c r="NR61" s="237">
        <f t="shared" si="85"/>
        <v>42</v>
      </c>
      <c r="NS61" s="237">
        <f t="shared" si="86"/>
        <v>54</v>
      </c>
      <c r="NT61" s="237">
        <f t="shared" si="87"/>
        <v>54</v>
      </c>
      <c r="NU61" s="237">
        <f t="shared" si="88"/>
        <v>54</v>
      </c>
      <c r="NV61" s="237">
        <f t="shared" si="89"/>
        <v>54</v>
      </c>
      <c r="NW61" s="237">
        <f t="shared" si="90"/>
        <v>54</v>
      </c>
      <c r="NX61" s="237">
        <f t="shared" si="91"/>
        <v>54</v>
      </c>
      <c r="NY61" s="237">
        <f t="shared" si="92"/>
        <v>54</v>
      </c>
      <c r="NZ61" s="237">
        <f t="shared" si="93"/>
        <v>54</v>
      </c>
      <c r="OA61" s="237">
        <f t="shared" si="94"/>
        <v>54</v>
      </c>
      <c r="OB61" s="237">
        <f t="shared" si="95"/>
        <v>54</v>
      </c>
      <c r="OC61" s="237">
        <f t="shared" si="96"/>
        <v>54</v>
      </c>
      <c r="OD61" s="237">
        <f t="shared" si="97"/>
        <v>54</v>
      </c>
      <c r="OE61" s="237">
        <f t="shared" si="98"/>
        <v>42</v>
      </c>
      <c r="OF61" s="237">
        <f t="shared" si="99"/>
        <v>0</v>
      </c>
      <c r="OG61" s="237">
        <f t="shared" si="100"/>
        <v>0</v>
      </c>
      <c r="OH61" s="237">
        <f t="shared" si="101"/>
        <v>0</v>
      </c>
      <c r="OI61" s="285">
        <f t="shared" si="102"/>
        <v>13</v>
      </c>
      <c r="OJ61" s="280">
        <f t="shared" si="103"/>
        <v>732</v>
      </c>
    </row>
    <row r="62" spans="31:400" x14ac:dyDescent="0.3">
      <c r="AE62" s="127" t="str">
        <f t="shared" si="109"/>
        <v>L3x5x0.375</v>
      </c>
      <c r="AF62" s="138">
        <v>3.0000000000000004</v>
      </c>
      <c r="AG62" s="138">
        <v>5</v>
      </c>
      <c r="AH62" s="138">
        <v>0.37500000000000006</v>
      </c>
      <c r="AI62" s="138">
        <v>0.37500000000000006</v>
      </c>
      <c r="AJ62" s="138">
        <v>0.37500000000000006</v>
      </c>
      <c r="AK62">
        <f t="shared" si="110"/>
        <v>2.0000000000000001E-4</v>
      </c>
      <c r="AL62" t="s">
        <v>93</v>
      </c>
      <c r="AM62" s="133" t="s">
        <v>85</v>
      </c>
      <c r="BD62" s="143" t="str">
        <f t="shared" si="4"/>
        <v>W12x120</v>
      </c>
      <c r="BE62">
        <v>12.000000000000002</v>
      </c>
      <c r="BF62" s="138">
        <v>120</v>
      </c>
      <c r="BG62" s="138">
        <v>13.12</v>
      </c>
      <c r="BH62" s="138">
        <v>0.71</v>
      </c>
      <c r="BI62" s="138">
        <v>12.32</v>
      </c>
      <c r="BJ62" s="138">
        <v>1.105</v>
      </c>
      <c r="BK62" s="138">
        <v>0.6</v>
      </c>
      <c r="BM62" s="133" t="s">
        <v>85</v>
      </c>
      <c r="CF62" s="150" t="s">
        <v>329</v>
      </c>
      <c r="CG62">
        <v>0.75</v>
      </c>
      <c r="CH62">
        <v>3.5</v>
      </c>
      <c r="CI62" s="151" t="s">
        <v>261</v>
      </c>
      <c r="EH62" s="243">
        <v>62</v>
      </c>
      <c r="EI62" s="244">
        <v>744</v>
      </c>
      <c r="EJ62" s="90">
        <v>36</v>
      </c>
      <c r="EK62" s="90">
        <v>48</v>
      </c>
      <c r="EL62" s="90">
        <v>48</v>
      </c>
      <c r="EM62" s="90">
        <v>48</v>
      </c>
      <c r="EN62" s="90">
        <v>48</v>
      </c>
      <c r="EO62" s="90">
        <v>48</v>
      </c>
      <c r="EP62" s="90">
        <v>48</v>
      </c>
      <c r="EQ62" s="90">
        <v>48</v>
      </c>
      <c r="ER62" s="90">
        <v>48</v>
      </c>
      <c r="ES62" s="90">
        <v>48</v>
      </c>
      <c r="ET62" s="90">
        <v>48</v>
      </c>
      <c r="EU62" s="90">
        <v>48</v>
      </c>
      <c r="EV62" s="90">
        <v>48</v>
      </c>
      <c r="EW62" s="90">
        <v>48</v>
      </c>
      <c r="EX62" s="90">
        <v>48</v>
      </c>
      <c r="EY62" s="90">
        <v>36</v>
      </c>
      <c r="EZ62" s="90"/>
      <c r="FA62" s="224">
        <v>15</v>
      </c>
      <c r="FB62" s="245">
        <f t="shared" si="12"/>
        <v>744</v>
      </c>
      <c r="FD62" s="237">
        <f t="shared" si="108"/>
        <v>62</v>
      </c>
      <c r="FE62" s="246">
        <f t="shared" si="108"/>
        <v>744</v>
      </c>
      <c r="FF62" s="247">
        <f t="shared" si="108"/>
        <v>36</v>
      </c>
      <c r="FG62" s="247">
        <f t="shared" si="108"/>
        <v>48</v>
      </c>
      <c r="FH62" s="247">
        <f t="shared" si="108"/>
        <v>48</v>
      </c>
      <c r="FI62" s="247">
        <f t="shared" si="108"/>
        <v>48</v>
      </c>
      <c r="FJ62" s="247">
        <f t="shared" si="108"/>
        <v>48</v>
      </c>
      <c r="FK62" s="247">
        <f t="shared" si="108"/>
        <v>48</v>
      </c>
      <c r="FL62" s="247">
        <f t="shared" si="108"/>
        <v>48</v>
      </c>
      <c r="FM62" s="247">
        <f t="shared" si="108"/>
        <v>48</v>
      </c>
      <c r="FN62" s="247">
        <f t="shared" si="108"/>
        <v>48</v>
      </c>
      <c r="FO62" s="247">
        <f t="shared" si="113"/>
        <v>48</v>
      </c>
      <c r="FP62" s="247">
        <f t="shared" si="113"/>
        <v>48</v>
      </c>
      <c r="FQ62" s="247">
        <f t="shared" si="113"/>
        <v>48</v>
      </c>
      <c r="FR62" s="247">
        <f t="shared" si="113"/>
        <v>48</v>
      </c>
      <c r="FS62" s="247">
        <f t="shared" si="113"/>
        <v>48</v>
      </c>
      <c r="FT62" s="247">
        <f t="shared" si="105"/>
        <v>48</v>
      </c>
      <c r="FU62" s="247">
        <f t="shared" si="105"/>
        <v>36</v>
      </c>
      <c r="FV62" s="247">
        <f t="shared" si="105"/>
        <v>0</v>
      </c>
      <c r="FW62" s="248">
        <f t="shared" si="105"/>
        <v>15</v>
      </c>
      <c r="FX62" s="241">
        <f t="shared" si="105"/>
        <v>744</v>
      </c>
      <c r="FZ62" s="249">
        <v>62</v>
      </c>
      <c r="GA62" s="244">
        <v>744</v>
      </c>
      <c r="GB62" s="90">
        <v>42</v>
      </c>
      <c r="GC62" s="90">
        <v>60</v>
      </c>
      <c r="GD62" s="90">
        <v>60</v>
      </c>
      <c r="GE62" s="90">
        <v>60</v>
      </c>
      <c r="GF62" s="90">
        <v>60</v>
      </c>
      <c r="GG62" s="90">
        <v>60</v>
      </c>
      <c r="GH62" s="90">
        <v>60</v>
      </c>
      <c r="GI62" s="90">
        <v>60</v>
      </c>
      <c r="GJ62" s="90">
        <v>60</v>
      </c>
      <c r="GK62" s="90">
        <v>60</v>
      </c>
      <c r="GL62" s="90">
        <v>60</v>
      </c>
      <c r="GM62" s="90">
        <v>60</v>
      </c>
      <c r="GN62" s="90">
        <v>42</v>
      </c>
      <c r="GO62" s="90"/>
      <c r="GP62" s="90"/>
      <c r="GQ62" s="90"/>
      <c r="GR62" s="90"/>
      <c r="GS62" s="224">
        <v>12</v>
      </c>
      <c r="GT62" s="245">
        <f t="shared" si="14"/>
        <v>744</v>
      </c>
      <c r="GV62" s="237">
        <f t="shared" si="114"/>
        <v>62</v>
      </c>
      <c r="GW62" s="246">
        <f t="shared" si="114"/>
        <v>744</v>
      </c>
      <c r="GX62" s="247">
        <f t="shared" si="114"/>
        <v>42</v>
      </c>
      <c r="GY62" s="247">
        <f t="shared" si="114"/>
        <v>60</v>
      </c>
      <c r="GZ62" s="247">
        <f t="shared" si="114"/>
        <v>60</v>
      </c>
      <c r="HA62" s="247">
        <f t="shared" si="114"/>
        <v>60</v>
      </c>
      <c r="HB62" s="247">
        <f t="shared" si="114"/>
        <v>60</v>
      </c>
      <c r="HC62" s="247">
        <f t="shared" si="114"/>
        <v>60</v>
      </c>
      <c r="HD62" s="247">
        <f t="shared" si="114"/>
        <v>60</v>
      </c>
      <c r="HE62" s="247">
        <f t="shared" si="114"/>
        <v>60</v>
      </c>
      <c r="HF62" s="247">
        <f t="shared" si="114"/>
        <v>60</v>
      </c>
      <c r="HG62" s="247">
        <f t="shared" si="114"/>
        <v>60</v>
      </c>
      <c r="HH62" s="247">
        <f t="shared" si="114"/>
        <v>60</v>
      </c>
      <c r="HI62" s="247">
        <f t="shared" si="114"/>
        <v>60</v>
      </c>
      <c r="HJ62" s="247">
        <f t="shared" si="114"/>
        <v>42</v>
      </c>
      <c r="HK62" s="247">
        <f t="shared" si="112"/>
        <v>0</v>
      </c>
      <c r="HL62" s="247">
        <f t="shared" si="106"/>
        <v>0</v>
      </c>
      <c r="HM62" s="247">
        <f t="shared" si="10"/>
        <v>0</v>
      </c>
      <c r="HN62" s="247">
        <f t="shared" si="10"/>
        <v>0</v>
      </c>
      <c r="HO62" s="248">
        <f t="shared" si="10"/>
        <v>12</v>
      </c>
      <c r="HP62" s="241">
        <f t="shared" si="10"/>
        <v>744</v>
      </c>
      <c r="HR62" s="243">
        <v>62</v>
      </c>
      <c r="HS62" s="244">
        <v>744</v>
      </c>
      <c r="HT62" s="90">
        <v>48</v>
      </c>
      <c r="HU62" s="90">
        <v>72</v>
      </c>
      <c r="HV62" s="90">
        <v>72</v>
      </c>
      <c r="HW62" s="90">
        <v>72</v>
      </c>
      <c r="HX62" s="90">
        <v>72</v>
      </c>
      <c r="HY62" s="90">
        <v>72</v>
      </c>
      <c r="HZ62" s="90">
        <v>72</v>
      </c>
      <c r="IA62" s="90">
        <v>72</v>
      </c>
      <c r="IB62" s="90">
        <v>72</v>
      </c>
      <c r="IC62" s="90">
        <v>72</v>
      </c>
      <c r="ID62" s="90">
        <v>48</v>
      </c>
      <c r="IE62" s="90"/>
      <c r="IF62" s="90"/>
      <c r="IG62" s="90"/>
      <c r="IH62" s="90"/>
      <c r="II62" s="90" t="s">
        <v>1137</v>
      </c>
      <c r="IJ62" s="90"/>
      <c r="IK62" s="224">
        <v>10</v>
      </c>
      <c r="IL62" s="245">
        <f t="shared" si="16"/>
        <v>744</v>
      </c>
      <c r="IN62" s="243">
        <v>62</v>
      </c>
      <c r="IO62" s="244">
        <v>744</v>
      </c>
      <c r="IP62" s="90">
        <v>78</v>
      </c>
      <c r="IQ62" s="90">
        <v>84</v>
      </c>
      <c r="IR62" s="90">
        <v>84</v>
      </c>
      <c r="IS62" s="90">
        <v>84</v>
      </c>
      <c r="IT62" s="90">
        <v>84</v>
      </c>
      <c r="IU62" s="90">
        <v>84</v>
      </c>
      <c r="IV62" s="90">
        <v>84</v>
      </c>
      <c r="IW62" s="90">
        <v>84</v>
      </c>
      <c r="IX62" s="90">
        <v>78</v>
      </c>
      <c r="IY62" s="90"/>
      <c r="IZ62" s="90"/>
      <c r="JA62" s="90"/>
      <c r="JB62" s="90"/>
      <c r="JC62" s="90"/>
      <c r="JD62" s="90"/>
      <c r="JE62" s="90" t="s">
        <v>1137</v>
      </c>
      <c r="JF62" s="90"/>
      <c r="JG62" s="224">
        <v>8</v>
      </c>
      <c r="JH62" s="245">
        <f t="shared" si="17"/>
        <v>744</v>
      </c>
      <c r="JJ62" s="249">
        <v>62</v>
      </c>
      <c r="JK62" s="244">
        <v>744</v>
      </c>
      <c r="JL62" s="90">
        <v>84</v>
      </c>
      <c r="JM62" s="90">
        <v>96</v>
      </c>
      <c r="JN62" s="90">
        <v>96</v>
      </c>
      <c r="JO62" s="90">
        <v>96</v>
      </c>
      <c r="JP62" s="90">
        <v>96</v>
      </c>
      <c r="JQ62" s="90">
        <v>96</v>
      </c>
      <c r="JR62" s="90">
        <v>96</v>
      </c>
      <c r="JS62" s="90">
        <v>84</v>
      </c>
      <c r="JT62" s="90"/>
      <c r="JU62" s="90"/>
      <c r="JV62" s="90"/>
      <c r="JW62" s="90"/>
      <c r="JX62" s="90"/>
      <c r="JY62" s="90"/>
      <c r="JZ62" s="90"/>
      <c r="KA62" s="90"/>
      <c r="KB62" s="90"/>
      <c r="KC62" s="224">
        <v>7</v>
      </c>
      <c r="KD62" s="245">
        <f t="shared" si="18"/>
        <v>744</v>
      </c>
      <c r="KF62" s="243">
        <v>62</v>
      </c>
      <c r="KG62" s="244">
        <v>744</v>
      </c>
      <c r="KH62" s="90">
        <v>48</v>
      </c>
      <c r="KI62" s="90">
        <v>54</v>
      </c>
      <c r="KJ62" s="90">
        <v>54</v>
      </c>
      <c r="KK62" s="90">
        <v>54</v>
      </c>
      <c r="KL62" s="90">
        <v>54</v>
      </c>
      <c r="KM62" s="90">
        <v>54</v>
      </c>
      <c r="KN62" s="90">
        <v>54</v>
      </c>
      <c r="KO62" s="90">
        <v>54</v>
      </c>
      <c r="KP62" s="90">
        <v>54</v>
      </c>
      <c r="KQ62" s="90">
        <v>54</v>
      </c>
      <c r="KR62" s="90">
        <v>54</v>
      </c>
      <c r="KS62" s="90">
        <v>54</v>
      </c>
      <c r="KT62" s="90">
        <v>54</v>
      </c>
      <c r="KU62" s="90">
        <v>48</v>
      </c>
      <c r="KV62" s="90"/>
      <c r="KW62" s="90" t="s">
        <v>1137</v>
      </c>
      <c r="KX62" s="90"/>
      <c r="KY62" s="224">
        <v>13</v>
      </c>
      <c r="KZ62" s="245">
        <f t="shared" si="19"/>
        <v>744</v>
      </c>
      <c r="LB62" s="237">
        <f t="shared" si="20"/>
        <v>62</v>
      </c>
      <c r="LC62" s="284">
        <f t="shared" si="21"/>
        <v>744</v>
      </c>
      <c r="LD62" s="237">
        <f t="shared" si="22"/>
        <v>48</v>
      </c>
      <c r="LE62" s="237">
        <f t="shared" si="23"/>
        <v>54</v>
      </c>
      <c r="LF62" s="237">
        <f t="shared" si="24"/>
        <v>54</v>
      </c>
      <c r="LG62" s="237">
        <f t="shared" si="25"/>
        <v>54</v>
      </c>
      <c r="LH62" s="237">
        <f t="shared" si="26"/>
        <v>54</v>
      </c>
      <c r="LI62" s="237">
        <f t="shared" si="27"/>
        <v>54</v>
      </c>
      <c r="LJ62" s="237">
        <f t="shared" si="28"/>
        <v>54</v>
      </c>
      <c r="LK62" s="237">
        <f t="shared" si="29"/>
        <v>54</v>
      </c>
      <c r="LL62" s="237">
        <f t="shared" si="30"/>
        <v>54</v>
      </c>
      <c r="LM62" s="237">
        <f t="shared" si="31"/>
        <v>54</v>
      </c>
      <c r="LN62" s="237">
        <f t="shared" si="32"/>
        <v>54</v>
      </c>
      <c r="LO62" s="237">
        <f t="shared" si="33"/>
        <v>54</v>
      </c>
      <c r="LP62" s="237">
        <f t="shared" si="34"/>
        <v>54</v>
      </c>
      <c r="LQ62" s="237">
        <f t="shared" si="35"/>
        <v>48</v>
      </c>
      <c r="LR62" s="237">
        <f t="shared" si="36"/>
        <v>0</v>
      </c>
      <c r="LS62" s="237" t="str">
        <f t="shared" si="37"/>
        <v xml:space="preserve"> </v>
      </c>
      <c r="LT62" s="237">
        <f t="shared" si="38"/>
        <v>0</v>
      </c>
      <c r="LU62" s="285">
        <f t="shared" si="39"/>
        <v>13</v>
      </c>
      <c r="LV62" s="280">
        <f t="shared" si="40"/>
        <v>744</v>
      </c>
      <c r="LX62" s="237">
        <f t="shared" si="41"/>
        <v>62</v>
      </c>
      <c r="LY62" s="284">
        <f t="shared" si="42"/>
        <v>744</v>
      </c>
      <c r="LZ62" s="237">
        <f t="shared" si="43"/>
        <v>48</v>
      </c>
      <c r="MA62" s="237">
        <f t="shared" si="44"/>
        <v>54</v>
      </c>
      <c r="MB62" s="237">
        <f t="shared" si="45"/>
        <v>54</v>
      </c>
      <c r="MC62" s="237">
        <f t="shared" si="46"/>
        <v>54</v>
      </c>
      <c r="MD62" s="237">
        <f t="shared" si="47"/>
        <v>54</v>
      </c>
      <c r="ME62" s="237">
        <f t="shared" si="48"/>
        <v>54</v>
      </c>
      <c r="MF62" s="237">
        <f t="shared" si="49"/>
        <v>54</v>
      </c>
      <c r="MG62" s="237">
        <f t="shared" si="50"/>
        <v>54</v>
      </c>
      <c r="MH62" s="237">
        <f t="shared" si="51"/>
        <v>54</v>
      </c>
      <c r="MI62" s="237">
        <f t="shared" si="52"/>
        <v>54</v>
      </c>
      <c r="MJ62" s="237">
        <f t="shared" si="53"/>
        <v>54</v>
      </c>
      <c r="MK62" s="237">
        <f t="shared" si="54"/>
        <v>54</v>
      </c>
      <c r="ML62" s="237">
        <f t="shared" si="55"/>
        <v>54</v>
      </c>
      <c r="MM62" s="237">
        <f t="shared" si="56"/>
        <v>48</v>
      </c>
      <c r="MN62" s="237">
        <f t="shared" si="57"/>
        <v>0</v>
      </c>
      <c r="MO62" s="237" t="str">
        <f t="shared" si="58"/>
        <v xml:space="preserve"> </v>
      </c>
      <c r="MP62" s="237">
        <f t="shared" si="59"/>
        <v>0</v>
      </c>
      <c r="MQ62" s="285">
        <f t="shared" si="60"/>
        <v>13</v>
      </c>
      <c r="MR62" s="280">
        <f t="shared" si="61"/>
        <v>744</v>
      </c>
      <c r="MT62" s="237">
        <f t="shared" si="62"/>
        <v>62</v>
      </c>
      <c r="MU62" s="284">
        <f t="shared" si="63"/>
        <v>744</v>
      </c>
      <c r="MV62" s="237">
        <f t="shared" si="64"/>
        <v>48</v>
      </c>
      <c r="MW62" s="237">
        <f t="shared" si="65"/>
        <v>54</v>
      </c>
      <c r="MX62" s="237">
        <f t="shared" si="66"/>
        <v>54</v>
      </c>
      <c r="MY62" s="237">
        <f t="shared" si="67"/>
        <v>54</v>
      </c>
      <c r="MZ62" s="237">
        <f t="shared" si="68"/>
        <v>54</v>
      </c>
      <c r="NA62" s="237">
        <f t="shared" si="69"/>
        <v>54</v>
      </c>
      <c r="NB62" s="237">
        <f t="shared" si="70"/>
        <v>54</v>
      </c>
      <c r="NC62" s="237">
        <f t="shared" si="71"/>
        <v>54</v>
      </c>
      <c r="ND62" s="237">
        <f t="shared" si="72"/>
        <v>54</v>
      </c>
      <c r="NE62" s="237">
        <f t="shared" si="73"/>
        <v>54</v>
      </c>
      <c r="NF62" s="237">
        <f t="shared" si="74"/>
        <v>54</v>
      </c>
      <c r="NG62" s="237">
        <f t="shared" si="75"/>
        <v>54</v>
      </c>
      <c r="NH62" s="237">
        <f t="shared" si="76"/>
        <v>54</v>
      </c>
      <c r="NI62" s="237">
        <f t="shared" si="77"/>
        <v>48</v>
      </c>
      <c r="NJ62" s="237">
        <f t="shared" si="78"/>
        <v>0</v>
      </c>
      <c r="NK62" s="237" t="str">
        <f t="shared" si="79"/>
        <v xml:space="preserve"> </v>
      </c>
      <c r="NL62" s="237">
        <f t="shared" si="80"/>
        <v>0</v>
      </c>
      <c r="NM62" s="285">
        <f t="shared" si="81"/>
        <v>13</v>
      </c>
      <c r="NN62" s="280">
        <f t="shared" si="82"/>
        <v>744</v>
      </c>
      <c r="NP62" s="237">
        <f t="shared" si="83"/>
        <v>62</v>
      </c>
      <c r="NQ62" s="284">
        <f t="shared" si="84"/>
        <v>744</v>
      </c>
      <c r="NR62" s="237">
        <f t="shared" si="85"/>
        <v>48</v>
      </c>
      <c r="NS62" s="237">
        <f t="shared" si="86"/>
        <v>54</v>
      </c>
      <c r="NT62" s="237">
        <f t="shared" si="87"/>
        <v>54</v>
      </c>
      <c r="NU62" s="237">
        <f t="shared" si="88"/>
        <v>54</v>
      </c>
      <c r="NV62" s="237">
        <f t="shared" si="89"/>
        <v>54</v>
      </c>
      <c r="NW62" s="237">
        <f t="shared" si="90"/>
        <v>54</v>
      </c>
      <c r="NX62" s="237">
        <f t="shared" si="91"/>
        <v>54</v>
      </c>
      <c r="NY62" s="237">
        <f t="shared" si="92"/>
        <v>54</v>
      </c>
      <c r="NZ62" s="237">
        <f t="shared" si="93"/>
        <v>54</v>
      </c>
      <c r="OA62" s="237">
        <f t="shared" si="94"/>
        <v>54</v>
      </c>
      <c r="OB62" s="237">
        <f t="shared" si="95"/>
        <v>54</v>
      </c>
      <c r="OC62" s="237">
        <f t="shared" si="96"/>
        <v>54</v>
      </c>
      <c r="OD62" s="237">
        <f t="shared" si="97"/>
        <v>54</v>
      </c>
      <c r="OE62" s="237">
        <f t="shared" si="98"/>
        <v>48</v>
      </c>
      <c r="OF62" s="237">
        <f t="shared" si="99"/>
        <v>0</v>
      </c>
      <c r="OG62" s="237" t="str">
        <f t="shared" si="100"/>
        <v xml:space="preserve"> </v>
      </c>
      <c r="OH62" s="237">
        <f t="shared" si="101"/>
        <v>0</v>
      </c>
      <c r="OI62" s="285">
        <f t="shared" si="102"/>
        <v>13</v>
      </c>
      <c r="OJ62" s="280">
        <f t="shared" si="103"/>
        <v>744</v>
      </c>
    </row>
    <row r="63" spans="31:400" x14ac:dyDescent="0.3">
      <c r="AE63" s="127" t="str">
        <f t="shared" si="109"/>
        <v>L3x5x0.4375</v>
      </c>
      <c r="AF63" s="138">
        <v>3.0000000000000004</v>
      </c>
      <c r="AG63" s="138">
        <v>5</v>
      </c>
      <c r="AH63" s="138">
        <v>0.4375</v>
      </c>
      <c r="AI63" s="138">
        <v>0.37500000000000006</v>
      </c>
      <c r="AJ63" s="138">
        <v>0.37500000000000006</v>
      </c>
      <c r="AK63">
        <f t="shared" si="110"/>
        <v>6.269999999999995E-2</v>
      </c>
      <c r="AM63" s="133" t="s">
        <v>85</v>
      </c>
      <c r="BD63" s="143" t="str">
        <f t="shared" si="4"/>
        <v>W12x136</v>
      </c>
      <c r="BE63">
        <v>12.000000000000002</v>
      </c>
      <c r="BF63" s="138">
        <v>136</v>
      </c>
      <c r="BG63" s="138">
        <v>13.41</v>
      </c>
      <c r="BH63" s="138">
        <v>0.79</v>
      </c>
      <c r="BI63" s="138">
        <v>12.4</v>
      </c>
      <c r="BJ63" s="138">
        <v>1.25</v>
      </c>
      <c r="BK63" s="138">
        <v>0.6</v>
      </c>
      <c r="BM63" s="133" t="s">
        <v>85</v>
      </c>
      <c r="CF63" s="150" t="s">
        <v>330</v>
      </c>
      <c r="CG63">
        <v>0.75</v>
      </c>
      <c r="CH63">
        <v>3.5</v>
      </c>
      <c r="CI63" s="151" t="s">
        <v>261</v>
      </c>
      <c r="EH63" s="250">
        <v>63</v>
      </c>
      <c r="EI63" s="251">
        <v>756</v>
      </c>
      <c r="EJ63" s="252">
        <v>42</v>
      </c>
      <c r="EK63" s="252">
        <v>48</v>
      </c>
      <c r="EL63" s="252">
        <v>48</v>
      </c>
      <c r="EM63" s="252">
        <v>48</v>
      </c>
      <c r="EN63" s="252">
        <v>48</v>
      </c>
      <c r="EO63" s="252">
        <v>48</v>
      </c>
      <c r="EP63" s="252">
        <v>48</v>
      </c>
      <c r="EQ63" s="252">
        <v>48</v>
      </c>
      <c r="ER63" s="252">
        <v>48</v>
      </c>
      <c r="ES63" s="252">
        <v>48</v>
      </c>
      <c r="ET63" s="252">
        <v>48</v>
      </c>
      <c r="EU63" s="252">
        <v>48</v>
      </c>
      <c r="EV63" s="252">
        <v>48</v>
      </c>
      <c r="EW63" s="252">
        <v>48</v>
      </c>
      <c r="EX63" s="252">
        <v>48</v>
      </c>
      <c r="EY63" s="252">
        <v>42</v>
      </c>
      <c r="EZ63" s="252"/>
      <c r="FA63" s="253">
        <v>15</v>
      </c>
      <c r="FB63" s="254">
        <f t="shared" si="12"/>
        <v>756</v>
      </c>
      <c r="FD63" s="237">
        <f t="shared" si="108"/>
        <v>63</v>
      </c>
      <c r="FE63" s="246">
        <f t="shared" si="108"/>
        <v>756</v>
      </c>
      <c r="FF63" s="247">
        <f t="shared" si="108"/>
        <v>42</v>
      </c>
      <c r="FG63" s="247">
        <f t="shared" si="108"/>
        <v>48</v>
      </c>
      <c r="FH63" s="247">
        <f t="shared" si="108"/>
        <v>48</v>
      </c>
      <c r="FI63" s="247">
        <f t="shared" si="108"/>
        <v>48</v>
      </c>
      <c r="FJ63" s="247">
        <f t="shared" si="108"/>
        <v>48</v>
      </c>
      <c r="FK63" s="247">
        <f t="shared" si="108"/>
        <v>48</v>
      </c>
      <c r="FL63" s="247">
        <f t="shared" si="108"/>
        <v>48</v>
      </c>
      <c r="FM63" s="247">
        <f t="shared" si="108"/>
        <v>48</v>
      </c>
      <c r="FN63" s="247">
        <f t="shared" si="108"/>
        <v>48</v>
      </c>
      <c r="FO63" s="247">
        <f t="shared" si="113"/>
        <v>48</v>
      </c>
      <c r="FP63" s="247">
        <f t="shared" si="113"/>
        <v>48</v>
      </c>
      <c r="FQ63" s="247">
        <f t="shared" si="113"/>
        <v>48</v>
      </c>
      <c r="FR63" s="247">
        <f t="shared" si="113"/>
        <v>48</v>
      </c>
      <c r="FS63" s="247">
        <f t="shared" si="113"/>
        <v>48</v>
      </c>
      <c r="FT63" s="247">
        <f t="shared" si="105"/>
        <v>48</v>
      </c>
      <c r="FU63" s="247">
        <f t="shared" si="105"/>
        <v>42</v>
      </c>
      <c r="FV63" s="247">
        <f t="shared" si="105"/>
        <v>0</v>
      </c>
      <c r="FW63" s="248">
        <f t="shared" si="105"/>
        <v>15</v>
      </c>
      <c r="FX63" s="241">
        <f t="shared" si="105"/>
        <v>756</v>
      </c>
      <c r="FZ63" s="255">
        <v>63</v>
      </c>
      <c r="GA63" s="251">
        <v>756</v>
      </c>
      <c r="GB63" s="252">
        <v>48</v>
      </c>
      <c r="GC63" s="252">
        <v>60</v>
      </c>
      <c r="GD63" s="252">
        <v>60</v>
      </c>
      <c r="GE63" s="252">
        <v>60</v>
      </c>
      <c r="GF63" s="252">
        <v>60</v>
      </c>
      <c r="GG63" s="252">
        <v>60</v>
      </c>
      <c r="GH63" s="252">
        <v>60</v>
      </c>
      <c r="GI63" s="252">
        <v>60</v>
      </c>
      <c r="GJ63" s="252">
        <v>60</v>
      </c>
      <c r="GK63" s="252">
        <v>60</v>
      </c>
      <c r="GL63" s="252">
        <v>60</v>
      </c>
      <c r="GM63" s="252">
        <v>60</v>
      </c>
      <c r="GN63" s="252">
        <v>48</v>
      </c>
      <c r="GO63" s="252"/>
      <c r="GP63" s="252"/>
      <c r="GQ63" s="252"/>
      <c r="GR63" s="252"/>
      <c r="GS63" s="253">
        <v>12</v>
      </c>
      <c r="GT63" s="254">
        <f t="shared" si="14"/>
        <v>756</v>
      </c>
      <c r="GV63" s="237">
        <f t="shared" si="114"/>
        <v>63</v>
      </c>
      <c r="GW63" s="246">
        <f t="shared" si="114"/>
        <v>756</v>
      </c>
      <c r="GX63" s="247">
        <f t="shared" si="114"/>
        <v>48</v>
      </c>
      <c r="GY63" s="247">
        <f t="shared" si="114"/>
        <v>60</v>
      </c>
      <c r="GZ63" s="247">
        <f t="shared" si="114"/>
        <v>60</v>
      </c>
      <c r="HA63" s="247">
        <f t="shared" si="114"/>
        <v>60</v>
      </c>
      <c r="HB63" s="247">
        <f t="shared" si="114"/>
        <v>60</v>
      </c>
      <c r="HC63" s="247">
        <f t="shared" si="114"/>
        <v>60</v>
      </c>
      <c r="HD63" s="247">
        <f t="shared" si="114"/>
        <v>60</v>
      </c>
      <c r="HE63" s="247">
        <f t="shared" si="114"/>
        <v>60</v>
      </c>
      <c r="HF63" s="247">
        <f t="shared" si="114"/>
        <v>60</v>
      </c>
      <c r="HG63" s="247">
        <f t="shared" si="114"/>
        <v>60</v>
      </c>
      <c r="HH63" s="247">
        <f t="shared" si="114"/>
        <v>60</v>
      </c>
      <c r="HI63" s="247">
        <f t="shared" si="114"/>
        <v>60</v>
      </c>
      <c r="HJ63" s="247">
        <f t="shared" si="114"/>
        <v>48</v>
      </c>
      <c r="HK63" s="247">
        <f t="shared" si="112"/>
        <v>0</v>
      </c>
      <c r="HL63" s="247">
        <f t="shared" si="106"/>
        <v>0</v>
      </c>
      <c r="HM63" s="247">
        <f t="shared" si="10"/>
        <v>0</v>
      </c>
      <c r="HN63" s="247">
        <f t="shared" si="10"/>
        <v>0</v>
      </c>
      <c r="HO63" s="248">
        <f t="shared" si="10"/>
        <v>12</v>
      </c>
      <c r="HP63" s="241">
        <f t="shared" si="10"/>
        <v>756</v>
      </c>
      <c r="HR63" s="250">
        <v>63</v>
      </c>
      <c r="HS63" s="251">
        <v>756</v>
      </c>
      <c r="HT63" s="252">
        <v>54</v>
      </c>
      <c r="HU63" s="252">
        <v>72</v>
      </c>
      <c r="HV63" s="252">
        <v>72</v>
      </c>
      <c r="HW63" s="252">
        <v>72</v>
      </c>
      <c r="HX63" s="252">
        <v>72</v>
      </c>
      <c r="HY63" s="252">
        <v>72</v>
      </c>
      <c r="HZ63" s="252">
        <v>72</v>
      </c>
      <c r="IA63" s="252">
        <v>72</v>
      </c>
      <c r="IB63" s="252">
        <v>72</v>
      </c>
      <c r="IC63" s="252">
        <v>72</v>
      </c>
      <c r="ID63" s="252">
        <v>54</v>
      </c>
      <c r="IE63" s="252"/>
      <c r="IF63" s="252"/>
      <c r="IG63" s="252"/>
      <c r="IH63" s="252"/>
      <c r="II63" s="252"/>
      <c r="IJ63" s="252"/>
      <c r="IK63" s="253">
        <v>10</v>
      </c>
      <c r="IL63" s="254">
        <f>SUM(HT63:ID63)</f>
        <v>756</v>
      </c>
      <c r="IN63" s="250">
        <v>63</v>
      </c>
      <c r="IO63" s="251">
        <v>756</v>
      </c>
      <c r="IP63" s="252">
        <v>84</v>
      </c>
      <c r="IQ63" s="252">
        <v>84</v>
      </c>
      <c r="IR63" s="252">
        <v>84</v>
      </c>
      <c r="IS63" s="252">
        <v>84</v>
      </c>
      <c r="IT63" s="252">
        <v>84</v>
      </c>
      <c r="IU63" s="252">
        <v>84</v>
      </c>
      <c r="IV63" s="252">
        <v>84</v>
      </c>
      <c r="IW63" s="252">
        <v>84</v>
      </c>
      <c r="IX63" s="252">
        <v>84</v>
      </c>
      <c r="IY63" s="252"/>
      <c r="IZ63" s="252"/>
      <c r="JA63" s="252"/>
      <c r="JB63" s="252"/>
      <c r="JC63" s="252"/>
      <c r="JD63" s="252"/>
      <c r="JE63" s="252"/>
      <c r="JF63" s="252"/>
      <c r="JG63" s="253">
        <v>8</v>
      </c>
      <c r="JH63" s="254">
        <f>SUM(IP63:IZ63)</f>
        <v>756</v>
      </c>
      <c r="JJ63" s="255">
        <v>63</v>
      </c>
      <c r="JK63" s="251">
        <v>756</v>
      </c>
      <c r="JL63" s="252">
        <v>90</v>
      </c>
      <c r="JM63" s="252">
        <v>96</v>
      </c>
      <c r="JN63" s="252">
        <v>96</v>
      </c>
      <c r="JO63" s="252">
        <v>96</v>
      </c>
      <c r="JP63" s="252">
        <v>96</v>
      </c>
      <c r="JQ63" s="252">
        <v>96</v>
      </c>
      <c r="JR63" s="252">
        <v>96</v>
      </c>
      <c r="JS63" s="252">
        <v>90</v>
      </c>
      <c r="JT63" s="252"/>
      <c r="JU63" s="252"/>
      <c r="JV63" s="252"/>
      <c r="JW63" s="252"/>
      <c r="JX63" s="252"/>
      <c r="JY63" s="252"/>
      <c r="JZ63" s="252"/>
      <c r="KA63" s="252"/>
      <c r="KB63" s="252"/>
      <c r="KC63" s="253">
        <v>7</v>
      </c>
      <c r="KD63" s="254">
        <f>SUM(JL63:JV63)</f>
        <v>756</v>
      </c>
      <c r="KF63" s="250">
        <v>63</v>
      </c>
      <c r="KG63" s="251">
        <v>756</v>
      </c>
      <c r="KH63" s="252">
        <v>54</v>
      </c>
      <c r="KI63" s="252">
        <v>54</v>
      </c>
      <c r="KJ63" s="252">
        <v>54</v>
      </c>
      <c r="KK63" s="252">
        <v>54</v>
      </c>
      <c r="KL63" s="252">
        <v>54</v>
      </c>
      <c r="KM63" s="252">
        <v>54</v>
      </c>
      <c r="KN63" s="252">
        <v>54</v>
      </c>
      <c r="KO63" s="252">
        <v>54</v>
      </c>
      <c r="KP63" s="252">
        <v>54</v>
      </c>
      <c r="KQ63" s="252">
        <v>54</v>
      </c>
      <c r="KR63" s="252">
        <v>54</v>
      </c>
      <c r="KS63" s="252">
        <v>54</v>
      </c>
      <c r="KT63" s="252">
        <v>54</v>
      </c>
      <c r="KU63" s="252">
        <v>54</v>
      </c>
      <c r="KV63" s="252"/>
      <c r="KW63" s="252" t="s">
        <v>1137</v>
      </c>
      <c r="KX63" s="252"/>
      <c r="KY63" s="253">
        <v>13</v>
      </c>
      <c r="KZ63" s="254">
        <f t="shared" si="19"/>
        <v>756</v>
      </c>
      <c r="LB63" s="237">
        <f t="shared" si="20"/>
        <v>63</v>
      </c>
      <c r="LC63" s="284">
        <f t="shared" si="21"/>
        <v>756</v>
      </c>
      <c r="LD63" s="237">
        <f t="shared" si="22"/>
        <v>54</v>
      </c>
      <c r="LE63" s="237">
        <f t="shared" si="23"/>
        <v>54</v>
      </c>
      <c r="LF63" s="237">
        <f t="shared" si="24"/>
        <v>54</v>
      </c>
      <c r="LG63" s="237">
        <f t="shared" si="25"/>
        <v>54</v>
      </c>
      <c r="LH63" s="237">
        <f t="shared" si="26"/>
        <v>54</v>
      </c>
      <c r="LI63" s="237">
        <f t="shared" si="27"/>
        <v>54</v>
      </c>
      <c r="LJ63" s="237">
        <f t="shared" si="28"/>
        <v>54</v>
      </c>
      <c r="LK63" s="237">
        <f t="shared" si="29"/>
        <v>54</v>
      </c>
      <c r="LL63" s="237">
        <f t="shared" si="30"/>
        <v>54</v>
      </c>
      <c r="LM63" s="237">
        <f t="shared" si="31"/>
        <v>54</v>
      </c>
      <c r="LN63" s="237">
        <f t="shared" si="32"/>
        <v>54</v>
      </c>
      <c r="LO63" s="237">
        <f t="shared" si="33"/>
        <v>54</v>
      </c>
      <c r="LP63" s="237">
        <f t="shared" si="34"/>
        <v>54</v>
      </c>
      <c r="LQ63" s="237">
        <f t="shared" si="35"/>
        <v>54</v>
      </c>
      <c r="LR63" s="237">
        <f t="shared" si="36"/>
        <v>0</v>
      </c>
      <c r="LS63" s="237" t="str">
        <f t="shared" si="37"/>
        <v xml:space="preserve"> </v>
      </c>
      <c r="LT63" s="237">
        <f t="shared" si="38"/>
        <v>0</v>
      </c>
      <c r="LU63" s="285">
        <f t="shared" si="39"/>
        <v>13</v>
      </c>
      <c r="LV63" s="280">
        <f t="shared" si="40"/>
        <v>756</v>
      </c>
      <c r="LX63" s="237">
        <f t="shared" si="41"/>
        <v>63</v>
      </c>
      <c r="LY63" s="284">
        <f t="shared" si="42"/>
        <v>756</v>
      </c>
      <c r="LZ63" s="237">
        <f t="shared" si="43"/>
        <v>54</v>
      </c>
      <c r="MA63" s="237">
        <f t="shared" si="44"/>
        <v>54</v>
      </c>
      <c r="MB63" s="237">
        <f t="shared" si="45"/>
        <v>54</v>
      </c>
      <c r="MC63" s="237">
        <f t="shared" si="46"/>
        <v>54</v>
      </c>
      <c r="MD63" s="237">
        <f t="shared" si="47"/>
        <v>54</v>
      </c>
      <c r="ME63" s="237">
        <f t="shared" si="48"/>
        <v>54</v>
      </c>
      <c r="MF63" s="237">
        <f t="shared" si="49"/>
        <v>54</v>
      </c>
      <c r="MG63" s="237">
        <f t="shared" si="50"/>
        <v>54</v>
      </c>
      <c r="MH63" s="237">
        <f t="shared" si="51"/>
        <v>54</v>
      </c>
      <c r="MI63" s="237">
        <f t="shared" si="52"/>
        <v>54</v>
      </c>
      <c r="MJ63" s="237">
        <f t="shared" si="53"/>
        <v>54</v>
      </c>
      <c r="MK63" s="237">
        <f t="shared" si="54"/>
        <v>54</v>
      </c>
      <c r="ML63" s="237">
        <f t="shared" si="55"/>
        <v>54</v>
      </c>
      <c r="MM63" s="237">
        <f t="shared" si="56"/>
        <v>54</v>
      </c>
      <c r="MN63" s="237">
        <f t="shared" si="57"/>
        <v>0</v>
      </c>
      <c r="MO63" s="237" t="str">
        <f t="shared" si="58"/>
        <v xml:space="preserve"> </v>
      </c>
      <c r="MP63" s="237">
        <f t="shared" si="59"/>
        <v>0</v>
      </c>
      <c r="MQ63" s="285">
        <f t="shared" si="60"/>
        <v>13</v>
      </c>
      <c r="MR63" s="280">
        <f t="shared" si="61"/>
        <v>756</v>
      </c>
      <c r="MT63" s="237">
        <f t="shared" si="62"/>
        <v>63</v>
      </c>
      <c r="MU63" s="284">
        <f t="shared" si="63"/>
        <v>756</v>
      </c>
      <c r="MV63" s="237">
        <f t="shared" si="64"/>
        <v>54</v>
      </c>
      <c r="MW63" s="237">
        <f t="shared" si="65"/>
        <v>54</v>
      </c>
      <c r="MX63" s="237">
        <f t="shared" si="66"/>
        <v>54</v>
      </c>
      <c r="MY63" s="237">
        <f t="shared" si="67"/>
        <v>54</v>
      </c>
      <c r="MZ63" s="237">
        <f t="shared" si="68"/>
        <v>54</v>
      </c>
      <c r="NA63" s="237">
        <f t="shared" si="69"/>
        <v>54</v>
      </c>
      <c r="NB63" s="237">
        <f t="shared" si="70"/>
        <v>54</v>
      </c>
      <c r="NC63" s="237">
        <f t="shared" si="71"/>
        <v>54</v>
      </c>
      <c r="ND63" s="237">
        <f t="shared" si="72"/>
        <v>54</v>
      </c>
      <c r="NE63" s="237">
        <f t="shared" si="73"/>
        <v>54</v>
      </c>
      <c r="NF63" s="237">
        <f t="shared" si="74"/>
        <v>54</v>
      </c>
      <c r="NG63" s="237">
        <f t="shared" si="75"/>
        <v>54</v>
      </c>
      <c r="NH63" s="237">
        <f t="shared" si="76"/>
        <v>54</v>
      </c>
      <c r="NI63" s="237">
        <f t="shared" si="77"/>
        <v>54</v>
      </c>
      <c r="NJ63" s="237">
        <f t="shared" si="78"/>
        <v>0</v>
      </c>
      <c r="NK63" s="237" t="str">
        <f t="shared" si="79"/>
        <v xml:space="preserve"> </v>
      </c>
      <c r="NL63" s="237">
        <f t="shared" si="80"/>
        <v>0</v>
      </c>
      <c r="NM63" s="285">
        <f t="shared" si="81"/>
        <v>13</v>
      </c>
      <c r="NN63" s="280">
        <f t="shared" si="82"/>
        <v>756</v>
      </c>
      <c r="NP63" s="237">
        <f t="shared" si="83"/>
        <v>63</v>
      </c>
      <c r="NQ63" s="284">
        <f t="shared" si="84"/>
        <v>756</v>
      </c>
      <c r="NR63" s="237">
        <f t="shared" si="85"/>
        <v>54</v>
      </c>
      <c r="NS63" s="237">
        <f t="shared" si="86"/>
        <v>54</v>
      </c>
      <c r="NT63" s="237">
        <f t="shared" si="87"/>
        <v>54</v>
      </c>
      <c r="NU63" s="237">
        <f t="shared" si="88"/>
        <v>54</v>
      </c>
      <c r="NV63" s="237">
        <f t="shared" si="89"/>
        <v>54</v>
      </c>
      <c r="NW63" s="237">
        <f t="shared" si="90"/>
        <v>54</v>
      </c>
      <c r="NX63" s="237">
        <f t="shared" si="91"/>
        <v>54</v>
      </c>
      <c r="NY63" s="237">
        <f t="shared" si="92"/>
        <v>54</v>
      </c>
      <c r="NZ63" s="237">
        <f t="shared" si="93"/>
        <v>54</v>
      </c>
      <c r="OA63" s="237">
        <f t="shared" si="94"/>
        <v>54</v>
      </c>
      <c r="OB63" s="237">
        <f t="shared" si="95"/>
        <v>54</v>
      </c>
      <c r="OC63" s="237">
        <f t="shared" si="96"/>
        <v>54</v>
      </c>
      <c r="OD63" s="237">
        <f t="shared" si="97"/>
        <v>54</v>
      </c>
      <c r="OE63" s="237">
        <f t="shared" si="98"/>
        <v>54</v>
      </c>
      <c r="OF63" s="237">
        <f t="shared" si="99"/>
        <v>0</v>
      </c>
      <c r="OG63" s="237" t="str">
        <f t="shared" si="100"/>
        <v xml:space="preserve"> </v>
      </c>
      <c r="OH63" s="237">
        <f t="shared" si="101"/>
        <v>0</v>
      </c>
      <c r="OI63" s="285">
        <f t="shared" si="102"/>
        <v>13</v>
      </c>
      <c r="OJ63" s="280">
        <f t="shared" si="103"/>
        <v>756</v>
      </c>
    </row>
    <row r="64" spans="31:400" x14ac:dyDescent="0.3">
      <c r="AE64" s="127" t="str">
        <f t="shared" si="109"/>
        <v>L3x5x0.5</v>
      </c>
      <c r="AF64" s="138">
        <v>3.0000000000000004</v>
      </c>
      <c r="AG64" s="138">
        <v>5</v>
      </c>
      <c r="AH64" s="138">
        <v>0.5</v>
      </c>
      <c r="AI64" s="138">
        <v>0.37500000000000006</v>
      </c>
      <c r="AJ64" s="138">
        <v>0.37500000000000006</v>
      </c>
      <c r="AK64">
        <f t="shared" si="110"/>
        <v>0.12519999999999995</v>
      </c>
      <c r="AM64" s="133" t="s">
        <v>85</v>
      </c>
      <c r="BD64" s="143" t="str">
        <f t="shared" si="4"/>
        <v>W12x152</v>
      </c>
      <c r="BE64">
        <v>12.000000000000002</v>
      </c>
      <c r="BF64" s="138">
        <v>152</v>
      </c>
      <c r="BG64" s="138">
        <v>13.709999999999999</v>
      </c>
      <c r="BH64" s="138">
        <v>0.87</v>
      </c>
      <c r="BI64" s="138">
        <v>12.48</v>
      </c>
      <c r="BJ64" s="138">
        <v>1.4</v>
      </c>
      <c r="BK64" s="138">
        <v>0.6</v>
      </c>
      <c r="BM64" s="133" t="s">
        <v>85</v>
      </c>
      <c r="CF64" s="150" t="s">
        <v>331</v>
      </c>
      <c r="CG64">
        <v>0.75</v>
      </c>
      <c r="CH64">
        <v>2.5</v>
      </c>
      <c r="CI64" s="151" t="s">
        <v>261</v>
      </c>
      <c r="EH64" s="243">
        <v>64</v>
      </c>
      <c r="EI64" s="244">
        <v>768</v>
      </c>
      <c r="EJ64" s="90">
        <v>48</v>
      </c>
      <c r="EK64" s="90">
        <v>48</v>
      </c>
      <c r="EL64" s="90">
        <v>48</v>
      </c>
      <c r="EM64" s="90">
        <v>48</v>
      </c>
      <c r="EN64" s="90">
        <v>48</v>
      </c>
      <c r="EO64" s="90">
        <v>48</v>
      </c>
      <c r="EP64" s="90">
        <v>48</v>
      </c>
      <c r="EQ64" s="90">
        <v>48</v>
      </c>
      <c r="ER64" s="90">
        <v>48</v>
      </c>
      <c r="ES64" s="90">
        <v>48</v>
      </c>
      <c r="ET64" s="90">
        <v>48</v>
      </c>
      <c r="EU64" s="90">
        <v>48</v>
      </c>
      <c r="EV64" s="90">
        <v>48</v>
      </c>
      <c r="EW64" s="90">
        <v>48</v>
      </c>
      <c r="EX64" s="90">
        <v>48</v>
      </c>
      <c r="EY64" s="90">
        <v>48</v>
      </c>
      <c r="EZ64" s="90"/>
      <c r="FA64" s="224">
        <v>15</v>
      </c>
      <c r="FB64" s="245">
        <f t="shared" si="12"/>
        <v>768</v>
      </c>
      <c r="FD64" s="237">
        <f t="shared" si="108"/>
        <v>64</v>
      </c>
      <c r="FE64" s="246">
        <f t="shared" si="108"/>
        <v>768</v>
      </c>
      <c r="FF64" s="247">
        <f t="shared" si="108"/>
        <v>48</v>
      </c>
      <c r="FG64" s="247">
        <f t="shared" si="108"/>
        <v>48</v>
      </c>
      <c r="FH64" s="247">
        <f t="shared" si="108"/>
        <v>48</v>
      </c>
      <c r="FI64" s="247">
        <f t="shared" si="108"/>
        <v>48</v>
      </c>
      <c r="FJ64" s="247">
        <f t="shared" si="108"/>
        <v>48</v>
      </c>
      <c r="FK64" s="247">
        <f t="shared" si="108"/>
        <v>48</v>
      </c>
      <c r="FL64" s="247">
        <f t="shared" si="108"/>
        <v>48</v>
      </c>
      <c r="FM64" s="247">
        <f t="shared" si="108"/>
        <v>48</v>
      </c>
      <c r="FN64" s="247">
        <f t="shared" si="108"/>
        <v>48</v>
      </c>
      <c r="FO64" s="247">
        <f t="shared" si="113"/>
        <v>48</v>
      </c>
      <c r="FP64" s="247">
        <f t="shared" si="113"/>
        <v>48</v>
      </c>
      <c r="FQ64" s="247">
        <f t="shared" si="113"/>
        <v>48</v>
      </c>
      <c r="FR64" s="247">
        <f t="shared" si="113"/>
        <v>48</v>
      </c>
      <c r="FS64" s="247">
        <f t="shared" si="113"/>
        <v>48</v>
      </c>
      <c r="FT64" s="247">
        <f t="shared" si="105"/>
        <v>48</v>
      </c>
      <c r="FU64" s="247">
        <f t="shared" si="105"/>
        <v>48</v>
      </c>
      <c r="FV64" s="247">
        <f t="shared" si="105"/>
        <v>0</v>
      </c>
      <c r="FW64" s="248">
        <f t="shared" si="105"/>
        <v>15</v>
      </c>
      <c r="FX64" s="241">
        <f t="shared" si="105"/>
        <v>768</v>
      </c>
      <c r="FZ64" s="249">
        <v>64</v>
      </c>
      <c r="GA64" s="244">
        <v>768</v>
      </c>
      <c r="GB64" s="90">
        <v>54</v>
      </c>
      <c r="GC64" s="90">
        <v>60</v>
      </c>
      <c r="GD64" s="90">
        <v>60</v>
      </c>
      <c r="GE64" s="90">
        <v>60</v>
      </c>
      <c r="GF64" s="90">
        <v>60</v>
      </c>
      <c r="GG64" s="90">
        <v>60</v>
      </c>
      <c r="GH64" s="90">
        <v>60</v>
      </c>
      <c r="GI64" s="90">
        <v>60</v>
      </c>
      <c r="GJ64" s="90">
        <v>60</v>
      </c>
      <c r="GK64" s="90">
        <v>60</v>
      </c>
      <c r="GL64" s="90">
        <v>60</v>
      </c>
      <c r="GM64" s="90">
        <v>60</v>
      </c>
      <c r="GN64" s="90">
        <v>54</v>
      </c>
      <c r="GO64" s="90"/>
      <c r="GP64" s="90"/>
      <c r="GQ64" s="90"/>
      <c r="GR64" s="90"/>
      <c r="GS64" s="224">
        <v>12</v>
      </c>
      <c r="GT64" s="245">
        <f t="shared" si="14"/>
        <v>768</v>
      </c>
      <c r="GV64" s="237">
        <f t="shared" si="114"/>
        <v>64</v>
      </c>
      <c r="GW64" s="246">
        <f t="shared" si="114"/>
        <v>768</v>
      </c>
      <c r="GX64" s="247">
        <f t="shared" si="114"/>
        <v>54</v>
      </c>
      <c r="GY64" s="247">
        <f t="shared" si="114"/>
        <v>60</v>
      </c>
      <c r="GZ64" s="247">
        <f t="shared" si="114"/>
        <v>60</v>
      </c>
      <c r="HA64" s="247">
        <f t="shared" si="114"/>
        <v>60</v>
      </c>
      <c r="HB64" s="247">
        <f t="shared" si="114"/>
        <v>60</v>
      </c>
      <c r="HC64" s="247">
        <f t="shared" si="114"/>
        <v>60</v>
      </c>
      <c r="HD64" s="247">
        <f t="shared" si="114"/>
        <v>60</v>
      </c>
      <c r="HE64" s="247">
        <f t="shared" si="114"/>
        <v>60</v>
      </c>
      <c r="HF64" s="247">
        <f t="shared" si="114"/>
        <v>60</v>
      </c>
      <c r="HG64" s="247">
        <f t="shared" si="114"/>
        <v>60</v>
      </c>
      <c r="HH64" s="247">
        <f t="shared" si="114"/>
        <v>60</v>
      </c>
      <c r="HI64" s="247">
        <f t="shared" si="114"/>
        <v>60</v>
      </c>
      <c r="HJ64" s="247">
        <f t="shared" si="114"/>
        <v>54</v>
      </c>
      <c r="HK64" s="247">
        <f t="shared" si="112"/>
        <v>0</v>
      </c>
      <c r="HL64" s="247">
        <f t="shared" si="106"/>
        <v>0</v>
      </c>
      <c r="HM64" s="247">
        <f t="shared" si="10"/>
        <v>0</v>
      </c>
      <c r="HN64" s="247">
        <f t="shared" si="10"/>
        <v>0</v>
      </c>
      <c r="HO64" s="248">
        <f t="shared" si="10"/>
        <v>12</v>
      </c>
      <c r="HP64" s="241">
        <f t="shared" si="10"/>
        <v>768</v>
      </c>
      <c r="HR64" s="243">
        <v>64</v>
      </c>
      <c r="HS64" s="244">
        <v>768</v>
      </c>
      <c r="HT64" s="90">
        <v>60</v>
      </c>
      <c r="HU64" s="90">
        <v>72</v>
      </c>
      <c r="HV64" s="90">
        <v>72</v>
      </c>
      <c r="HW64" s="90">
        <v>72</v>
      </c>
      <c r="HX64" s="90">
        <v>72</v>
      </c>
      <c r="HY64" s="90">
        <v>72</v>
      </c>
      <c r="HZ64" s="90">
        <v>72</v>
      </c>
      <c r="IA64" s="90">
        <v>72</v>
      </c>
      <c r="IB64" s="90">
        <v>72</v>
      </c>
      <c r="IC64" s="90">
        <v>72</v>
      </c>
      <c r="ID64" s="90">
        <v>60</v>
      </c>
      <c r="IE64" s="90"/>
      <c r="IF64" s="90"/>
      <c r="IG64" s="90"/>
      <c r="IH64" s="90"/>
      <c r="II64" s="90"/>
      <c r="IJ64" s="90"/>
      <c r="IK64" s="224">
        <v>10</v>
      </c>
      <c r="IL64" s="245">
        <f>SUM(HT64:ID64)</f>
        <v>768</v>
      </c>
      <c r="IN64" s="243">
        <v>64</v>
      </c>
      <c r="IO64" s="244">
        <v>768</v>
      </c>
      <c r="IP64" s="90">
        <v>48</v>
      </c>
      <c r="IQ64" s="90">
        <v>84</v>
      </c>
      <c r="IR64" s="90">
        <v>84</v>
      </c>
      <c r="IS64" s="90">
        <v>84</v>
      </c>
      <c r="IT64" s="90">
        <v>84</v>
      </c>
      <c r="IU64" s="90">
        <v>84</v>
      </c>
      <c r="IV64" s="90">
        <v>84</v>
      </c>
      <c r="IW64" s="90">
        <v>84</v>
      </c>
      <c r="IX64" s="90">
        <v>84</v>
      </c>
      <c r="IY64" s="90">
        <v>48</v>
      </c>
      <c r="IZ64" s="90"/>
      <c r="JA64" s="90"/>
      <c r="JB64" s="90"/>
      <c r="JC64" s="90"/>
      <c r="JD64" s="90"/>
      <c r="JE64" s="90"/>
      <c r="JF64" s="90"/>
      <c r="JG64" s="224">
        <v>9</v>
      </c>
      <c r="JH64" s="245">
        <f>SUM(IP64:IZ64)</f>
        <v>768</v>
      </c>
      <c r="JJ64" s="249">
        <v>64</v>
      </c>
      <c r="JK64" s="244">
        <v>768</v>
      </c>
      <c r="JL64" s="90">
        <v>96</v>
      </c>
      <c r="JM64" s="90">
        <v>96</v>
      </c>
      <c r="JN64" s="90">
        <v>96</v>
      </c>
      <c r="JO64" s="90">
        <v>96</v>
      </c>
      <c r="JP64" s="90">
        <v>96</v>
      </c>
      <c r="JQ64" s="90">
        <v>96</v>
      </c>
      <c r="JR64" s="90">
        <v>96</v>
      </c>
      <c r="JS64" s="90">
        <v>96</v>
      </c>
      <c r="JT64" s="90"/>
      <c r="JU64" s="90"/>
      <c r="JV64" s="90"/>
      <c r="JW64" s="90"/>
      <c r="JX64" s="90"/>
      <c r="JY64" s="90"/>
      <c r="JZ64" s="90"/>
      <c r="KA64" s="90"/>
      <c r="KB64" s="90"/>
      <c r="KC64" s="224">
        <v>7</v>
      </c>
      <c r="KD64" s="245">
        <f>SUM(JL64:JV64)</f>
        <v>768</v>
      </c>
      <c r="KF64" s="243">
        <v>64</v>
      </c>
      <c r="KG64" s="244">
        <v>768</v>
      </c>
      <c r="KH64" s="90">
        <v>33</v>
      </c>
      <c r="KI64" s="90">
        <v>54</v>
      </c>
      <c r="KJ64" s="90">
        <v>54</v>
      </c>
      <c r="KK64" s="90">
        <v>54</v>
      </c>
      <c r="KL64" s="90">
        <v>54</v>
      </c>
      <c r="KM64" s="90">
        <v>54</v>
      </c>
      <c r="KN64" s="90">
        <v>54</v>
      </c>
      <c r="KO64" s="90">
        <v>54</v>
      </c>
      <c r="KP64" s="90">
        <v>54</v>
      </c>
      <c r="KQ64" s="90">
        <v>54</v>
      </c>
      <c r="KR64" s="90">
        <v>54</v>
      </c>
      <c r="KS64" s="90">
        <v>54</v>
      </c>
      <c r="KT64" s="90">
        <v>54</v>
      </c>
      <c r="KU64" s="90">
        <v>54</v>
      </c>
      <c r="KV64" s="90">
        <v>33</v>
      </c>
      <c r="KW64" s="90" t="s">
        <v>1137</v>
      </c>
      <c r="KX64" s="90"/>
      <c r="KY64" s="224">
        <v>14</v>
      </c>
      <c r="KZ64" s="245">
        <f t="shared" si="19"/>
        <v>768</v>
      </c>
      <c r="LB64" s="237">
        <f t="shared" si="20"/>
        <v>64</v>
      </c>
      <c r="LC64" s="284">
        <f t="shared" si="21"/>
        <v>768</v>
      </c>
      <c r="LD64" s="237">
        <f t="shared" si="22"/>
        <v>33</v>
      </c>
      <c r="LE64" s="237">
        <f t="shared" si="23"/>
        <v>54</v>
      </c>
      <c r="LF64" s="237">
        <f t="shared" si="24"/>
        <v>54</v>
      </c>
      <c r="LG64" s="237">
        <f t="shared" si="25"/>
        <v>54</v>
      </c>
      <c r="LH64" s="237">
        <f t="shared" si="26"/>
        <v>54</v>
      </c>
      <c r="LI64" s="237">
        <f t="shared" si="27"/>
        <v>54</v>
      </c>
      <c r="LJ64" s="237">
        <f t="shared" si="28"/>
        <v>54</v>
      </c>
      <c r="LK64" s="237">
        <f t="shared" si="29"/>
        <v>54</v>
      </c>
      <c r="LL64" s="237">
        <f t="shared" si="30"/>
        <v>54</v>
      </c>
      <c r="LM64" s="237">
        <f t="shared" si="31"/>
        <v>54</v>
      </c>
      <c r="LN64" s="237">
        <f t="shared" si="32"/>
        <v>54</v>
      </c>
      <c r="LO64" s="237">
        <f t="shared" si="33"/>
        <v>54</v>
      </c>
      <c r="LP64" s="237">
        <f t="shared" si="34"/>
        <v>54</v>
      </c>
      <c r="LQ64" s="237">
        <f t="shared" si="35"/>
        <v>54</v>
      </c>
      <c r="LR64" s="237">
        <f t="shared" si="36"/>
        <v>33</v>
      </c>
      <c r="LS64" s="237" t="str">
        <f t="shared" si="37"/>
        <v xml:space="preserve"> </v>
      </c>
      <c r="LT64" s="237">
        <f t="shared" si="38"/>
        <v>0</v>
      </c>
      <c r="LU64" s="285">
        <f t="shared" si="39"/>
        <v>14</v>
      </c>
      <c r="LV64" s="280">
        <f t="shared" si="40"/>
        <v>768</v>
      </c>
      <c r="LX64" s="237">
        <f t="shared" si="41"/>
        <v>64</v>
      </c>
      <c r="LY64" s="284">
        <f t="shared" si="42"/>
        <v>768</v>
      </c>
      <c r="LZ64" s="237">
        <f t="shared" si="43"/>
        <v>33</v>
      </c>
      <c r="MA64" s="237">
        <f t="shared" si="44"/>
        <v>54</v>
      </c>
      <c r="MB64" s="237">
        <f t="shared" si="45"/>
        <v>54</v>
      </c>
      <c r="MC64" s="237">
        <f t="shared" si="46"/>
        <v>54</v>
      </c>
      <c r="MD64" s="237">
        <f t="shared" si="47"/>
        <v>54</v>
      </c>
      <c r="ME64" s="237">
        <f t="shared" si="48"/>
        <v>54</v>
      </c>
      <c r="MF64" s="237">
        <f t="shared" si="49"/>
        <v>54</v>
      </c>
      <c r="MG64" s="237">
        <f t="shared" si="50"/>
        <v>54</v>
      </c>
      <c r="MH64" s="237">
        <f t="shared" si="51"/>
        <v>54</v>
      </c>
      <c r="MI64" s="237">
        <f t="shared" si="52"/>
        <v>54</v>
      </c>
      <c r="MJ64" s="237">
        <f t="shared" si="53"/>
        <v>54</v>
      </c>
      <c r="MK64" s="237">
        <f t="shared" si="54"/>
        <v>54</v>
      </c>
      <c r="ML64" s="237">
        <f t="shared" si="55"/>
        <v>54</v>
      </c>
      <c r="MM64" s="237">
        <f t="shared" si="56"/>
        <v>54</v>
      </c>
      <c r="MN64" s="237">
        <f t="shared" si="57"/>
        <v>33</v>
      </c>
      <c r="MO64" s="237" t="str">
        <f t="shared" si="58"/>
        <v xml:space="preserve"> </v>
      </c>
      <c r="MP64" s="237">
        <f t="shared" si="59"/>
        <v>0</v>
      </c>
      <c r="MQ64" s="285">
        <f t="shared" si="60"/>
        <v>14</v>
      </c>
      <c r="MR64" s="280">
        <f t="shared" si="61"/>
        <v>768</v>
      </c>
      <c r="MT64" s="237">
        <f t="shared" si="62"/>
        <v>64</v>
      </c>
      <c r="MU64" s="284">
        <f t="shared" si="63"/>
        <v>768</v>
      </c>
      <c r="MV64" s="237">
        <f t="shared" si="64"/>
        <v>33</v>
      </c>
      <c r="MW64" s="237">
        <f t="shared" si="65"/>
        <v>54</v>
      </c>
      <c r="MX64" s="237">
        <f t="shared" si="66"/>
        <v>54</v>
      </c>
      <c r="MY64" s="237">
        <f t="shared" si="67"/>
        <v>54</v>
      </c>
      <c r="MZ64" s="237">
        <f t="shared" si="68"/>
        <v>54</v>
      </c>
      <c r="NA64" s="237">
        <f t="shared" si="69"/>
        <v>54</v>
      </c>
      <c r="NB64" s="237">
        <f t="shared" si="70"/>
        <v>54</v>
      </c>
      <c r="NC64" s="237">
        <f t="shared" si="71"/>
        <v>54</v>
      </c>
      <c r="ND64" s="237">
        <f t="shared" si="72"/>
        <v>54</v>
      </c>
      <c r="NE64" s="237">
        <f t="shared" si="73"/>
        <v>54</v>
      </c>
      <c r="NF64" s="237">
        <f t="shared" si="74"/>
        <v>54</v>
      </c>
      <c r="NG64" s="237">
        <f t="shared" si="75"/>
        <v>54</v>
      </c>
      <c r="NH64" s="237">
        <f t="shared" si="76"/>
        <v>54</v>
      </c>
      <c r="NI64" s="237">
        <f t="shared" si="77"/>
        <v>54</v>
      </c>
      <c r="NJ64" s="237">
        <f t="shared" si="78"/>
        <v>33</v>
      </c>
      <c r="NK64" s="237" t="str">
        <f t="shared" si="79"/>
        <v xml:space="preserve"> </v>
      </c>
      <c r="NL64" s="237">
        <f t="shared" si="80"/>
        <v>0</v>
      </c>
      <c r="NM64" s="285">
        <f t="shared" si="81"/>
        <v>14</v>
      </c>
      <c r="NN64" s="280">
        <f t="shared" si="82"/>
        <v>768</v>
      </c>
      <c r="NP64" s="237">
        <f t="shared" si="83"/>
        <v>64</v>
      </c>
      <c r="NQ64" s="284">
        <f t="shared" si="84"/>
        <v>768</v>
      </c>
      <c r="NR64" s="237">
        <f t="shared" si="85"/>
        <v>33</v>
      </c>
      <c r="NS64" s="237">
        <f t="shared" si="86"/>
        <v>54</v>
      </c>
      <c r="NT64" s="237">
        <f t="shared" si="87"/>
        <v>54</v>
      </c>
      <c r="NU64" s="237">
        <f t="shared" si="88"/>
        <v>54</v>
      </c>
      <c r="NV64" s="237">
        <f t="shared" si="89"/>
        <v>54</v>
      </c>
      <c r="NW64" s="237">
        <f t="shared" si="90"/>
        <v>54</v>
      </c>
      <c r="NX64" s="237">
        <f t="shared" si="91"/>
        <v>54</v>
      </c>
      <c r="NY64" s="237">
        <f t="shared" si="92"/>
        <v>54</v>
      </c>
      <c r="NZ64" s="237">
        <f t="shared" si="93"/>
        <v>54</v>
      </c>
      <c r="OA64" s="237">
        <f t="shared" si="94"/>
        <v>54</v>
      </c>
      <c r="OB64" s="237">
        <f t="shared" si="95"/>
        <v>54</v>
      </c>
      <c r="OC64" s="237">
        <f t="shared" si="96"/>
        <v>54</v>
      </c>
      <c r="OD64" s="237">
        <f t="shared" si="97"/>
        <v>54</v>
      </c>
      <c r="OE64" s="237">
        <f t="shared" si="98"/>
        <v>54</v>
      </c>
      <c r="OF64" s="237">
        <f t="shared" si="99"/>
        <v>33</v>
      </c>
      <c r="OG64" s="237" t="str">
        <f t="shared" si="100"/>
        <v xml:space="preserve"> </v>
      </c>
      <c r="OH64" s="237">
        <f t="shared" si="101"/>
        <v>0</v>
      </c>
      <c r="OI64" s="285">
        <f t="shared" si="102"/>
        <v>14</v>
      </c>
      <c r="OJ64" s="280">
        <f t="shared" si="103"/>
        <v>768</v>
      </c>
    </row>
    <row r="65" spans="31:400" ht="15" thickBot="1" x14ac:dyDescent="0.35">
      <c r="AE65" s="127" t="str">
        <f t="shared" si="109"/>
        <v>L3x5x0.625</v>
      </c>
      <c r="AF65" s="138">
        <v>3.0000000000000004</v>
      </c>
      <c r="AG65" s="138">
        <v>5</v>
      </c>
      <c r="AH65" s="138">
        <v>0.625</v>
      </c>
      <c r="AI65" s="138">
        <v>0.37500000000000006</v>
      </c>
      <c r="AJ65" s="138">
        <v>0.37500000000000006</v>
      </c>
      <c r="AK65">
        <f t="shared" si="110"/>
        <v>0.25019999999999992</v>
      </c>
      <c r="AM65" s="133" t="s">
        <v>85</v>
      </c>
      <c r="BD65" s="143" t="str">
        <f t="shared" si="4"/>
        <v>W12x170</v>
      </c>
      <c r="BE65">
        <v>12.000000000000002</v>
      </c>
      <c r="BF65" s="138">
        <v>170</v>
      </c>
      <c r="BG65" s="138">
        <v>14.03</v>
      </c>
      <c r="BH65" s="138">
        <v>0.96</v>
      </c>
      <c r="BI65" s="138">
        <v>12.57</v>
      </c>
      <c r="BJ65" s="138">
        <v>1.56</v>
      </c>
      <c r="BK65" s="138">
        <v>0.6</v>
      </c>
      <c r="BM65" s="133" t="s">
        <v>85</v>
      </c>
      <c r="CF65" s="150" t="s">
        <v>332</v>
      </c>
      <c r="CG65">
        <v>0.75</v>
      </c>
      <c r="CH65">
        <v>2.5</v>
      </c>
      <c r="CI65" s="151" t="s">
        <v>261</v>
      </c>
      <c r="EH65" s="232">
        <v>65</v>
      </c>
      <c r="EI65" s="259">
        <v>780</v>
      </c>
      <c r="EJ65" s="260">
        <v>30</v>
      </c>
      <c r="EK65" s="260">
        <v>48</v>
      </c>
      <c r="EL65" s="260">
        <v>48</v>
      </c>
      <c r="EM65" s="260">
        <v>48</v>
      </c>
      <c r="EN65" s="260">
        <v>48</v>
      </c>
      <c r="EO65" s="260">
        <v>48</v>
      </c>
      <c r="EP65" s="260">
        <v>48</v>
      </c>
      <c r="EQ65" s="260">
        <v>48</v>
      </c>
      <c r="ER65" s="260">
        <v>48</v>
      </c>
      <c r="ES65" s="260">
        <v>48</v>
      </c>
      <c r="ET65" s="260">
        <v>48</v>
      </c>
      <c r="EU65" s="260">
        <v>48</v>
      </c>
      <c r="EV65" s="260">
        <v>48</v>
      </c>
      <c r="EW65" s="260">
        <v>48</v>
      </c>
      <c r="EX65" s="260">
        <v>48</v>
      </c>
      <c r="EY65" s="260">
        <v>48</v>
      </c>
      <c r="EZ65" s="260">
        <v>30</v>
      </c>
      <c r="FA65" s="261">
        <v>16</v>
      </c>
      <c r="FB65" s="236">
        <f t="shared" si="12"/>
        <v>780</v>
      </c>
      <c r="FD65" s="237">
        <f t="shared" si="108"/>
        <v>65</v>
      </c>
      <c r="FE65" s="262">
        <f t="shared" si="108"/>
        <v>780</v>
      </c>
      <c r="FF65" s="263">
        <f t="shared" si="108"/>
        <v>30</v>
      </c>
      <c r="FG65" s="263">
        <f t="shared" si="108"/>
        <v>48</v>
      </c>
      <c r="FH65" s="263">
        <f t="shared" si="108"/>
        <v>48</v>
      </c>
      <c r="FI65" s="263">
        <f t="shared" si="108"/>
        <v>48</v>
      </c>
      <c r="FJ65" s="263">
        <f t="shared" si="108"/>
        <v>48</v>
      </c>
      <c r="FK65" s="263">
        <f t="shared" si="108"/>
        <v>48</v>
      </c>
      <c r="FL65" s="263">
        <f t="shared" si="108"/>
        <v>48</v>
      </c>
      <c r="FM65" s="263">
        <f t="shared" si="108"/>
        <v>48</v>
      </c>
      <c r="FN65" s="263">
        <f t="shared" si="108"/>
        <v>48</v>
      </c>
      <c r="FO65" s="263">
        <f t="shared" si="113"/>
        <v>48</v>
      </c>
      <c r="FP65" s="263">
        <f t="shared" si="113"/>
        <v>48</v>
      </c>
      <c r="FQ65" s="263">
        <f t="shared" si="113"/>
        <v>48</v>
      </c>
      <c r="FR65" s="263">
        <f t="shared" si="113"/>
        <v>48</v>
      </c>
      <c r="FS65" s="263">
        <f t="shared" si="113"/>
        <v>48</v>
      </c>
      <c r="FT65" s="263">
        <f t="shared" si="105"/>
        <v>48</v>
      </c>
      <c r="FU65" s="263">
        <f t="shared" si="105"/>
        <v>48</v>
      </c>
      <c r="FV65" s="263">
        <f t="shared" si="105"/>
        <v>30</v>
      </c>
      <c r="FW65" s="264">
        <f t="shared" si="105"/>
        <v>16</v>
      </c>
      <c r="FX65" s="241">
        <f t="shared" si="105"/>
        <v>780</v>
      </c>
      <c r="FZ65" s="242">
        <v>65</v>
      </c>
      <c r="GA65" s="259">
        <v>780</v>
      </c>
      <c r="GB65" s="260">
        <v>60</v>
      </c>
      <c r="GC65" s="260">
        <v>60</v>
      </c>
      <c r="GD65" s="260">
        <v>60</v>
      </c>
      <c r="GE65" s="260">
        <v>60</v>
      </c>
      <c r="GF65" s="260">
        <v>60</v>
      </c>
      <c r="GG65" s="260">
        <v>60</v>
      </c>
      <c r="GH65" s="260">
        <v>60</v>
      </c>
      <c r="GI65" s="260">
        <v>60</v>
      </c>
      <c r="GJ65" s="260">
        <v>60</v>
      </c>
      <c r="GK65" s="260">
        <v>60</v>
      </c>
      <c r="GL65" s="260">
        <v>60</v>
      </c>
      <c r="GM65" s="260">
        <v>60</v>
      </c>
      <c r="GN65" s="260">
        <v>60</v>
      </c>
      <c r="GO65" s="260"/>
      <c r="GP65" s="260"/>
      <c r="GQ65" s="260"/>
      <c r="GR65" s="260"/>
      <c r="GS65" s="261">
        <v>12</v>
      </c>
      <c r="GT65" s="236">
        <f t="shared" si="14"/>
        <v>780</v>
      </c>
      <c r="GV65" s="237">
        <f t="shared" si="114"/>
        <v>65</v>
      </c>
      <c r="GW65" s="262">
        <f t="shared" si="114"/>
        <v>780</v>
      </c>
      <c r="GX65" s="263">
        <f t="shared" si="114"/>
        <v>60</v>
      </c>
      <c r="GY65" s="263">
        <f t="shared" si="114"/>
        <v>60</v>
      </c>
      <c r="GZ65" s="263">
        <f t="shared" si="114"/>
        <v>60</v>
      </c>
      <c r="HA65" s="263">
        <f t="shared" si="114"/>
        <v>60</v>
      </c>
      <c r="HB65" s="263">
        <f t="shared" si="114"/>
        <v>60</v>
      </c>
      <c r="HC65" s="263">
        <f t="shared" si="114"/>
        <v>60</v>
      </c>
      <c r="HD65" s="263">
        <f t="shared" si="114"/>
        <v>60</v>
      </c>
      <c r="HE65" s="263">
        <f t="shared" si="114"/>
        <v>60</v>
      </c>
      <c r="HF65" s="263">
        <f t="shared" si="114"/>
        <v>60</v>
      </c>
      <c r="HG65" s="263">
        <f t="shared" si="114"/>
        <v>60</v>
      </c>
      <c r="HH65" s="263">
        <f t="shared" si="114"/>
        <v>60</v>
      </c>
      <c r="HI65" s="263">
        <f t="shared" si="114"/>
        <v>60</v>
      </c>
      <c r="HJ65" s="263">
        <f t="shared" si="114"/>
        <v>60</v>
      </c>
      <c r="HK65" s="263">
        <f t="shared" si="112"/>
        <v>0</v>
      </c>
      <c r="HL65" s="263">
        <f t="shared" si="106"/>
        <v>0</v>
      </c>
      <c r="HM65" s="263">
        <f t="shared" si="10"/>
        <v>0</v>
      </c>
      <c r="HN65" s="263">
        <f t="shared" si="10"/>
        <v>0</v>
      </c>
      <c r="HO65" s="264">
        <f t="shared" si="10"/>
        <v>12</v>
      </c>
      <c r="HP65" s="241">
        <f t="shared" si="10"/>
        <v>780</v>
      </c>
      <c r="HR65" s="232">
        <v>65</v>
      </c>
      <c r="HS65" s="259">
        <v>780</v>
      </c>
      <c r="HT65" s="260">
        <v>66</v>
      </c>
      <c r="HU65" s="260">
        <v>72</v>
      </c>
      <c r="HV65" s="260">
        <v>72</v>
      </c>
      <c r="HW65" s="260">
        <v>72</v>
      </c>
      <c r="HX65" s="260">
        <v>72</v>
      </c>
      <c r="HY65" s="260">
        <v>72</v>
      </c>
      <c r="HZ65" s="260">
        <v>72</v>
      </c>
      <c r="IA65" s="260">
        <v>72</v>
      </c>
      <c r="IB65" s="260">
        <v>72</v>
      </c>
      <c r="IC65" s="260">
        <v>72</v>
      </c>
      <c r="ID65" s="260">
        <v>66</v>
      </c>
      <c r="IE65" s="260"/>
      <c r="IF65" s="260"/>
      <c r="IG65" s="260"/>
      <c r="IH65" s="260"/>
      <c r="II65" s="260"/>
      <c r="IJ65" s="260"/>
      <c r="IK65" s="261">
        <v>10</v>
      </c>
      <c r="IL65" s="236">
        <f>SUM(HT65:ID65)</f>
        <v>780</v>
      </c>
      <c r="IN65" s="232">
        <v>65</v>
      </c>
      <c r="IO65" s="259">
        <v>780</v>
      </c>
      <c r="IP65" s="260">
        <v>54</v>
      </c>
      <c r="IQ65" s="260">
        <v>84</v>
      </c>
      <c r="IR65" s="260">
        <v>84</v>
      </c>
      <c r="IS65" s="260">
        <v>84</v>
      </c>
      <c r="IT65" s="260">
        <v>84</v>
      </c>
      <c r="IU65" s="260">
        <v>84</v>
      </c>
      <c r="IV65" s="260">
        <v>84</v>
      </c>
      <c r="IW65" s="260">
        <v>84</v>
      </c>
      <c r="IX65" s="260">
        <v>84</v>
      </c>
      <c r="IY65" s="260">
        <v>54</v>
      </c>
      <c r="IZ65" s="260"/>
      <c r="JA65" s="260"/>
      <c r="JB65" s="260"/>
      <c r="JC65" s="260"/>
      <c r="JD65" s="260"/>
      <c r="JE65" s="260"/>
      <c r="JF65" s="260"/>
      <c r="JG65" s="261">
        <v>9</v>
      </c>
      <c r="JH65" s="236">
        <f>SUM(IP65:IZ65)</f>
        <v>780</v>
      </c>
      <c r="JJ65" s="242">
        <v>65</v>
      </c>
      <c r="JK65" s="259">
        <v>780</v>
      </c>
      <c r="JL65" s="260">
        <v>54</v>
      </c>
      <c r="JM65" s="260">
        <v>96</v>
      </c>
      <c r="JN65" s="260">
        <v>96</v>
      </c>
      <c r="JO65" s="260">
        <v>96</v>
      </c>
      <c r="JP65" s="260">
        <v>96</v>
      </c>
      <c r="JQ65" s="260">
        <v>96</v>
      </c>
      <c r="JR65" s="260">
        <v>96</v>
      </c>
      <c r="JS65" s="260">
        <v>96</v>
      </c>
      <c r="JT65" s="260">
        <v>54</v>
      </c>
      <c r="JU65" s="260"/>
      <c r="JV65" s="260"/>
      <c r="JW65" s="260"/>
      <c r="JX65" s="260"/>
      <c r="JY65" s="260"/>
      <c r="JZ65" s="260"/>
      <c r="KA65" s="260"/>
      <c r="KB65" s="260"/>
      <c r="KC65" s="261">
        <v>8</v>
      </c>
      <c r="KD65" s="236">
        <f>SUM(JL65:JV65)</f>
        <v>780</v>
      </c>
      <c r="KF65" s="232">
        <v>65</v>
      </c>
      <c r="KG65" s="259">
        <v>780</v>
      </c>
      <c r="KH65" s="260">
        <v>39</v>
      </c>
      <c r="KI65" s="260">
        <v>54</v>
      </c>
      <c r="KJ65" s="260">
        <v>54</v>
      </c>
      <c r="KK65" s="260">
        <v>54</v>
      </c>
      <c r="KL65" s="260">
        <v>54</v>
      </c>
      <c r="KM65" s="260">
        <v>54</v>
      </c>
      <c r="KN65" s="260">
        <v>54</v>
      </c>
      <c r="KO65" s="260">
        <v>54</v>
      </c>
      <c r="KP65" s="260">
        <v>54</v>
      </c>
      <c r="KQ65" s="260">
        <v>54</v>
      </c>
      <c r="KR65" s="260">
        <v>54</v>
      </c>
      <c r="KS65" s="260">
        <v>54</v>
      </c>
      <c r="KT65" s="260">
        <v>54</v>
      </c>
      <c r="KU65" s="260">
        <v>54</v>
      </c>
      <c r="KV65" s="260">
        <v>39</v>
      </c>
      <c r="KW65" s="260"/>
      <c r="KX65" s="260"/>
      <c r="KY65" s="261">
        <v>14</v>
      </c>
      <c r="KZ65" s="236">
        <f t="shared" si="19"/>
        <v>780</v>
      </c>
      <c r="LB65" s="237">
        <f t="shared" si="20"/>
        <v>65</v>
      </c>
      <c r="LC65" s="286">
        <f t="shared" si="21"/>
        <v>780</v>
      </c>
      <c r="LD65" s="287">
        <f t="shared" si="22"/>
        <v>39</v>
      </c>
      <c r="LE65" s="287">
        <f t="shared" si="23"/>
        <v>54</v>
      </c>
      <c r="LF65" s="287">
        <f t="shared" si="24"/>
        <v>54</v>
      </c>
      <c r="LG65" s="287">
        <f t="shared" si="25"/>
        <v>54</v>
      </c>
      <c r="LH65" s="287">
        <f t="shared" si="26"/>
        <v>54</v>
      </c>
      <c r="LI65" s="287">
        <f t="shared" si="27"/>
        <v>54</v>
      </c>
      <c r="LJ65" s="287">
        <f t="shared" si="28"/>
        <v>54</v>
      </c>
      <c r="LK65" s="287">
        <f t="shared" si="29"/>
        <v>54</v>
      </c>
      <c r="LL65" s="287">
        <f t="shared" si="30"/>
        <v>54</v>
      </c>
      <c r="LM65" s="287">
        <f t="shared" si="31"/>
        <v>54</v>
      </c>
      <c r="LN65" s="287">
        <f t="shared" si="32"/>
        <v>54</v>
      </c>
      <c r="LO65" s="287">
        <f t="shared" si="33"/>
        <v>54</v>
      </c>
      <c r="LP65" s="287">
        <f t="shared" si="34"/>
        <v>54</v>
      </c>
      <c r="LQ65" s="287">
        <f t="shared" si="35"/>
        <v>54</v>
      </c>
      <c r="LR65" s="287">
        <f t="shared" si="36"/>
        <v>39</v>
      </c>
      <c r="LS65" s="287">
        <f t="shared" si="37"/>
        <v>0</v>
      </c>
      <c r="LT65" s="287">
        <f t="shared" si="38"/>
        <v>0</v>
      </c>
      <c r="LU65" s="288">
        <f t="shared" si="39"/>
        <v>14</v>
      </c>
      <c r="LV65" s="280">
        <f t="shared" si="40"/>
        <v>780</v>
      </c>
      <c r="LX65" s="237">
        <f t="shared" si="41"/>
        <v>65</v>
      </c>
      <c r="LY65" s="286">
        <f t="shared" si="42"/>
        <v>780</v>
      </c>
      <c r="LZ65" s="287">
        <f t="shared" si="43"/>
        <v>39</v>
      </c>
      <c r="MA65" s="287">
        <f t="shared" si="44"/>
        <v>54</v>
      </c>
      <c r="MB65" s="287">
        <f t="shared" si="45"/>
        <v>54</v>
      </c>
      <c r="MC65" s="287">
        <f t="shared" si="46"/>
        <v>54</v>
      </c>
      <c r="MD65" s="287">
        <f t="shared" si="47"/>
        <v>54</v>
      </c>
      <c r="ME65" s="287">
        <f t="shared" si="48"/>
        <v>54</v>
      </c>
      <c r="MF65" s="287">
        <f t="shared" si="49"/>
        <v>54</v>
      </c>
      <c r="MG65" s="287">
        <f t="shared" si="50"/>
        <v>54</v>
      </c>
      <c r="MH65" s="287">
        <f t="shared" si="51"/>
        <v>54</v>
      </c>
      <c r="MI65" s="287">
        <f t="shared" si="52"/>
        <v>54</v>
      </c>
      <c r="MJ65" s="287">
        <f t="shared" si="53"/>
        <v>54</v>
      </c>
      <c r="MK65" s="287">
        <f t="shared" si="54"/>
        <v>54</v>
      </c>
      <c r="ML65" s="287">
        <f t="shared" si="55"/>
        <v>54</v>
      </c>
      <c r="MM65" s="287">
        <f t="shared" si="56"/>
        <v>54</v>
      </c>
      <c r="MN65" s="287">
        <f t="shared" si="57"/>
        <v>39</v>
      </c>
      <c r="MO65" s="287">
        <f t="shared" si="58"/>
        <v>0</v>
      </c>
      <c r="MP65" s="287">
        <f t="shared" si="59"/>
        <v>0</v>
      </c>
      <c r="MQ65" s="288">
        <f t="shared" si="60"/>
        <v>14</v>
      </c>
      <c r="MR65" s="280">
        <f t="shared" si="61"/>
        <v>780</v>
      </c>
      <c r="MT65" s="237">
        <f t="shared" si="62"/>
        <v>65</v>
      </c>
      <c r="MU65" s="286">
        <f t="shared" si="63"/>
        <v>780</v>
      </c>
      <c r="MV65" s="287">
        <f t="shared" si="64"/>
        <v>39</v>
      </c>
      <c r="MW65" s="287">
        <f t="shared" si="65"/>
        <v>54</v>
      </c>
      <c r="MX65" s="287">
        <f t="shared" si="66"/>
        <v>54</v>
      </c>
      <c r="MY65" s="287">
        <f t="shared" si="67"/>
        <v>54</v>
      </c>
      <c r="MZ65" s="287">
        <f t="shared" si="68"/>
        <v>54</v>
      </c>
      <c r="NA65" s="287">
        <f t="shared" si="69"/>
        <v>54</v>
      </c>
      <c r="NB65" s="287">
        <f t="shared" si="70"/>
        <v>54</v>
      </c>
      <c r="NC65" s="287">
        <f t="shared" si="71"/>
        <v>54</v>
      </c>
      <c r="ND65" s="287">
        <f t="shared" si="72"/>
        <v>54</v>
      </c>
      <c r="NE65" s="287">
        <f t="shared" si="73"/>
        <v>54</v>
      </c>
      <c r="NF65" s="287">
        <f t="shared" si="74"/>
        <v>54</v>
      </c>
      <c r="NG65" s="287">
        <f t="shared" si="75"/>
        <v>54</v>
      </c>
      <c r="NH65" s="287">
        <f t="shared" si="76"/>
        <v>54</v>
      </c>
      <c r="NI65" s="287">
        <f t="shared" si="77"/>
        <v>54</v>
      </c>
      <c r="NJ65" s="287">
        <f t="shared" si="78"/>
        <v>39</v>
      </c>
      <c r="NK65" s="287">
        <f t="shared" si="79"/>
        <v>0</v>
      </c>
      <c r="NL65" s="287">
        <f t="shared" si="80"/>
        <v>0</v>
      </c>
      <c r="NM65" s="288">
        <f t="shared" si="81"/>
        <v>14</v>
      </c>
      <c r="NN65" s="280">
        <f t="shared" si="82"/>
        <v>780</v>
      </c>
      <c r="NP65" s="237">
        <f t="shared" si="83"/>
        <v>65</v>
      </c>
      <c r="NQ65" s="286">
        <f t="shared" si="84"/>
        <v>780</v>
      </c>
      <c r="NR65" s="287">
        <f t="shared" si="85"/>
        <v>39</v>
      </c>
      <c r="NS65" s="287">
        <f t="shared" si="86"/>
        <v>54</v>
      </c>
      <c r="NT65" s="287">
        <f t="shared" si="87"/>
        <v>54</v>
      </c>
      <c r="NU65" s="287">
        <f t="shared" si="88"/>
        <v>54</v>
      </c>
      <c r="NV65" s="287">
        <f t="shared" si="89"/>
        <v>54</v>
      </c>
      <c r="NW65" s="287">
        <f t="shared" si="90"/>
        <v>54</v>
      </c>
      <c r="NX65" s="287">
        <f t="shared" si="91"/>
        <v>54</v>
      </c>
      <c r="NY65" s="287">
        <f t="shared" si="92"/>
        <v>54</v>
      </c>
      <c r="NZ65" s="287">
        <f t="shared" si="93"/>
        <v>54</v>
      </c>
      <c r="OA65" s="287">
        <f t="shared" si="94"/>
        <v>54</v>
      </c>
      <c r="OB65" s="287">
        <f t="shared" si="95"/>
        <v>54</v>
      </c>
      <c r="OC65" s="287">
        <f t="shared" si="96"/>
        <v>54</v>
      </c>
      <c r="OD65" s="287">
        <f t="shared" si="97"/>
        <v>54</v>
      </c>
      <c r="OE65" s="287">
        <f t="shared" si="98"/>
        <v>54</v>
      </c>
      <c r="OF65" s="287">
        <f t="shared" si="99"/>
        <v>39</v>
      </c>
      <c r="OG65" s="287">
        <f t="shared" si="100"/>
        <v>0</v>
      </c>
      <c r="OH65" s="287">
        <f t="shared" si="101"/>
        <v>0</v>
      </c>
      <c r="OI65" s="288">
        <f t="shared" si="102"/>
        <v>14</v>
      </c>
      <c r="OJ65" s="280">
        <f t="shared" si="103"/>
        <v>780</v>
      </c>
    </row>
    <row r="66" spans="31:400" ht="15" thickTop="1" x14ac:dyDescent="0.3">
      <c r="AE66" s="127" t="str">
        <f t="shared" si="109"/>
        <v>L3.5x3.5x0.25</v>
      </c>
      <c r="AF66" s="138">
        <v>3.5</v>
      </c>
      <c r="AG66" s="138">
        <v>3.5</v>
      </c>
      <c r="AH66" s="138">
        <v>0.25</v>
      </c>
      <c r="AI66" s="138">
        <v>0.37500000000000006</v>
      </c>
      <c r="AJ66" s="138">
        <v>0.25</v>
      </c>
      <c r="AK66">
        <f t="shared" si="110"/>
        <v>2.0000000000000001E-4</v>
      </c>
      <c r="AL66" t="s">
        <v>106</v>
      </c>
      <c r="AM66" s="133" t="s">
        <v>85</v>
      </c>
      <c r="BD66" s="143" t="str">
        <f t="shared" si="4"/>
        <v>W12x190</v>
      </c>
      <c r="BE66">
        <v>12.000000000000002</v>
      </c>
      <c r="BF66" s="138">
        <v>190</v>
      </c>
      <c r="BG66" s="138">
        <v>14.38</v>
      </c>
      <c r="BH66" s="138">
        <v>1.06</v>
      </c>
      <c r="BI66" s="138">
        <v>12.67</v>
      </c>
      <c r="BJ66" s="138">
        <v>1.7350000000000001</v>
      </c>
      <c r="BK66" s="138">
        <v>0.6</v>
      </c>
      <c r="BM66" s="133" t="s">
        <v>85</v>
      </c>
      <c r="CF66" s="150" t="s">
        <v>333</v>
      </c>
      <c r="CG66">
        <v>0.6875</v>
      </c>
      <c r="CH66">
        <v>1.625</v>
      </c>
      <c r="CI66" s="151" t="s">
        <v>261</v>
      </c>
    </row>
    <row r="67" spans="31:400" x14ac:dyDescent="0.3">
      <c r="AE67" s="127" t="str">
        <f t="shared" si="109"/>
        <v>L3.5x3.5x0.3125</v>
      </c>
      <c r="AF67" s="138">
        <v>3.5</v>
      </c>
      <c r="AG67" s="138">
        <v>3.5</v>
      </c>
      <c r="AH67" s="138">
        <v>0.3125</v>
      </c>
      <c r="AI67" s="138">
        <v>0.37500000000000006</v>
      </c>
      <c r="AJ67" s="138">
        <v>0.3125</v>
      </c>
      <c r="AK67">
        <f t="shared" si="110"/>
        <v>2.0000000000000001E-4</v>
      </c>
      <c r="AM67" s="133" t="s">
        <v>85</v>
      </c>
      <c r="BD67" s="143" t="str">
        <f t="shared" si="4"/>
        <v>W12x210</v>
      </c>
      <c r="BE67">
        <v>12.000000000000002</v>
      </c>
      <c r="BF67" s="138">
        <v>210</v>
      </c>
      <c r="BG67" s="138">
        <v>14.71</v>
      </c>
      <c r="BH67" s="138">
        <v>1.18</v>
      </c>
      <c r="BI67" s="138">
        <v>12.79</v>
      </c>
      <c r="BJ67" s="138">
        <v>1.9</v>
      </c>
      <c r="BK67" s="138">
        <v>0.6</v>
      </c>
      <c r="BM67" s="133" t="s">
        <v>85</v>
      </c>
      <c r="CF67" s="150" t="s">
        <v>334</v>
      </c>
      <c r="CG67">
        <v>0.6875</v>
      </c>
      <c r="CH67">
        <v>1.625</v>
      </c>
      <c r="CI67" s="151" t="s">
        <v>261</v>
      </c>
    </row>
    <row r="68" spans="31:400" x14ac:dyDescent="0.3">
      <c r="AE68" s="127" t="str">
        <f t="shared" ref="AE68:AE99" si="115">CONCATENATE("L",AF68,"x",AG68,"x",AH68)</f>
        <v>L3.5x3.5x0.375</v>
      </c>
      <c r="AF68" s="138">
        <v>3.5</v>
      </c>
      <c r="AG68" s="138">
        <v>3.5</v>
      </c>
      <c r="AH68" s="138">
        <v>0.37500000000000006</v>
      </c>
      <c r="AI68" s="138">
        <v>0.37500000000000006</v>
      </c>
      <c r="AJ68" s="138">
        <v>0.37500000000000006</v>
      </c>
      <c r="AK68">
        <f t="shared" ref="AK68:AK99" si="116">((((SIGN(AH68-AJ68))+1)*(AH68-AJ68))/2)+0.0002</f>
        <v>2.0000000000000001E-4</v>
      </c>
      <c r="AM68" s="133" t="s">
        <v>85</v>
      </c>
      <c r="BD68" s="143" t="str">
        <f t="shared" ref="BD68:BD131" si="117">CONCATENATE("W",BE68,"x",BF68)</f>
        <v>W12x230</v>
      </c>
      <c r="BE68">
        <v>12.000000000000002</v>
      </c>
      <c r="BF68" s="138">
        <v>230</v>
      </c>
      <c r="BG68" s="138">
        <v>15.05</v>
      </c>
      <c r="BH68" s="138">
        <v>1.2849999999999999</v>
      </c>
      <c r="BI68" s="138">
        <v>12.895</v>
      </c>
      <c r="BJ68" s="138">
        <v>2.0699999999999998</v>
      </c>
      <c r="BK68" s="138">
        <v>0.6</v>
      </c>
      <c r="BM68" s="133" t="s">
        <v>85</v>
      </c>
      <c r="CF68" s="150" t="s">
        <v>335</v>
      </c>
      <c r="CG68">
        <v>0.6875</v>
      </c>
      <c r="CH68">
        <v>1.625</v>
      </c>
      <c r="CI68" s="151" t="s">
        <v>261</v>
      </c>
    </row>
    <row r="69" spans="31:400" x14ac:dyDescent="0.3">
      <c r="AE69" s="127" t="str">
        <f t="shared" si="115"/>
        <v>L3.5x3.5x0.4375</v>
      </c>
      <c r="AF69" s="138">
        <v>3.5</v>
      </c>
      <c r="AG69" s="138">
        <v>3.5</v>
      </c>
      <c r="AH69" s="138">
        <v>0.4375</v>
      </c>
      <c r="AI69" s="138">
        <v>0.37500000000000006</v>
      </c>
      <c r="AJ69" s="138">
        <v>0.37500000000000006</v>
      </c>
      <c r="AK69">
        <f t="shared" si="116"/>
        <v>6.269999999999995E-2</v>
      </c>
      <c r="AM69" s="133" t="s">
        <v>85</v>
      </c>
      <c r="BD69" s="143" t="str">
        <f t="shared" si="117"/>
        <v>W12x252</v>
      </c>
      <c r="BE69">
        <v>12.000000000000002</v>
      </c>
      <c r="BF69" s="138">
        <v>251.99999999999997</v>
      </c>
      <c r="BG69" s="138">
        <v>15.41</v>
      </c>
      <c r="BH69" s="138">
        <v>1.395</v>
      </c>
      <c r="BI69" s="138">
        <v>13.005000000000003</v>
      </c>
      <c r="BJ69" s="138">
        <v>2.25</v>
      </c>
      <c r="BK69" s="138">
        <v>0.6</v>
      </c>
      <c r="BM69" s="133" t="s">
        <v>85</v>
      </c>
      <c r="CF69" s="150" t="s">
        <v>604</v>
      </c>
      <c r="CG69" s="156">
        <f>2*SF_Thk</f>
        <v>0.50000000000000178</v>
      </c>
      <c r="CH69" s="156">
        <f>CU16</f>
        <v>27.75</v>
      </c>
      <c r="CI69" s="151" t="s">
        <v>261</v>
      </c>
    </row>
    <row r="70" spans="31:400" ht="15" thickBot="1" x14ac:dyDescent="0.35">
      <c r="AE70" s="127" t="str">
        <f t="shared" si="115"/>
        <v>L3.5x3.5x0.5</v>
      </c>
      <c r="AF70" s="138">
        <v>3.5</v>
      </c>
      <c r="AG70" s="138">
        <v>3.5</v>
      </c>
      <c r="AH70" s="138">
        <v>0.5</v>
      </c>
      <c r="AI70" s="138">
        <v>0.37500000000000006</v>
      </c>
      <c r="AJ70" s="138">
        <v>0.37500000000000006</v>
      </c>
      <c r="AK70">
        <f t="shared" si="116"/>
        <v>0.12519999999999995</v>
      </c>
      <c r="AM70" s="133" t="s">
        <v>85</v>
      </c>
      <c r="BD70" s="143" t="str">
        <f t="shared" si="117"/>
        <v>W12x279</v>
      </c>
      <c r="BE70">
        <v>12.000000000000002</v>
      </c>
      <c r="BF70" s="138">
        <v>279</v>
      </c>
      <c r="BG70" s="138">
        <v>15.850000000000001</v>
      </c>
      <c r="BH70" s="138">
        <v>1.53</v>
      </c>
      <c r="BI70" s="138">
        <v>13.14</v>
      </c>
      <c r="BJ70" s="138">
        <v>2.4700000000000002</v>
      </c>
      <c r="BK70" s="138">
        <v>0.6</v>
      </c>
      <c r="BM70" s="133" t="s">
        <v>85</v>
      </c>
      <c r="CF70" s="153" t="s">
        <v>83</v>
      </c>
      <c r="CG70" s="154"/>
      <c r="CH70" s="154"/>
      <c r="CI70" s="155"/>
    </row>
    <row r="71" spans="31:400" ht="15" thickTop="1" x14ac:dyDescent="0.3">
      <c r="AE71" s="127" t="str">
        <f t="shared" si="115"/>
        <v>L3.5x4x0.25</v>
      </c>
      <c r="AF71" s="138">
        <v>3.5</v>
      </c>
      <c r="AG71" s="138">
        <v>4</v>
      </c>
      <c r="AH71" s="138">
        <v>0.25</v>
      </c>
      <c r="AI71" s="138">
        <v>0.37500000000000006</v>
      </c>
      <c r="AJ71" s="138">
        <v>0.25</v>
      </c>
      <c r="AK71">
        <f t="shared" si="116"/>
        <v>2.0000000000000001E-4</v>
      </c>
      <c r="AM71" s="133" t="s">
        <v>85</v>
      </c>
      <c r="BD71" s="143" t="str">
        <f t="shared" si="117"/>
        <v>W12x305</v>
      </c>
      <c r="BE71">
        <v>12.000000000000002</v>
      </c>
      <c r="BF71" s="138">
        <v>305</v>
      </c>
      <c r="BG71" s="138">
        <v>16.32</v>
      </c>
      <c r="BH71" s="138">
        <v>1.625</v>
      </c>
      <c r="BI71" s="138">
        <v>13.234999999999999</v>
      </c>
      <c r="BJ71" s="138">
        <v>2.7050000000000001</v>
      </c>
      <c r="BK71" s="138">
        <v>0.6</v>
      </c>
      <c r="BM71" s="133" t="s">
        <v>85</v>
      </c>
    </row>
    <row r="72" spans="31:400" x14ac:dyDescent="0.3">
      <c r="AE72" s="127" t="str">
        <f t="shared" si="115"/>
        <v>L3.5x4x0.3125</v>
      </c>
      <c r="AF72" s="138">
        <v>3.5</v>
      </c>
      <c r="AG72" s="138">
        <v>4</v>
      </c>
      <c r="AH72" s="138">
        <v>0.3125</v>
      </c>
      <c r="AI72" s="138">
        <v>0.37500000000000006</v>
      </c>
      <c r="AJ72" s="138">
        <v>0.3125</v>
      </c>
      <c r="AK72">
        <f t="shared" si="116"/>
        <v>2.0000000000000001E-4</v>
      </c>
      <c r="AM72" s="133" t="s">
        <v>85</v>
      </c>
      <c r="BD72" s="143" t="str">
        <f t="shared" si="117"/>
        <v>W12x336</v>
      </c>
      <c r="BE72">
        <v>12.000000000000002</v>
      </c>
      <c r="BF72" s="138">
        <v>336</v>
      </c>
      <c r="BG72" s="138">
        <v>16.82</v>
      </c>
      <c r="BH72" s="138">
        <v>1.7749999999999997</v>
      </c>
      <c r="BI72" s="138">
        <v>13.385</v>
      </c>
      <c r="BJ72" s="138">
        <v>2.9550000000000001</v>
      </c>
      <c r="BK72" s="138">
        <v>0.6</v>
      </c>
      <c r="BM72" s="133" t="s">
        <v>85</v>
      </c>
    </row>
    <row r="73" spans="31:400" x14ac:dyDescent="0.3">
      <c r="AE73" s="127" t="str">
        <f t="shared" si="115"/>
        <v>L3.5x4x0.375</v>
      </c>
      <c r="AF73" s="138">
        <v>3.5</v>
      </c>
      <c r="AG73" s="138">
        <v>4</v>
      </c>
      <c r="AH73" s="138">
        <v>0.37500000000000006</v>
      </c>
      <c r="AI73" s="138">
        <v>0.37500000000000006</v>
      </c>
      <c r="AJ73" s="138">
        <v>0.37500000000000006</v>
      </c>
      <c r="AK73">
        <f t="shared" si="116"/>
        <v>2.0000000000000001E-4</v>
      </c>
      <c r="AM73" s="133" t="s">
        <v>85</v>
      </c>
      <c r="BD73" s="143" t="str">
        <f t="shared" si="117"/>
        <v>W14x22</v>
      </c>
      <c r="BE73">
        <v>14</v>
      </c>
      <c r="BF73" s="138">
        <v>22</v>
      </c>
      <c r="BG73" s="138">
        <v>13.739999999999998</v>
      </c>
      <c r="BH73" s="138">
        <v>0.23</v>
      </c>
      <c r="BI73" s="138">
        <v>5</v>
      </c>
      <c r="BJ73" s="138">
        <v>0.33500000000000002</v>
      </c>
      <c r="BK73" s="138">
        <v>0.4</v>
      </c>
      <c r="BM73" s="133" t="s">
        <v>85</v>
      </c>
    </row>
    <row r="74" spans="31:400" x14ac:dyDescent="0.3">
      <c r="AE74" s="127" t="str">
        <f t="shared" si="115"/>
        <v>L3.5x4x0.4375</v>
      </c>
      <c r="AF74" s="138">
        <v>3.5</v>
      </c>
      <c r="AG74" s="138">
        <v>4</v>
      </c>
      <c r="AH74" s="138">
        <v>0.4375</v>
      </c>
      <c r="AI74" s="138">
        <v>0.37500000000000006</v>
      </c>
      <c r="AJ74" s="138">
        <v>0.37500000000000006</v>
      </c>
      <c r="AK74">
        <f t="shared" si="116"/>
        <v>6.269999999999995E-2</v>
      </c>
      <c r="AM74" s="133" t="s">
        <v>85</v>
      </c>
      <c r="BD74" s="143" t="str">
        <f t="shared" si="117"/>
        <v>W14x26</v>
      </c>
      <c r="BE74">
        <v>14</v>
      </c>
      <c r="BF74" s="138">
        <v>26</v>
      </c>
      <c r="BG74" s="138">
        <v>13.910000000000002</v>
      </c>
      <c r="BH74" s="138">
        <v>0.255</v>
      </c>
      <c r="BI74" s="138">
        <v>5.0250000000000004</v>
      </c>
      <c r="BJ74" s="138">
        <v>0.42</v>
      </c>
      <c r="BK74" s="138">
        <v>0.4</v>
      </c>
      <c r="BM74" s="133" t="s">
        <v>85</v>
      </c>
    </row>
    <row r="75" spans="31:400" x14ac:dyDescent="0.3">
      <c r="AE75" s="127" t="str">
        <f t="shared" si="115"/>
        <v>L3.5x4x0.5</v>
      </c>
      <c r="AF75" s="138">
        <v>3.5</v>
      </c>
      <c r="AG75" s="138">
        <v>4</v>
      </c>
      <c r="AH75" s="138">
        <v>0.5</v>
      </c>
      <c r="AI75" s="138">
        <v>0.37500000000000006</v>
      </c>
      <c r="AJ75" s="138">
        <v>0.37500000000000006</v>
      </c>
      <c r="AK75">
        <f t="shared" si="116"/>
        <v>0.12519999999999995</v>
      </c>
      <c r="AM75" s="133" t="s">
        <v>85</v>
      </c>
      <c r="BD75" s="143" t="str">
        <f t="shared" si="117"/>
        <v>W14x30</v>
      </c>
      <c r="BE75">
        <v>14</v>
      </c>
      <c r="BF75" s="138">
        <v>30</v>
      </c>
      <c r="BG75" s="138">
        <v>13.839999999999998</v>
      </c>
      <c r="BH75" s="138">
        <v>0.27</v>
      </c>
      <c r="BI75" s="138">
        <v>6.73</v>
      </c>
      <c r="BJ75" s="138">
        <v>0.38500000000000001</v>
      </c>
      <c r="BK75" s="138">
        <v>0.4</v>
      </c>
      <c r="BM75" s="133" t="s">
        <v>85</v>
      </c>
    </row>
    <row r="76" spans="31:400" x14ac:dyDescent="0.3">
      <c r="AE76" s="127" t="str">
        <f t="shared" si="115"/>
        <v>L3.5x4x0.625</v>
      </c>
      <c r="AF76" s="138">
        <v>3.5</v>
      </c>
      <c r="AG76" s="138">
        <v>4</v>
      </c>
      <c r="AH76" s="138">
        <v>0.625</v>
      </c>
      <c r="AI76" s="138">
        <v>0.37500000000000006</v>
      </c>
      <c r="AJ76" s="138">
        <v>0.37500000000000006</v>
      </c>
      <c r="AK76">
        <f t="shared" si="116"/>
        <v>0.25019999999999992</v>
      </c>
      <c r="AM76" s="133" t="s">
        <v>85</v>
      </c>
      <c r="BD76" s="143" t="str">
        <f t="shared" si="117"/>
        <v>W14x34</v>
      </c>
      <c r="BE76">
        <v>14</v>
      </c>
      <c r="BF76" s="138">
        <v>34</v>
      </c>
      <c r="BG76" s="138">
        <v>13.98</v>
      </c>
      <c r="BH76" s="138">
        <v>0.28499999999999998</v>
      </c>
      <c r="BI76" s="138">
        <v>6.7450000000000001</v>
      </c>
      <c r="BJ76" s="138">
        <v>0.45500000000000002</v>
      </c>
      <c r="BK76" s="138">
        <v>0.4</v>
      </c>
      <c r="BM76" s="133" t="s">
        <v>85</v>
      </c>
    </row>
    <row r="77" spans="31:400" x14ac:dyDescent="0.3">
      <c r="AE77" s="127" t="str">
        <f t="shared" si="115"/>
        <v>L3.5x5x0.25</v>
      </c>
      <c r="AF77" s="138">
        <v>3.5</v>
      </c>
      <c r="AG77" s="138">
        <v>5</v>
      </c>
      <c r="AH77" s="138">
        <v>0.25</v>
      </c>
      <c r="AI77" s="138">
        <v>0.4375</v>
      </c>
      <c r="AJ77" s="138">
        <v>0.25</v>
      </c>
      <c r="AK77">
        <f t="shared" si="116"/>
        <v>2.0000000000000001E-4</v>
      </c>
      <c r="AM77" s="133" t="s">
        <v>85</v>
      </c>
      <c r="BD77" s="143" t="str">
        <f t="shared" si="117"/>
        <v>W14x38</v>
      </c>
      <c r="BE77">
        <v>14</v>
      </c>
      <c r="BF77" s="138">
        <v>38</v>
      </c>
      <c r="BG77" s="138">
        <v>14.1</v>
      </c>
      <c r="BH77" s="138">
        <v>0.31</v>
      </c>
      <c r="BI77" s="138">
        <v>6.7699999999999987</v>
      </c>
      <c r="BJ77" s="138">
        <v>0.51500000000000001</v>
      </c>
      <c r="BK77" s="138">
        <v>0.4</v>
      </c>
      <c r="BM77" s="133" t="s">
        <v>85</v>
      </c>
    </row>
    <row r="78" spans="31:400" x14ac:dyDescent="0.3">
      <c r="AE78" s="127" t="str">
        <f t="shared" si="115"/>
        <v>L3.5x5x0.3125</v>
      </c>
      <c r="AF78" s="138">
        <v>3.5</v>
      </c>
      <c r="AG78" s="138">
        <v>5</v>
      </c>
      <c r="AH78" s="138">
        <v>0.3125</v>
      </c>
      <c r="AI78" s="138">
        <v>0.4375</v>
      </c>
      <c r="AJ78" s="138">
        <v>0.3125</v>
      </c>
      <c r="AK78">
        <f t="shared" si="116"/>
        <v>2.0000000000000001E-4</v>
      </c>
      <c r="AM78" s="133" t="s">
        <v>85</v>
      </c>
      <c r="BD78" s="143" t="str">
        <f t="shared" si="117"/>
        <v>W14x43</v>
      </c>
      <c r="BE78">
        <v>14</v>
      </c>
      <c r="BF78" s="138">
        <v>43.000000000000007</v>
      </c>
      <c r="BG78" s="138">
        <v>13.66</v>
      </c>
      <c r="BH78" s="138">
        <v>0.30499999999999999</v>
      </c>
      <c r="BI78" s="138">
        <v>7.9950000000000001</v>
      </c>
      <c r="BJ78" s="138">
        <v>0.53</v>
      </c>
      <c r="BK78" s="138">
        <v>0.6</v>
      </c>
      <c r="BM78" s="133" t="s">
        <v>85</v>
      </c>
    </row>
    <row r="79" spans="31:400" x14ac:dyDescent="0.3">
      <c r="AE79" s="127" t="str">
        <f t="shared" si="115"/>
        <v>L3.5x5x0.375</v>
      </c>
      <c r="AF79" s="138">
        <v>3.5</v>
      </c>
      <c r="AG79" s="138">
        <v>5</v>
      </c>
      <c r="AH79" s="138">
        <v>0.37500000000000006</v>
      </c>
      <c r="AI79" s="138">
        <v>0.4375</v>
      </c>
      <c r="AJ79" s="138">
        <v>0.37500000000000006</v>
      </c>
      <c r="AK79">
        <f t="shared" si="116"/>
        <v>2.0000000000000001E-4</v>
      </c>
      <c r="AM79" s="133" t="s">
        <v>85</v>
      </c>
      <c r="BD79" s="143" t="str">
        <f t="shared" si="117"/>
        <v>W14x48</v>
      </c>
      <c r="BE79">
        <v>14</v>
      </c>
      <c r="BF79" s="138">
        <v>48.000000000000007</v>
      </c>
      <c r="BG79" s="138">
        <v>13.79</v>
      </c>
      <c r="BH79" s="138">
        <v>0.33999999999999997</v>
      </c>
      <c r="BI79" s="138">
        <v>8.0299999999999994</v>
      </c>
      <c r="BJ79" s="138">
        <v>0.59499999999999997</v>
      </c>
      <c r="BK79" s="138">
        <v>0.6</v>
      </c>
      <c r="BM79" s="133" t="s">
        <v>85</v>
      </c>
    </row>
    <row r="80" spans="31:400" x14ac:dyDescent="0.3">
      <c r="AE80" s="127" t="str">
        <f t="shared" si="115"/>
        <v>L3.5x5x0.4375</v>
      </c>
      <c r="AF80" s="138">
        <v>3.5</v>
      </c>
      <c r="AG80" s="138">
        <v>5</v>
      </c>
      <c r="AH80" s="138">
        <v>0.4375</v>
      </c>
      <c r="AI80" s="138">
        <v>0.4375</v>
      </c>
      <c r="AJ80" s="138">
        <v>0.4375</v>
      </c>
      <c r="AK80">
        <f t="shared" si="116"/>
        <v>2.0000000000000001E-4</v>
      </c>
      <c r="AM80" s="133" t="s">
        <v>85</v>
      </c>
      <c r="BD80" s="143" t="str">
        <f t="shared" si="117"/>
        <v>W14x53</v>
      </c>
      <c r="BE80">
        <v>14</v>
      </c>
      <c r="BF80" s="138">
        <v>53.000000000000007</v>
      </c>
      <c r="BG80" s="138">
        <v>13.92</v>
      </c>
      <c r="BH80" s="138">
        <v>0.37</v>
      </c>
      <c r="BI80" s="138">
        <v>8.06</v>
      </c>
      <c r="BJ80" s="138">
        <v>0.66</v>
      </c>
      <c r="BK80" s="138">
        <v>0.6</v>
      </c>
      <c r="BM80" s="133" t="s">
        <v>85</v>
      </c>
    </row>
    <row r="81" spans="31:65" x14ac:dyDescent="0.3">
      <c r="AE81" s="127" t="str">
        <f t="shared" si="115"/>
        <v>L3.5x5x0.5</v>
      </c>
      <c r="AF81" s="138">
        <v>3.5</v>
      </c>
      <c r="AG81" s="138">
        <v>5</v>
      </c>
      <c r="AH81" s="138">
        <v>0.5</v>
      </c>
      <c r="AI81" s="138">
        <v>0.4375</v>
      </c>
      <c r="AJ81" s="138">
        <v>0.4375</v>
      </c>
      <c r="AK81">
        <f t="shared" si="116"/>
        <v>6.2700000000000006E-2</v>
      </c>
      <c r="AM81" s="133" t="s">
        <v>85</v>
      </c>
      <c r="BD81" s="143" t="str">
        <f t="shared" si="117"/>
        <v>W14x61</v>
      </c>
      <c r="BE81">
        <v>14</v>
      </c>
      <c r="BF81" s="138">
        <v>61</v>
      </c>
      <c r="BG81" s="138">
        <v>13.89</v>
      </c>
      <c r="BH81" s="138">
        <v>0.37500000000000006</v>
      </c>
      <c r="BI81" s="138">
        <v>9.9949999999999992</v>
      </c>
      <c r="BJ81" s="138">
        <v>0.64499999999999991</v>
      </c>
      <c r="BK81" s="138">
        <v>0.6</v>
      </c>
      <c r="BM81" s="133" t="s">
        <v>85</v>
      </c>
    </row>
    <row r="82" spans="31:65" x14ac:dyDescent="0.3">
      <c r="AE82" s="127" t="str">
        <f t="shared" si="115"/>
        <v>L3.5x5x0.625</v>
      </c>
      <c r="AF82" s="138">
        <v>3.5</v>
      </c>
      <c r="AG82" s="138">
        <v>5</v>
      </c>
      <c r="AH82" s="138">
        <v>0.625</v>
      </c>
      <c r="AI82" s="138">
        <v>0.4375</v>
      </c>
      <c r="AJ82" s="138">
        <v>0.4375</v>
      </c>
      <c r="AK82">
        <f t="shared" si="116"/>
        <v>0.18770000000000001</v>
      </c>
      <c r="AM82" s="133" t="s">
        <v>85</v>
      </c>
      <c r="BD82" s="143" t="str">
        <f t="shared" si="117"/>
        <v>W14x68</v>
      </c>
      <c r="BE82">
        <v>14</v>
      </c>
      <c r="BF82" s="138">
        <v>68</v>
      </c>
      <c r="BG82" s="138">
        <v>14.04</v>
      </c>
      <c r="BH82" s="138">
        <v>0.41500000000000004</v>
      </c>
      <c r="BI82" s="138">
        <v>10.035</v>
      </c>
      <c r="BJ82" s="138">
        <v>0.72</v>
      </c>
      <c r="BK82" s="138">
        <v>0.6</v>
      </c>
      <c r="BM82" s="133" t="s">
        <v>85</v>
      </c>
    </row>
    <row r="83" spans="31:65" x14ac:dyDescent="0.3">
      <c r="AE83" s="127" t="str">
        <f t="shared" si="115"/>
        <v>L3.5x5x0.75</v>
      </c>
      <c r="AF83" s="138">
        <v>3.5</v>
      </c>
      <c r="AG83" s="138">
        <v>5</v>
      </c>
      <c r="AH83" s="138">
        <v>0.75000000000000011</v>
      </c>
      <c r="AI83" s="138">
        <v>0.4375</v>
      </c>
      <c r="AJ83" s="138">
        <v>0.4375</v>
      </c>
      <c r="AK83">
        <f t="shared" si="116"/>
        <v>0.31270000000000009</v>
      </c>
      <c r="AM83" s="133" t="s">
        <v>85</v>
      </c>
      <c r="BD83" s="143" t="str">
        <f t="shared" si="117"/>
        <v>W14x74</v>
      </c>
      <c r="BE83">
        <v>14</v>
      </c>
      <c r="BF83" s="138">
        <v>74</v>
      </c>
      <c r="BG83" s="138">
        <v>14.170000000000002</v>
      </c>
      <c r="BH83" s="138">
        <v>0.44999999999999996</v>
      </c>
      <c r="BI83" s="138">
        <v>10.07</v>
      </c>
      <c r="BJ83" s="138">
        <v>0.78500000000000014</v>
      </c>
      <c r="BK83" s="138">
        <v>0.6</v>
      </c>
      <c r="BM83" s="133" t="s">
        <v>85</v>
      </c>
    </row>
    <row r="84" spans="31:65" x14ac:dyDescent="0.3">
      <c r="AE84" s="127" t="str">
        <f t="shared" si="115"/>
        <v>L3.5x6x0.3125</v>
      </c>
      <c r="AF84" s="138">
        <v>3.5</v>
      </c>
      <c r="AG84" s="138">
        <v>6.0000000000000009</v>
      </c>
      <c r="AH84" s="138">
        <v>0.3125</v>
      </c>
      <c r="AI84" s="138">
        <v>0.5</v>
      </c>
      <c r="AJ84" s="138">
        <v>0.3125</v>
      </c>
      <c r="AK84">
        <f t="shared" si="116"/>
        <v>2.0000000000000001E-4</v>
      </c>
      <c r="AL84" t="s">
        <v>102</v>
      </c>
      <c r="AM84" s="133" t="s">
        <v>85</v>
      </c>
      <c r="BD84" s="143" t="str">
        <f t="shared" si="117"/>
        <v>W14x82</v>
      </c>
      <c r="BE84">
        <v>14</v>
      </c>
      <c r="BF84" s="138">
        <v>82</v>
      </c>
      <c r="BG84" s="138">
        <v>14.31</v>
      </c>
      <c r="BH84" s="138">
        <v>0.51</v>
      </c>
      <c r="BI84" s="138">
        <v>10.130000000000001</v>
      </c>
      <c r="BJ84" s="138">
        <v>0.85499999999999998</v>
      </c>
      <c r="BK84" s="138">
        <v>0.6</v>
      </c>
      <c r="BM84" s="133" t="s">
        <v>85</v>
      </c>
    </row>
    <row r="85" spans="31:65" x14ac:dyDescent="0.3">
      <c r="AE85" s="127" t="str">
        <f t="shared" si="115"/>
        <v>L3.5x6x0.375</v>
      </c>
      <c r="AF85" s="138">
        <v>3.5</v>
      </c>
      <c r="AG85" s="138">
        <v>6.0000000000000009</v>
      </c>
      <c r="AH85" s="138">
        <v>0.37500000000000006</v>
      </c>
      <c r="AI85" s="138">
        <v>0.5</v>
      </c>
      <c r="AJ85" s="138">
        <v>0.37500000000000006</v>
      </c>
      <c r="AK85">
        <f t="shared" si="116"/>
        <v>2.0000000000000001E-4</v>
      </c>
      <c r="AM85" s="133" t="s">
        <v>85</v>
      </c>
      <c r="BD85" s="143" t="str">
        <f t="shared" si="117"/>
        <v>W14x90</v>
      </c>
      <c r="BE85">
        <v>14</v>
      </c>
      <c r="BF85" s="138">
        <v>90</v>
      </c>
      <c r="BG85" s="138">
        <v>14.02</v>
      </c>
      <c r="BH85" s="138">
        <v>0.44</v>
      </c>
      <c r="BI85" s="138">
        <v>14.52</v>
      </c>
      <c r="BJ85" s="138">
        <v>0.71</v>
      </c>
      <c r="BK85" s="138">
        <v>0.6</v>
      </c>
      <c r="BM85" s="133" t="s">
        <v>85</v>
      </c>
    </row>
    <row r="86" spans="31:65" x14ac:dyDescent="0.3">
      <c r="AE86" s="127" t="str">
        <f t="shared" si="115"/>
        <v>L3.5x6x0.5</v>
      </c>
      <c r="AF86" s="138">
        <v>3.5</v>
      </c>
      <c r="AG86" s="138">
        <v>6.0000000000000009</v>
      </c>
      <c r="AH86" s="138">
        <v>0.5</v>
      </c>
      <c r="AI86" s="138">
        <v>0.5</v>
      </c>
      <c r="AJ86" s="138">
        <v>0.5</v>
      </c>
      <c r="AK86">
        <f t="shared" si="116"/>
        <v>2.0000000000000001E-4</v>
      </c>
      <c r="AM86" s="133" t="s">
        <v>85</v>
      </c>
      <c r="BD86" s="143" t="str">
        <f t="shared" si="117"/>
        <v>W14x99</v>
      </c>
      <c r="BE86">
        <v>14</v>
      </c>
      <c r="BF86" s="138">
        <v>98.999999999999986</v>
      </c>
      <c r="BG86" s="138">
        <v>14.16</v>
      </c>
      <c r="BH86" s="138">
        <v>0.48500000000000004</v>
      </c>
      <c r="BI86" s="138">
        <v>14.565</v>
      </c>
      <c r="BJ86" s="138">
        <v>0.78</v>
      </c>
      <c r="BK86" s="138">
        <v>0.6</v>
      </c>
      <c r="BM86" s="133" t="s">
        <v>85</v>
      </c>
    </row>
    <row r="87" spans="31:65" x14ac:dyDescent="0.3">
      <c r="AE87" s="127" t="str">
        <f t="shared" si="115"/>
        <v>L4x4x0.25</v>
      </c>
      <c r="AF87" s="138">
        <v>4</v>
      </c>
      <c r="AG87" s="138">
        <v>4</v>
      </c>
      <c r="AH87" s="138">
        <v>0.25</v>
      </c>
      <c r="AI87" s="138">
        <v>0.37500000000000006</v>
      </c>
      <c r="AJ87" s="138">
        <v>0.25</v>
      </c>
      <c r="AK87">
        <f t="shared" si="116"/>
        <v>2.0000000000000001E-4</v>
      </c>
      <c r="AL87" t="s">
        <v>98</v>
      </c>
      <c r="AM87" s="133" t="s">
        <v>85</v>
      </c>
      <c r="BD87" s="143" t="str">
        <f t="shared" si="117"/>
        <v>W14x109</v>
      </c>
      <c r="BE87">
        <v>14</v>
      </c>
      <c r="BF87" s="138">
        <v>108.99999999999999</v>
      </c>
      <c r="BG87" s="138">
        <v>14.32</v>
      </c>
      <c r="BH87" s="138">
        <v>0.52500000000000002</v>
      </c>
      <c r="BI87" s="138">
        <v>14.605</v>
      </c>
      <c r="BJ87" s="138">
        <v>0.86</v>
      </c>
      <c r="BK87" s="138">
        <v>0.6</v>
      </c>
      <c r="BM87" s="133" t="s">
        <v>85</v>
      </c>
    </row>
    <row r="88" spans="31:65" x14ac:dyDescent="0.3">
      <c r="AE88" s="127" t="str">
        <f t="shared" si="115"/>
        <v>L4x4x0.3125</v>
      </c>
      <c r="AF88" s="138">
        <v>4</v>
      </c>
      <c r="AG88" s="138">
        <v>4</v>
      </c>
      <c r="AH88" s="138">
        <v>0.3125</v>
      </c>
      <c r="AI88" s="138">
        <v>0.37500000000000006</v>
      </c>
      <c r="AJ88" s="138">
        <v>0.3125</v>
      </c>
      <c r="AK88">
        <f t="shared" si="116"/>
        <v>2.0000000000000001E-4</v>
      </c>
      <c r="AL88" t="s">
        <v>97</v>
      </c>
      <c r="AM88" s="133" t="s">
        <v>85</v>
      </c>
      <c r="BD88" s="143" t="str">
        <f t="shared" si="117"/>
        <v>W14x120</v>
      </c>
      <c r="BE88">
        <v>14</v>
      </c>
      <c r="BF88" s="138">
        <v>120</v>
      </c>
      <c r="BG88" s="138">
        <v>14.48</v>
      </c>
      <c r="BH88" s="138">
        <v>0.59</v>
      </c>
      <c r="BI88" s="138">
        <v>14.67</v>
      </c>
      <c r="BJ88" s="138">
        <v>0.94</v>
      </c>
      <c r="BK88" s="138">
        <v>0.6</v>
      </c>
      <c r="BM88" s="133" t="s">
        <v>85</v>
      </c>
    </row>
    <row r="89" spans="31:65" x14ac:dyDescent="0.3">
      <c r="AE89" s="127" t="str">
        <f t="shared" si="115"/>
        <v>L4x4x0.375</v>
      </c>
      <c r="AF89" s="138">
        <v>4</v>
      </c>
      <c r="AG89" s="138">
        <v>4</v>
      </c>
      <c r="AH89" s="138">
        <v>0.37500000000000006</v>
      </c>
      <c r="AI89" s="138">
        <v>0.37500000000000006</v>
      </c>
      <c r="AJ89" s="138">
        <v>0.37500000000000006</v>
      </c>
      <c r="AK89">
        <f t="shared" si="116"/>
        <v>2.0000000000000001E-4</v>
      </c>
      <c r="AL89" t="s">
        <v>96</v>
      </c>
      <c r="AM89" s="133" t="s">
        <v>85</v>
      </c>
      <c r="BD89" s="143" t="str">
        <f t="shared" si="117"/>
        <v>W14x132</v>
      </c>
      <c r="BE89">
        <v>14</v>
      </c>
      <c r="BF89" s="138">
        <v>132</v>
      </c>
      <c r="BG89" s="138">
        <v>14.66</v>
      </c>
      <c r="BH89" s="138">
        <v>0.64499999999999991</v>
      </c>
      <c r="BI89" s="138">
        <v>14.725</v>
      </c>
      <c r="BJ89" s="138">
        <v>1.03</v>
      </c>
      <c r="BK89" s="138">
        <v>0.6</v>
      </c>
      <c r="BM89" s="133" t="s">
        <v>85</v>
      </c>
    </row>
    <row r="90" spans="31:65" x14ac:dyDescent="0.3">
      <c r="AE90" s="127" t="str">
        <f t="shared" si="115"/>
        <v>L4x4x0.4375</v>
      </c>
      <c r="AF90" s="138">
        <v>4</v>
      </c>
      <c r="AG90" s="138">
        <v>4</v>
      </c>
      <c r="AH90" s="138">
        <v>0.4375</v>
      </c>
      <c r="AI90" s="138">
        <v>0.37500000000000006</v>
      </c>
      <c r="AJ90" s="138">
        <v>0.37500000000000006</v>
      </c>
      <c r="AK90">
        <f t="shared" si="116"/>
        <v>6.269999999999995E-2</v>
      </c>
      <c r="AM90" s="133" t="s">
        <v>85</v>
      </c>
      <c r="BD90" s="143" t="str">
        <f t="shared" si="117"/>
        <v>W14x145</v>
      </c>
      <c r="BE90">
        <v>14</v>
      </c>
      <c r="BF90" s="138">
        <v>145</v>
      </c>
      <c r="BG90" s="138">
        <v>14.78</v>
      </c>
      <c r="BH90" s="138">
        <v>0.67999999999999994</v>
      </c>
      <c r="BI90" s="138">
        <v>15.5</v>
      </c>
      <c r="BJ90" s="138">
        <v>1.0900000000000001</v>
      </c>
      <c r="BK90" s="138">
        <v>0.6</v>
      </c>
      <c r="BM90" s="133" t="s">
        <v>85</v>
      </c>
    </row>
    <row r="91" spans="31:65" x14ac:dyDescent="0.3">
      <c r="AE91" s="127" t="str">
        <f t="shared" si="115"/>
        <v>L4x4x0.5</v>
      </c>
      <c r="AF91" s="138">
        <v>4</v>
      </c>
      <c r="AG91" s="138">
        <v>4</v>
      </c>
      <c r="AH91" s="138">
        <v>0.5</v>
      </c>
      <c r="AI91" s="138">
        <v>0.37500000000000006</v>
      </c>
      <c r="AJ91" s="138">
        <v>0.37500000000000006</v>
      </c>
      <c r="AK91">
        <f t="shared" si="116"/>
        <v>0.12519999999999995</v>
      </c>
      <c r="AL91" t="s">
        <v>95</v>
      </c>
      <c r="AM91" s="133" t="s">
        <v>85</v>
      </c>
      <c r="BD91" s="143" t="str">
        <f t="shared" si="117"/>
        <v>W14x159</v>
      </c>
      <c r="BE91">
        <v>14</v>
      </c>
      <c r="BF91" s="138">
        <v>159</v>
      </c>
      <c r="BG91" s="138">
        <v>14.98</v>
      </c>
      <c r="BH91" s="138">
        <v>0.745</v>
      </c>
      <c r="BI91" s="138">
        <v>15.564999999999998</v>
      </c>
      <c r="BJ91" s="138">
        <v>1.19</v>
      </c>
      <c r="BK91" s="138">
        <v>0.6</v>
      </c>
      <c r="BM91" s="133" t="s">
        <v>85</v>
      </c>
    </row>
    <row r="92" spans="31:65" x14ac:dyDescent="0.3">
      <c r="AE92" s="127" t="str">
        <f t="shared" si="115"/>
        <v>L4x4x0.625</v>
      </c>
      <c r="AF92" s="138">
        <v>4</v>
      </c>
      <c r="AG92" s="138">
        <v>4</v>
      </c>
      <c r="AH92" s="138">
        <v>0.625</v>
      </c>
      <c r="AI92" s="138">
        <v>0.37500000000000006</v>
      </c>
      <c r="AJ92" s="138">
        <v>0.37500000000000006</v>
      </c>
      <c r="AK92">
        <f t="shared" si="116"/>
        <v>0.25019999999999992</v>
      </c>
      <c r="AM92" s="133" t="s">
        <v>85</v>
      </c>
      <c r="BD92" s="143" t="str">
        <f t="shared" si="117"/>
        <v>W14x176</v>
      </c>
      <c r="BE92">
        <v>14</v>
      </c>
      <c r="BF92" s="138">
        <v>176</v>
      </c>
      <c r="BG92" s="138">
        <v>15.22</v>
      </c>
      <c r="BH92" s="138">
        <v>0.83000000000000007</v>
      </c>
      <c r="BI92" s="138">
        <v>15.649999999999999</v>
      </c>
      <c r="BJ92" s="138">
        <v>1.31</v>
      </c>
      <c r="BK92" s="138">
        <v>0.6</v>
      </c>
      <c r="BM92" s="133" t="s">
        <v>85</v>
      </c>
    </row>
    <row r="93" spans="31:65" x14ac:dyDescent="0.3">
      <c r="AE93" s="127" t="str">
        <f t="shared" si="115"/>
        <v>L4x4x0.75</v>
      </c>
      <c r="AF93" s="138">
        <v>4</v>
      </c>
      <c r="AG93" s="138">
        <v>4</v>
      </c>
      <c r="AH93" s="138">
        <v>0.75000000000000011</v>
      </c>
      <c r="AI93" s="138">
        <v>0.37500000000000006</v>
      </c>
      <c r="AJ93" s="138">
        <v>0.37500000000000006</v>
      </c>
      <c r="AK93">
        <f t="shared" si="116"/>
        <v>0.37520000000000003</v>
      </c>
      <c r="AM93" s="133" t="s">
        <v>85</v>
      </c>
      <c r="BD93" s="143" t="str">
        <f t="shared" si="117"/>
        <v>W14x193</v>
      </c>
      <c r="BE93">
        <v>14</v>
      </c>
      <c r="BF93" s="138">
        <v>193</v>
      </c>
      <c r="BG93" s="138">
        <v>15.48</v>
      </c>
      <c r="BH93" s="138">
        <v>0.89</v>
      </c>
      <c r="BI93" s="138">
        <v>15.71</v>
      </c>
      <c r="BJ93" s="138">
        <v>1.44</v>
      </c>
      <c r="BK93" s="138">
        <v>0.6</v>
      </c>
      <c r="BM93" s="133" t="s">
        <v>85</v>
      </c>
    </row>
    <row r="94" spans="31:65" x14ac:dyDescent="0.3">
      <c r="AE94" s="127" t="str">
        <f t="shared" si="115"/>
        <v>L4x6x0.3125</v>
      </c>
      <c r="AF94" s="138">
        <v>4</v>
      </c>
      <c r="AG94" s="138">
        <v>6.0000000000000009</v>
      </c>
      <c r="AH94" s="138">
        <v>0.3125</v>
      </c>
      <c r="AI94" s="138">
        <v>0.5</v>
      </c>
      <c r="AJ94" s="138">
        <v>0.3125</v>
      </c>
      <c r="AK94">
        <f t="shared" si="116"/>
        <v>2.0000000000000001E-4</v>
      </c>
      <c r="AM94" s="133" t="s">
        <v>85</v>
      </c>
      <c r="BD94" s="143" t="str">
        <f t="shared" si="117"/>
        <v>W14x211</v>
      </c>
      <c r="BE94">
        <v>14</v>
      </c>
      <c r="BF94" s="138">
        <v>211</v>
      </c>
      <c r="BG94" s="138">
        <v>15.720000000000002</v>
      </c>
      <c r="BH94" s="138">
        <v>0.98</v>
      </c>
      <c r="BI94" s="138">
        <v>15.8</v>
      </c>
      <c r="BJ94" s="138">
        <v>1.56</v>
      </c>
      <c r="BK94" s="138">
        <v>0.6</v>
      </c>
      <c r="BM94" s="133" t="s">
        <v>85</v>
      </c>
    </row>
    <row r="95" spans="31:65" x14ac:dyDescent="0.3">
      <c r="AE95" s="127" t="str">
        <f t="shared" si="115"/>
        <v>L4x6x0.375</v>
      </c>
      <c r="AF95" s="138">
        <v>4</v>
      </c>
      <c r="AG95" s="138">
        <v>6.0000000000000009</v>
      </c>
      <c r="AH95" s="138">
        <v>0.37500000000000006</v>
      </c>
      <c r="AI95" s="138">
        <v>0.5</v>
      </c>
      <c r="AJ95" s="138">
        <v>0.37500000000000006</v>
      </c>
      <c r="AK95">
        <f t="shared" si="116"/>
        <v>2.0000000000000001E-4</v>
      </c>
      <c r="AL95" t="s">
        <v>101</v>
      </c>
      <c r="AM95" s="133" t="s">
        <v>85</v>
      </c>
      <c r="BD95" s="143" t="str">
        <f t="shared" si="117"/>
        <v>W14x233</v>
      </c>
      <c r="BE95">
        <v>14</v>
      </c>
      <c r="BF95" s="138">
        <v>233</v>
      </c>
      <c r="BG95" s="138">
        <v>16.04</v>
      </c>
      <c r="BH95" s="138">
        <v>1.07</v>
      </c>
      <c r="BI95" s="138">
        <v>15.89</v>
      </c>
      <c r="BJ95" s="138">
        <v>1.72</v>
      </c>
      <c r="BK95" s="138">
        <v>0.6</v>
      </c>
      <c r="BM95" s="133" t="s">
        <v>85</v>
      </c>
    </row>
    <row r="96" spans="31:65" x14ac:dyDescent="0.3">
      <c r="AE96" s="127" t="str">
        <f t="shared" si="115"/>
        <v>L4x6x0.4375</v>
      </c>
      <c r="AF96" s="138">
        <v>4</v>
      </c>
      <c r="AG96" s="138">
        <v>6.0000000000000009</v>
      </c>
      <c r="AH96" s="138">
        <v>0.4375</v>
      </c>
      <c r="AI96" s="138">
        <v>0.5</v>
      </c>
      <c r="AJ96" s="138">
        <v>0.4375</v>
      </c>
      <c r="AK96">
        <f t="shared" si="116"/>
        <v>2.0000000000000001E-4</v>
      </c>
      <c r="AM96" s="133" t="s">
        <v>85</v>
      </c>
      <c r="BD96" s="143" t="str">
        <f t="shared" si="117"/>
        <v>W14x257</v>
      </c>
      <c r="BE96">
        <v>14</v>
      </c>
      <c r="BF96" s="138">
        <v>257</v>
      </c>
      <c r="BG96" s="138">
        <v>16.38</v>
      </c>
      <c r="BH96" s="138">
        <v>1.175</v>
      </c>
      <c r="BI96" s="138">
        <v>15.995000000000001</v>
      </c>
      <c r="BJ96" s="138">
        <v>1.8899999999999997</v>
      </c>
      <c r="BK96" s="138">
        <v>0.6</v>
      </c>
      <c r="BM96" s="133" t="s">
        <v>85</v>
      </c>
    </row>
    <row r="97" spans="31:65" x14ac:dyDescent="0.3">
      <c r="AE97" s="127" t="str">
        <f t="shared" si="115"/>
        <v>L4x6x0.5</v>
      </c>
      <c r="AF97" s="138">
        <v>4</v>
      </c>
      <c r="AG97" s="138">
        <v>6.0000000000000009</v>
      </c>
      <c r="AH97" s="138">
        <v>0.5</v>
      </c>
      <c r="AI97" s="138">
        <v>0.5</v>
      </c>
      <c r="AJ97" s="138">
        <v>0.5</v>
      </c>
      <c r="AK97">
        <f t="shared" si="116"/>
        <v>2.0000000000000001E-4</v>
      </c>
      <c r="AL97" t="s">
        <v>100</v>
      </c>
      <c r="AM97" s="133" t="s">
        <v>85</v>
      </c>
      <c r="BD97" s="143" t="str">
        <f t="shared" si="117"/>
        <v>W14x283</v>
      </c>
      <c r="BE97">
        <v>14</v>
      </c>
      <c r="BF97" s="138">
        <v>283</v>
      </c>
      <c r="BG97" s="138">
        <v>16.739999999999998</v>
      </c>
      <c r="BH97" s="138">
        <v>1.2899999999999998</v>
      </c>
      <c r="BI97" s="138">
        <v>16.11</v>
      </c>
      <c r="BJ97" s="138">
        <v>2.0699999999999998</v>
      </c>
      <c r="BK97" s="138">
        <v>0.6</v>
      </c>
      <c r="BM97" s="133" t="s">
        <v>85</v>
      </c>
    </row>
    <row r="98" spans="31:65" x14ac:dyDescent="0.3">
      <c r="AE98" s="127" t="str">
        <f t="shared" si="115"/>
        <v>L4x6x0.5625</v>
      </c>
      <c r="AF98" s="138">
        <v>4</v>
      </c>
      <c r="AG98" s="138">
        <v>6.0000000000000009</v>
      </c>
      <c r="AH98" s="138">
        <v>0.5625</v>
      </c>
      <c r="AI98" s="138">
        <v>0.5</v>
      </c>
      <c r="AJ98" s="138">
        <v>0.5</v>
      </c>
      <c r="AK98">
        <f t="shared" si="116"/>
        <v>6.2700000000000006E-2</v>
      </c>
      <c r="AM98" s="133" t="s">
        <v>85</v>
      </c>
      <c r="BD98" s="143" t="str">
        <f t="shared" si="117"/>
        <v>W14x311</v>
      </c>
      <c r="BE98">
        <v>14</v>
      </c>
      <c r="BF98" s="138">
        <v>311</v>
      </c>
      <c r="BG98" s="138">
        <v>17.12</v>
      </c>
      <c r="BH98" s="138">
        <v>1.41</v>
      </c>
      <c r="BI98" s="138">
        <v>16.23</v>
      </c>
      <c r="BJ98" s="138">
        <v>2.2599999999999998</v>
      </c>
      <c r="BK98" s="138">
        <v>0.6</v>
      </c>
      <c r="BM98" s="133" t="s">
        <v>85</v>
      </c>
    </row>
    <row r="99" spans="31:65" x14ac:dyDescent="0.3">
      <c r="AE99" s="127" t="str">
        <f t="shared" si="115"/>
        <v>L4x6x0.625</v>
      </c>
      <c r="AF99" s="138">
        <v>4</v>
      </c>
      <c r="AG99" s="138">
        <v>6.0000000000000009</v>
      </c>
      <c r="AH99" s="138">
        <v>0.625</v>
      </c>
      <c r="AI99" s="138">
        <v>0.5</v>
      </c>
      <c r="AJ99" s="138">
        <v>0.5</v>
      </c>
      <c r="AK99">
        <f t="shared" si="116"/>
        <v>0.12520000000000001</v>
      </c>
      <c r="AM99" s="133" t="s">
        <v>85</v>
      </c>
      <c r="BD99" s="143" t="str">
        <f t="shared" si="117"/>
        <v>W14x342</v>
      </c>
      <c r="BE99">
        <v>14</v>
      </c>
      <c r="BF99" s="138">
        <v>342</v>
      </c>
      <c r="BG99" s="138">
        <v>17.54</v>
      </c>
      <c r="BH99" s="138">
        <v>1.54</v>
      </c>
      <c r="BI99" s="138">
        <v>16.36</v>
      </c>
      <c r="BJ99" s="138">
        <v>2.4700000000000002</v>
      </c>
      <c r="BK99" s="138">
        <v>0.6</v>
      </c>
      <c r="BM99" s="133" t="s">
        <v>85</v>
      </c>
    </row>
    <row r="100" spans="31:65" x14ac:dyDescent="0.3">
      <c r="AE100" s="127" t="str">
        <f t="shared" ref="AE100:AE131" si="118">CONCATENATE("L",AF100,"x",AG100,"x",AH100)</f>
        <v>L4x6x0.75</v>
      </c>
      <c r="AF100" s="138">
        <v>4</v>
      </c>
      <c r="AG100" s="138">
        <v>6.0000000000000009</v>
      </c>
      <c r="AH100" s="138">
        <v>0.75000000000000011</v>
      </c>
      <c r="AI100" s="138">
        <v>0.5</v>
      </c>
      <c r="AJ100" s="138">
        <v>0.5</v>
      </c>
      <c r="AK100">
        <f t="shared" ref="AK100:AK131" si="119">((((SIGN(AH100-AJ100))+1)*(AH100-AJ100))/2)+0.0002</f>
        <v>0.25020000000000009</v>
      </c>
      <c r="AM100" s="133" t="s">
        <v>85</v>
      </c>
      <c r="BD100" s="143" t="str">
        <f t="shared" si="117"/>
        <v>W14x370</v>
      </c>
      <c r="BE100">
        <v>14</v>
      </c>
      <c r="BF100" s="138">
        <v>370</v>
      </c>
      <c r="BG100" s="138">
        <v>17.920000000000002</v>
      </c>
      <c r="BH100" s="138">
        <v>1.655</v>
      </c>
      <c r="BI100" s="138">
        <v>16.475000000000001</v>
      </c>
      <c r="BJ100" s="138">
        <v>2.66</v>
      </c>
      <c r="BK100" s="138">
        <v>0.6</v>
      </c>
      <c r="BM100" s="133" t="s">
        <v>85</v>
      </c>
    </row>
    <row r="101" spans="31:65" x14ac:dyDescent="0.3">
      <c r="AE101" s="127" t="str">
        <f t="shared" si="118"/>
        <v>L4x6x0.875</v>
      </c>
      <c r="AF101" s="138">
        <v>4</v>
      </c>
      <c r="AG101" s="138">
        <v>6.0000000000000009</v>
      </c>
      <c r="AH101" s="138">
        <v>0.875</v>
      </c>
      <c r="AI101" s="138">
        <v>0.5</v>
      </c>
      <c r="AJ101" s="138">
        <v>0.5</v>
      </c>
      <c r="AK101">
        <f t="shared" si="119"/>
        <v>0.37519999999999998</v>
      </c>
      <c r="AM101" s="133" t="s">
        <v>85</v>
      </c>
      <c r="BD101" s="143" t="str">
        <f t="shared" si="117"/>
        <v>W14x398</v>
      </c>
      <c r="BE101">
        <v>14</v>
      </c>
      <c r="BF101" s="138">
        <v>398</v>
      </c>
      <c r="BG101" s="138">
        <v>18.29</v>
      </c>
      <c r="BH101" s="138">
        <v>1.77</v>
      </c>
      <c r="BI101" s="138">
        <v>16.59</v>
      </c>
      <c r="BJ101" s="138">
        <v>2.8450000000000002</v>
      </c>
      <c r="BK101" s="138">
        <v>0.6</v>
      </c>
      <c r="BM101" s="133" t="s">
        <v>85</v>
      </c>
    </row>
    <row r="102" spans="31:65" x14ac:dyDescent="0.3">
      <c r="AE102" s="127" t="str">
        <f t="shared" si="118"/>
        <v>L4x7x0.375</v>
      </c>
      <c r="AF102" s="138">
        <v>4</v>
      </c>
      <c r="AG102" s="138">
        <v>7</v>
      </c>
      <c r="AH102" s="138">
        <v>0.37500000000000006</v>
      </c>
      <c r="AI102" s="138">
        <v>0.5</v>
      </c>
      <c r="AJ102" s="138">
        <v>0.37500000000000006</v>
      </c>
      <c r="AK102">
        <f t="shared" si="119"/>
        <v>2.0000000000000001E-4</v>
      </c>
      <c r="AM102" s="133" t="s">
        <v>85</v>
      </c>
      <c r="BD102" s="143" t="str">
        <f t="shared" si="117"/>
        <v>W14x426</v>
      </c>
      <c r="BE102">
        <v>14</v>
      </c>
      <c r="BF102" s="138">
        <v>426</v>
      </c>
      <c r="BG102" s="138">
        <v>18.670000000000002</v>
      </c>
      <c r="BH102" s="138">
        <v>1.875</v>
      </c>
      <c r="BI102" s="138">
        <v>16.695</v>
      </c>
      <c r="BJ102" s="138">
        <v>3.0350000000000001</v>
      </c>
      <c r="BK102" s="138">
        <v>0.6</v>
      </c>
      <c r="BM102" s="133" t="s">
        <v>85</v>
      </c>
    </row>
    <row r="103" spans="31:65" x14ac:dyDescent="0.3">
      <c r="AE103" s="127" t="str">
        <f t="shared" si="118"/>
        <v>L4x7x0.5</v>
      </c>
      <c r="AF103" s="138">
        <v>4</v>
      </c>
      <c r="AG103" s="138">
        <v>7</v>
      </c>
      <c r="AH103" s="138">
        <v>0.5</v>
      </c>
      <c r="AI103" s="138">
        <v>0.5</v>
      </c>
      <c r="AJ103" s="138">
        <v>0.5</v>
      </c>
      <c r="AK103">
        <f t="shared" si="119"/>
        <v>2.0000000000000001E-4</v>
      </c>
      <c r="AM103" s="133" t="s">
        <v>85</v>
      </c>
      <c r="BD103" s="143" t="str">
        <f t="shared" si="117"/>
        <v>W14x455</v>
      </c>
      <c r="BE103">
        <v>14</v>
      </c>
      <c r="BF103" s="138">
        <v>455</v>
      </c>
      <c r="BG103" s="138">
        <v>19.02</v>
      </c>
      <c r="BH103" s="138">
        <v>2.0150000000000001</v>
      </c>
      <c r="BI103" s="138">
        <v>16.835000000000001</v>
      </c>
      <c r="BJ103" s="138">
        <v>3.21</v>
      </c>
      <c r="BK103" s="138">
        <v>0.6</v>
      </c>
      <c r="BM103" s="133" t="s">
        <v>85</v>
      </c>
    </row>
    <row r="104" spans="31:65" x14ac:dyDescent="0.3">
      <c r="AE104" s="127" t="str">
        <f t="shared" si="118"/>
        <v>L4x7x0.625</v>
      </c>
      <c r="AF104" s="138">
        <v>4</v>
      </c>
      <c r="AG104" s="138">
        <v>7</v>
      </c>
      <c r="AH104" s="138">
        <v>0.625</v>
      </c>
      <c r="AI104" s="138">
        <v>0.5</v>
      </c>
      <c r="AJ104" s="138">
        <v>0.5</v>
      </c>
      <c r="AK104">
        <f t="shared" si="119"/>
        <v>0.12520000000000001</v>
      </c>
      <c r="AM104" s="133" t="s">
        <v>85</v>
      </c>
      <c r="BD104" s="143" t="str">
        <f t="shared" si="117"/>
        <v>W14x500</v>
      </c>
      <c r="BE104">
        <v>14</v>
      </c>
      <c r="BF104" s="138">
        <v>500</v>
      </c>
      <c r="BG104" s="138">
        <v>19.600000000000001</v>
      </c>
      <c r="BH104" s="138">
        <v>2.19</v>
      </c>
      <c r="BI104" s="138">
        <v>17.010000000000002</v>
      </c>
      <c r="BJ104" s="138">
        <v>3.5</v>
      </c>
      <c r="BK104" s="138">
        <v>0.6</v>
      </c>
      <c r="BM104" s="133" t="s">
        <v>85</v>
      </c>
    </row>
    <row r="105" spans="31:65" x14ac:dyDescent="0.3">
      <c r="AE105" s="127" t="str">
        <f t="shared" si="118"/>
        <v>L4x7x0.75</v>
      </c>
      <c r="AF105" s="138">
        <v>4</v>
      </c>
      <c r="AG105" s="138">
        <v>7</v>
      </c>
      <c r="AH105" s="138">
        <v>0.75000000000000011</v>
      </c>
      <c r="AI105" s="138">
        <v>0.5</v>
      </c>
      <c r="AJ105" s="138">
        <v>0.5</v>
      </c>
      <c r="AK105">
        <f t="shared" si="119"/>
        <v>0.25020000000000009</v>
      </c>
      <c r="AM105" s="133" t="s">
        <v>85</v>
      </c>
      <c r="BD105" s="143" t="str">
        <f t="shared" si="117"/>
        <v>W14x550</v>
      </c>
      <c r="BE105">
        <v>14</v>
      </c>
      <c r="BF105" s="138">
        <v>550</v>
      </c>
      <c r="BG105" s="138">
        <v>20.240000000000002</v>
      </c>
      <c r="BH105" s="138">
        <v>2.38</v>
      </c>
      <c r="BI105" s="138">
        <v>17.2</v>
      </c>
      <c r="BJ105" s="138">
        <v>3.82</v>
      </c>
      <c r="BK105" s="138">
        <v>0.6</v>
      </c>
      <c r="BM105" s="133" t="s">
        <v>85</v>
      </c>
    </row>
    <row r="106" spans="31:65" x14ac:dyDescent="0.3">
      <c r="AE106" s="127" t="str">
        <f t="shared" si="118"/>
        <v>L4x8x0.5</v>
      </c>
      <c r="AF106" s="138">
        <v>4</v>
      </c>
      <c r="AG106" s="138">
        <v>8</v>
      </c>
      <c r="AH106" s="138">
        <v>0.5</v>
      </c>
      <c r="AI106" s="138">
        <v>0.5</v>
      </c>
      <c r="AJ106" s="138">
        <v>0.5</v>
      </c>
      <c r="AK106">
        <f t="shared" si="119"/>
        <v>2.0000000000000001E-4</v>
      </c>
      <c r="AM106" s="133" t="s">
        <v>85</v>
      </c>
      <c r="BD106" s="143" t="str">
        <f t="shared" si="117"/>
        <v>W14x605</v>
      </c>
      <c r="BE106">
        <v>14</v>
      </c>
      <c r="BF106" s="138">
        <v>605</v>
      </c>
      <c r="BG106" s="138">
        <v>20.92</v>
      </c>
      <c r="BH106" s="138">
        <v>2.5950000000000002</v>
      </c>
      <c r="BI106" s="138">
        <v>17.414999999999999</v>
      </c>
      <c r="BJ106" s="138">
        <v>4.16</v>
      </c>
      <c r="BK106" s="138">
        <v>0.6</v>
      </c>
      <c r="BM106" s="133" t="s">
        <v>85</v>
      </c>
    </row>
    <row r="107" spans="31:65" x14ac:dyDescent="0.3">
      <c r="AE107" s="127" t="str">
        <f t="shared" si="118"/>
        <v>L4x8x0.5625</v>
      </c>
      <c r="AF107" s="138">
        <v>4</v>
      </c>
      <c r="AG107" s="138">
        <v>8</v>
      </c>
      <c r="AH107" s="138">
        <v>0.5625</v>
      </c>
      <c r="AI107" s="138">
        <v>0.5</v>
      </c>
      <c r="AJ107" s="138">
        <v>0.5</v>
      </c>
      <c r="AK107">
        <f t="shared" si="119"/>
        <v>6.2700000000000006E-2</v>
      </c>
      <c r="AM107" s="133" t="s">
        <v>85</v>
      </c>
      <c r="BD107" s="143" t="str">
        <f t="shared" si="117"/>
        <v>W14x665</v>
      </c>
      <c r="BE107">
        <v>14</v>
      </c>
      <c r="BF107" s="138">
        <v>665</v>
      </c>
      <c r="BG107" s="138">
        <v>21.64</v>
      </c>
      <c r="BH107" s="138">
        <v>2.83</v>
      </c>
      <c r="BI107" s="138">
        <v>17.649999999999999</v>
      </c>
      <c r="BJ107" s="138">
        <v>4.5199999999999996</v>
      </c>
      <c r="BK107" s="138">
        <v>0.6</v>
      </c>
      <c r="BM107" s="133" t="s">
        <v>85</v>
      </c>
    </row>
    <row r="108" spans="31:65" x14ac:dyDescent="0.3">
      <c r="AE108" s="127" t="str">
        <f t="shared" si="118"/>
        <v>L4x8x0.75</v>
      </c>
      <c r="AF108" s="138">
        <v>4</v>
      </c>
      <c r="AG108" s="138">
        <v>8</v>
      </c>
      <c r="AH108" s="138">
        <v>0.75000000000000011</v>
      </c>
      <c r="AI108" s="138">
        <v>0.5</v>
      </c>
      <c r="AJ108" s="138">
        <v>0.5</v>
      </c>
      <c r="AK108">
        <f t="shared" si="119"/>
        <v>0.25020000000000009</v>
      </c>
      <c r="AM108" s="133" t="s">
        <v>85</v>
      </c>
      <c r="BD108" s="143" t="str">
        <f t="shared" si="117"/>
        <v>W14x730</v>
      </c>
      <c r="BE108">
        <v>14</v>
      </c>
      <c r="BF108" s="138">
        <v>730</v>
      </c>
      <c r="BG108" s="138">
        <v>22.419999999999998</v>
      </c>
      <c r="BH108" s="138">
        <v>3.07</v>
      </c>
      <c r="BI108" s="138">
        <v>17.89</v>
      </c>
      <c r="BJ108" s="138">
        <v>4.91</v>
      </c>
      <c r="BK108" s="138">
        <v>0.6</v>
      </c>
      <c r="BM108" s="133" t="s">
        <v>85</v>
      </c>
    </row>
    <row r="109" spans="31:65" x14ac:dyDescent="0.3">
      <c r="AE109" s="127" t="str">
        <f t="shared" si="118"/>
        <v>L4x8x1</v>
      </c>
      <c r="AF109" s="138">
        <v>4</v>
      </c>
      <c r="AG109" s="138">
        <v>8</v>
      </c>
      <c r="AH109" s="138">
        <v>1</v>
      </c>
      <c r="AI109" s="138">
        <v>0.5</v>
      </c>
      <c r="AJ109" s="138">
        <v>0.5</v>
      </c>
      <c r="AK109">
        <f t="shared" si="119"/>
        <v>0.50019999999999998</v>
      </c>
      <c r="AM109" s="133" t="s">
        <v>85</v>
      </c>
      <c r="BD109" s="143" t="str">
        <f t="shared" si="117"/>
        <v>W16x26</v>
      </c>
      <c r="BE109">
        <v>16</v>
      </c>
      <c r="BF109" s="138">
        <v>26</v>
      </c>
      <c r="BG109" s="138">
        <v>15.69</v>
      </c>
      <c r="BH109" s="138">
        <v>0.25</v>
      </c>
      <c r="BI109" s="138">
        <v>5.5</v>
      </c>
      <c r="BJ109" s="138">
        <v>0.34499999999999992</v>
      </c>
      <c r="BK109" s="138">
        <v>0.4</v>
      </c>
      <c r="BL109" t="s">
        <v>178</v>
      </c>
      <c r="BM109" s="133" t="s">
        <v>85</v>
      </c>
    </row>
    <row r="110" spans="31:65" x14ac:dyDescent="0.3">
      <c r="AE110" s="127" t="str">
        <f t="shared" si="118"/>
        <v>L4x9x0.5</v>
      </c>
      <c r="AF110" s="138">
        <v>4</v>
      </c>
      <c r="AG110" s="138">
        <v>9</v>
      </c>
      <c r="AH110" s="138">
        <v>0.5</v>
      </c>
      <c r="AI110" s="138">
        <v>0.5</v>
      </c>
      <c r="AJ110" s="138">
        <v>0.5</v>
      </c>
      <c r="AK110">
        <f t="shared" si="119"/>
        <v>2.0000000000000001E-4</v>
      </c>
      <c r="AM110" s="133" t="s">
        <v>85</v>
      </c>
      <c r="BD110" s="143" t="str">
        <f t="shared" si="117"/>
        <v>W16x31</v>
      </c>
      <c r="BE110">
        <v>16</v>
      </c>
      <c r="BF110" s="138">
        <v>31</v>
      </c>
      <c r="BG110" s="138">
        <v>15.88</v>
      </c>
      <c r="BH110" s="138">
        <v>0.27500000000000002</v>
      </c>
      <c r="BI110" s="138">
        <v>5.5250000000000004</v>
      </c>
      <c r="BJ110" s="138">
        <v>0.44</v>
      </c>
      <c r="BK110" s="138">
        <v>0.4</v>
      </c>
      <c r="BM110" s="133" t="s">
        <v>85</v>
      </c>
    </row>
    <row r="111" spans="31:65" x14ac:dyDescent="0.3">
      <c r="AE111" s="127" t="str">
        <f t="shared" si="118"/>
        <v>L4x9x0.5625</v>
      </c>
      <c r="AF111" s="138">
        <v>4</v>
      </c>
      <c r="AG111" s="138">
        <v>9</v>
      </c>
      <c r="AH111" s="138">
        <v>0.5625</v>
      </c>
      <c r="AI111" s="138">
        <v>0.5</v>
      </c>
      <c r="AJ111" s="138">
        <v>0.5</v>
      </c>
      <c r="AK111">
        <f t="shared" si="119"/>
        <v>6.2700000000000006E-2</v>
      </c>
      <c r="AM111" s="133" t="s">
        <v>85</v>
      </c>
      <c r="BD111" s="143" t="str">
        <f t="shared" si="117"/>
        <v>W16x36</v>
      </c>
      <c r="BE111">
        <v>16</v>
      </c>
      <c r="BF111" s="138">
        <v>36</v>
      </c>
      <c r="BG111" s="138">
        <v>15.86</v>
      </c>
      <c r="BH111" s="138">
        <v>0.29499999999999998</v>
      </c>
      <c r="BI111" s="138">
        <v>6.9850000000000003</v>
      </c>
      <c r="BJ111" s="138">
        <v>0.43</v>
      </c>
      <c r="BK111" s="138">
        <v>0.4</v>
      </c>
      <c r="BM111" s="133" t="s">
        <v>85</v>
      </c>
    </row>
    <row r="112" spans="31:65" x14ac:dyDescent="0.3">
      <c r="AE112" s="127" t="str">
        <f t="shared" si="118"/>
        <v>L4x9x0.625</v>
      </c>
      <c r="AF112" s="138">
        <v>4</v>
      </c>
      <c r="AG112" s="138">
        <v>9</v>
      </c>
      <c r="AH112" s="138">
        <v>0.625</v>
      </c>
      <c r="AI112" s="138">
        <v>0.5</v>
      </c>
      <c r="AJ112" s="138">
        <v>0.5</v>
      </c>
      <c r="AK112">
        <f t="shared" si="119"/>
        <v>0.12520000000000001</v>
      </c>
      <c r="AM112" s="133" t="s">
        <v>85</v>
      </c>
      <c r="BD112" s="143" t="str">
        <f t="shared" si="117"/>
        <v>W16x40</v>
      </c>
      <c r="BE112">
        <v>16</v>
      </c>
      <c r="BF112" s="138">
        <v>40</v>
      </c>
      <c r="BG112" s="138">
        <v>16.010000000000002</v>
      </c>
      <c r="BH112" s="138">
        <v>0.30499999999999999</v>
      </c>
      <c r="BI112" s="138">
        <v>6.9950000000000001</v>
      </c>
      <c r="BJ112" s="138">
        <v>0.505</v>
      </c>
      <c r="BK112" s="138">
        <v>0.4</v>
      </c>
      <c r="BM112" s="133" t="s">
        <v>85</v>
      </c>
    </row>
    <row r="113" spans="31:65" x14ac:dyDescent="0.3">
      <c r="AE113" s="127" t="str">
        <f t="shared" si="118"/>
        <v>L5x5x0.3125</v>
      </c>
      <c r="AF113" s="138">
        <v>5</v>
      </c>
      <c r="AG113" s="138">
        <v>5</v>
      </c>
      <c r="AH113" s="138">
        <v>0.3125</v>
      </c>
      <c r="AI113" s="138">
        <v>0.5</v>
      </c>
      <c r="AJ113" s="138">
        <v>0.3125</v>
      </c>
      <c r="AK113">
        <f t="shared" si="119"/>
        <v>2.0000000000000001E-4</v>
      </c>
      <c r="AM113" s="133" t="s">
        <v>85</v>
      </c>
      <c r="BD113" s="143" t="str">
        <f t="shared" si="117"/>
        <v>W16x45</v>
      </c>
      <c r="BE113">
        <v>16</v>
      </c>
      <c r="BF113" s="138">
        <v>45</v>
      </c>
      <c r="BG113" s="138">
        <v>16.13</v>
      </c>
      <c r="BH113" s="138">
        <v>0.34499999999999992</v>
      </c>
      <c r="BI113" s="138">
        <v>7.0349999999999993</v>
      </c>
      <c r="BJ113" s="138">
        <v>0.56499999999999995</v>
      </c>
      <c r="BK113" s="138">
        <v>0.4</v>
      </c>
      <c r="BM113" s="133" t="s">
        <v>85</v>
      </c>
    </row>
    <row r="114" spans="31:65" x14ac:dyDescent="0.3">
      <c r="AE114" s="127" t="str">
        <f t="shared" si="118"/>
        <v>L5x5x0.375</v>
      </c>
      <c r="AF114" s="138">
        <v>5</v>
      </c>
      <c r="AG114" s="138">
        <v>5</v>
      </c>
      <c r="AH114" s="138">
        <v>0.37500000000000006</v>
      </c>
      <c r="AI114" s="138">
        <v>0.5</v>
      </c>
      <c r="AJ114" s="138">
        <v>0.37500000000000006</v>
      </c>
      <c r="AK114">
        <f t="shared" si="119"/>
        <v>2.0000000000000001E-4</v>
      </c>
      <c r="AM114" s="133" t="s">
        <v>85</v>
      </c>
      <c r="BD114" s="143" t="str">
        <f t="shared" si="117"/>
        <v>W16x50</v>
      </c>
      <c r="BE114">
        <v>16</v>
      </c>
      <c r="BF114" s="138">
        <v>50</v>
      </c>
      <c r="BG114" s="138">
        <v>16.260000000000002</v>
      </c>
      <c r="BH114" s="138">
        <v>0.37999999999999995</v>
      </c>
      <c r="BI114" s="138">
        <v>7.0700000000000012</v>
      </c>
      <c r="BJ114" s="138">
        <v>0.63</v>
      </c>
      <c r="BK114" s="138">
        <v>0.4</v>
      </c>
      <c r="BM114" s="133" t="s">
        <v>85</v>
      </c>
    </row>
    <row r="115" spans="31:65" x14ac:dyDescent="0.3">
      <c r="AE115" s="127" t="str">
        <f t="shared" si="118"/>
        <v>L5x5x0.4375</v>
      </c>
      <c r="AF115" s="138">
        <v>5</v>
      </c>
      <c r="AG115" s="138">
        <v>5</v>
      </c>
      <c r="AH115" s="138">
        <v>0.4375</v>
      </c>
      <c r="AI115" s="138">
        <v>0.5</v>
      </c>
      <c r="AJ115" s="138">
        <v>0.4375</v>
      </c>
      <c r="AK115">
        <f t="shared" si="119"/>
        <v>2.0000000000000001E-4</v>
      </c>
      <c r="AM115" s="133" t="s">
        <v>85</v>
      </c>
      <c r="BD115" s="143" t="str">
        <f t="shared" si="117"/>
        <v>W16x57</v>
      </c>
      <c r="BE115">
        <v>16</v>
      </c>
      <c r="BF115" s="138">
        <v>57</v>
      </c>
      <c r="BG115" s="138">
        <v>16.43</v>
      </c>
      <c r="BH115" s="138">
        <v>0.43</v>
      </c>
      <c r="BI115" s="138">
        <v>7.12</v>
      </c>
      <c r="BJ115" s="138">
        <v>0.71499999999999997</v>
      </c>
      <c r="BK115" s="138">
        <v>0.4</v>
      </c>
      <c r="BM115" s="133" t="s">
        <v>85</v>
      </c>
    </row>
    <row r="116" spans="31:65" x14ac:dyDescent="0.3">
      <c r="AE116" s="127" t="str">
        <f t="shared" si="118"/>
        <v>L5x5x0.5</v>
      </c>
      <c r="AF116" s="138">
        <v>5</v>
      </c>
      <c r="AG116" s="138">
        <v>5</v>
      </c>
      <c r="AH116" s="138">
        <v>0.5</v>
      </c>
      <c r="AI116" s="138">
        <v>0.5</v>
      </c>
      <c r="AJ116" s="138">
        <v>0.5</v>
      </c>
      <c r="AK116">
        <f t="shared" si="119"/>
        <v>2.0000000000000001E-4</v>
      </c>
      <c r="AM116" s="133" t="s">
        <v>85</v>
      </c>
      <c r="BD116" s="143" t="str">
        <f t="shared" si="117"/>
        <v>W16x67</v>
      </c>
      <c r="BE116">
        <v>16</v>
      </c>
      <c r="BF116" s="138">
        <v>67</v>
      </c>
      <c r="BG116" s="138">
        <v>16.329999999999998</v>
      </c>
      <c r="BH116" s="138">
        <v>0.39500000000000002</v>
      </c>
      <c r="BI116" s="138">
        <v>10.235000000000001</v>
      </c>
      <c r="BJ116" s="138">
        <v>0.66500000000000004</v>
      </c>
      <c r="BK116" s="138">
        <v>0.4</v>
      </c>
      <c r="BM116" s="133" t="s">
        <v>85</v>
      </c>
    </row>
    <row r="117" spans="31:65" x14ac:dyDescent="0.3">
      <c r="AE117" s="127" t="str">
        <f t="shared" si="118"/>
        <v>L5x5x0.625</v>
      </c>
      <c r="AF117" s="138">
        <v>5</v>
      </c>
      <c r="AG117" s="138">
        <v>5</v>
      </c>
      <c r="AH117" s="138">
        <v>0.625</v>
      </c>
      <c r="AI117" s="138">
        <v>0.5</v>
      </c>
      <c r="AJ117" s="138">
        <v>0.5</v>
      </c>
      <c r="AK117">
        <f t="shared" si="119"/>
        <v>0.12520000000000001</v>
      </c>
      <c r="AM117" s="133" t="s">
        <v>85</v>
      </c>
      <c r="BD117" s="143" t="str">
        <f t="shared" si="117"/>
        <v>W16x77</v>
      </c>
      <c r="BE117">
        <v>16</v>
      </c>
      <c r="BF117" s="138">
        <v>77</v>
      </c>
      <c r="BG117" s="138">
        <v>16.52</v>
      </c>
      <c r="BH117" s="138">
        <v>0.45500000000000002</v>
      </c>
      <c r="BI117" s="138">
        <v>10.295</v>
      </c>
      <c r="BJ117" s="138">
        <v>0.7599999999999999</v>
      </c>
      <c r="BK117" s="138">
        <v>0.4</v>
      </c>
      <c r="BM117" s="133" t="s">
        <v>85</v>
      </c>
    </row>
    <row r="118" spans="31:65" x14ac:dyDescent="0.3">
      <c r="AE118" s="127" t="str">
        <f t="shared" si="118"/>
        <v>L5x5x0.75</v>
      </c>
      <c r="AF118" s="138">
        <v>5</v>
      </c>
      <c r="AG118" s="138">
        <v>5</v>
      </c>
      <c r="AH118" s="138">
        <v>0.75000000000000011</v>
      </c>
      <c r="AI118" s="138">
        <v>0.5</v>
      </c>
      <c r="AJ118" s="138">
        <v>0.5</v>
      </c>
      <c r="AK118">
        <f t="shared" si="119"/>
        <v>0.25020000000000009</v>
      </c>
      <c r="AM118" s="133" t="s">
        <v>85</v>
      </c>
      <c r="BD118" s="143" t="str">
        <f t="shared" si="117"/>
        <v>W16x89</v>
      </c>
      <c r="BE118">
        <v>16</v>
      </c>
      <c r="BF118" s="138">
        <v>88.999999999999986</v>
      </c>
      <c r="BG118" s="138">
        <v>16.75</v>
      </c>
      <c r="BH118" s="138">
        <v>0.52500000000000002</v>
      </c>
      <c r="BI118" s="138">
        <v>10.365</v>
      </c>
      <c r="BJ118" s="138">
        <v>0.875</v>
      </c>
      <c r="BK118" s="138">
        <v>0.4</v>
      </c>
      <c r="BM118" s="133" t="s">
        <v>85</v>
      </c>
    </row>
    <row r="119" spans="31:65" x14ac:dyDescent="0.3">
      <c r="AE119" s="127" t="str">
        <f t="shared" si="118"/>
        <v>L5x5x0.875</v>
      </c>
      <c r="AF119" s="138">
        <v>5</v>
      </c>
      <c r="AG119" s="138">
        <v>5</v>
      </c>
      <c r="AH119" s="138">
        <v>0.875</v>
      </c>
      <c r="AI119" s="138">
        <v>0.5</v>
      </c>
      <c r="AJ119" s="138">
        <v>0.5</v>
      </c>
      <c r="AK119">
        <f t="shared" si="119"/>
        <v>0.37519999999999998</v>
      </c>
      <c r="AM119" s="133" t="s">
        <v>85</v>
      </c>
      <c r="BD119" s="143" t="str">
        <f t="shared" si="117"/>
        <v>W16x100</v>
      </c>
      <c r="BE119">
        <v>16</v>
      </c>
      <c r="BF119" s="138">
        <v>100</v>
      </c>
      <c r="BG119" s="138">
        <v>16.97</v>
      </c>
      <c r="BH119" s="138">
        <v>0.58499999999999996</v>
      </c>
      <c r="BI119" s="138">
        <v>10.425000000000001</v>
      </c>
      <c r="BJ119" s="138">
        <v>0.98499999999999999</v>
      </c>
      <c r="BK119" s="138">
        <v>0.4</v>
      </c>
      <c r="BM119" s="133" t="s">
        <v>85</v>
      </c>
    </row>
    <row r="120" spans="31:65" x14ac:dyDescent="0.3">
      <c r="AE120" s="127" t="str">
        <f t="shared" si="118"/>
        <v>L6x6x0.3125</v>
      </c>
      <c r="AF120" s="138">
        <v>6.0000000000000009</v>
      </c>
      <c r="AG120" s="138">
        <v>6.0000000000000009</v>
      </c>
      <c r="AH120" s="138">
        <v>0.3125</v>
      </c>
      <c r="AI120" s="138">
        <v>0.5</v>
      </c>
      <c r="AJ120" s="138">
        <v>0.3125</v>
      </c>
      <c r="AK120">
        <f t="shared" si="119"/>
        <v>2.0000000000000001E-4</v>
      </c>
      <c r="AL120" t="s">
        <v>99</v>
      </c>
      <c r="AM120" s="133" t="s">
        <v>85</v>
      </c>
      <c r="BD120" s="143" t="str">
        <f t="shared" si="117"/>
        <v>W18x35</v>
      </c>
      <c r="BE120">
        <v>18</v>
      </c>
      <c r="BF120" s="138">
        <v>35</v>
      </c>
      <c r="BG120" s="138">
        <v>17.7</v>
      </c>
      <c r="BH120" s="138">
        <v>0.3</v>
      </c>
      <c r="BI120" s="138">
        <v>6.0000000000000009</v>
      </c>
      <c r="BJ120" s="138">
        <v>0.42499999999999999</v>
      </c>
      <c r="BK120" s="138">
        <v>0.4</v>
      </c>
      <c r="BL120" t="s">
        <v>177</v>
      </c>
      <c r="BM120" s="133" t="s">
        <v>85</v>
      </c>
    </row>
    <row r="121" spans="31:65" x14ac:dyDescent="0.3">
      <c r="AE121" s="127" t="str">
        <f t="shared" si="118"/>
        <v>L6x6x0.375</v>
      </c>
      <c r="AF121" s="138">
        <v>6.0000000000000009</v>
      </c>
      <c r="AG121" s="138">
        <v>6.0000000000000009</v>
      </c>
      <c r="AH121" s="138">
        <v>0.37500000000000006</v>
      </c>
      <c r="AI121" s="138">
        <v>0.5</v>
      </c>
      <c r="AJ121" s="138">
        <v>0.37500000000000006</v>
      </c>
      <c r="AK121">
        <f t="shared" si="119"/>
        <v>2.0000000000000001E-4</v>
      </c>
      <c r="AM121" s="133" t="s">
        <v>85</v>
      </c>
      <c r="BD121" s="143" t="str">
        <f t="shared" si="117"/>
        <v>W18x40</v>
      </c>
      <c r="BE121">
        <v>18</v>
      </c>
      <c r="BF121" s="138">
        <v>40</v>
      </c>
      <c r="BG121" s="138">
        <v>17.899999999999999</v>
      </c>
      <c r="BH121" s="138">
        <v>0.315</v>
      </c>
      <c r="BI121" s="138">
        <v>6.0150000000000006</v>
      </c>
      <c r="BJ121" s="138">
        <v>0.52500000000000002</v>
      </c>
      <c r="BK121" s="138">
        <v>0.4</v>
      </c>
      <c r="BM121" s="133" t="s">
        <v>85</v>
      </c>
    </row>
    <row r="122" spans="31:65" x14ac:dyDescent="0.3">
      <c r="AE122" s="127" t="str">
        <f t="shared" si="118"/>
        <v>L6x6x0.4375</v>
      </c>
      <c r="AF122" s="138">
        <v>6.0000000000000009</v>
      </c>
      <c r="AG122" s="138">
        <v>6.0000000000000009</v>
      </c>
      <c r="AH122" s="138">
        <v>0.4375</v>
      </c>
      <c r="AI122" s="138">
        <v>0.5</v>
      </c>
      <c r="AJ122" s="138">
        <v>0.4375</v>
      </c>
      <c r="AK122">
        <f t="shared" si="119"/>
        <v>2.0000000000000001E-4</v>
      </c>
      <c r="AM122" s="133" t="s">
        <v>85</v>
      </c>
      <c r="BD122" s="143" t="str">
        <f t="shared" si="117"/>
        <v>W18x46</v>
      </c>
      <c r="BE122">
        <v>18</v>
      </c>
      <c r="BF122" s="138">
        <v>46</v>
      </c>
      <c r="BG122" s="138">
        <v>18.059999999999999</v>
      </c>
      <c r="BH122" s="138">
        <v>0.36</v>
      </c>
      <c r="BI122" s="138">
        <v>6.06</v>
      </c>
      <c r="BJ122" s="138">
        <v>0.60499999999999998</v>
      </c>
      <c r="BK122" s="138">
        <v>0.4</v>
      </c>
      <c r="BM122" s="133" t="s">
        <v>85</v>
      </c>
    </row>
    <row r="123" spans="31:65" x14ac:dyDescent="0.3">
      <c r="AE123" s="127" t="str">
        <f t="shared" si="118"/>
        <v>L6x6x0.5</v>
      </c>
      <c r="AF123" s="138">
        <v>6.0000000000000009</v>
      </c>
      <c r="AG123" s="138">
        <v>6.0000000000000009</v>
      </c>
      <c r="AH123" s="138">
        <v>0.5</v>
      </c>
      <c r="AI123" s="138">
        <v>0.5</v>
      </c>
      <c r="AJ123" s="138">
        <v>0.5</v>
      </c>
      <c r="AK123">
        <f t="shared" si="119"/>
        <v>2.0000000000000001E-4</v>
      </c>
      <c r="AM123" s="133" t="s">
        <v>85</v>
      </c>
      <c r="BD123" s="143" t="str">
        <f t="shared" si="117"/>
        <v>W18x50</v>
      </c>
      <c r="BE123">
        <v>18</v>
      </c>
      <c r="BF123" s="138">
        <v>50</v>
      </c>
      <c r="BG123" s="138">
        <v>17.989999999999998</v>
      </c>
      <c r="BH123" s="138">
        <v>0.35499999999999998</v>
      </c>
      <c r="BI123" s="138">
        <v>7.4950000000000001</v>
      </c>
      <c r="BJ123" s="138">
        <v>0.56999999999999995</v>
      </c>
      <c r="BK123" s="138">
        <v>0.4</v>
      </c>
      <c r="BM123" s="133" t="s">
        <v>85</v>
      </c>
    </row>
    <row r="124" spans="31:65" x14ac:dyDescent="0.3">
      <c r="AE124" s="127" t="str">
        <f t="shared" si="118"/>
        <v>L6x6x0.5625</v>
      </c>
      <c r="AF124" s="138">
        <v>6.0000000000000009</v>
      </c>
      <c r="AG124" s="138">
        <v>6.0000000000000009</v>
      </c>
      <c r="AH124" s="138">
        <v>0.5625</v>
      </c>
      <c r="AI124" s="138">
        <v>0.5</v>
      </c>
      <c r="AJ124" s="138">
        <v>0.5</v>
      </c>
      <c r="AK124">
        <f t="shared" si="119"/>
        <v>6.2700000000000006E-2</v>
      </c>
      <c r="AM124" s="133" t="s">
        <v>85</v>
      </c>
      <c r="BD124" s="143" t="str">
        <f t="shared" si="117"/>
        <v>W18x55</v>
      </c>
      <c r="BE124">
        <v>18</v>
      </c>
      <c r="BF124" s="138">
        <v>55</v>
      </c>
      <c r="BG124" s="138">
        <v>18.11</v>
      </c>
      <c r="BH124" s="138">
        <v>0.39</v>
      </c>
      <c r="BI124" s="138">
        <v>7.5299999999999994</v>
      </c>
      <c r="BJ124" s="138">
        <v>0.63</v>
      </c>
      <c r="BK124" s="138">
        <v>0.4</v>
      </c>
      <c r="BM124" s="133" t="s">
        <v>85</v>
      </c>
    </row>
    <row r="125" spans="31:65" x14ac:dyDescent="0.3">
      <c r="AE125" s="127" t="str">
        <f t="shared" si="118"/>
        <v>L6x6x0.625</v>
      </c>
      <c r="AF125" s="138">
        <v>6.0000000000000009</v>
      </c>
      <c r="AG125" s="138">
        <v>6.0000000000000009</v>
      </c>
      <c r="AH125" s="138">
        <v>0.625</v>
      </c>
      <c r="AI125" s="138">
        <v>0.5</v>
      </c>
      <c r="AJ125" s="138">
        <v>0.5</v>
      </c>
      <c r="AK125">
        <f t="shared" si="119"/>
        <v>0.12520000000000001</v>
      </c>
      <c r="AM125" s="133" t="s">
        <v>85</v>
      </c>
      <c r="BD125" s="143" t="str">
        <f t="shared" si="117"/>
        <v>W18x60</v>
      </c>
      <c r="BE125">
        <v>18</v>
      </c>
      <c r="BF125" s="138">
        <v>60</v>
      </c>
      <c r="BG125" s="138">
        <v>18.239999999999998</v>
      </c>
      <c r="BH125" s="138">
        <v>0.41500000000000004</v>
      </c>
      <c r="BI125" s="138">
        <v>7.5549999999999997</v>
      </c>
      <c r="BJ125" s="138">
        <v>0.69499999999999995</v>
      </c>
      <c r="BK125" s="138">
        <v>0.4</v>
      </c>
      <c r="BM125" s="133" t="s">
        <v>85</v>
      </c>
    </row>
    <row r="126" spans="31:65" x14ac:dyDescent="0.3">
      <c r="AE126" s="127" t="str">
        <f t="shared" si="118"/>
        <v>L6x6x0.75</v>
      </c>
      <c r="AF126" s="138">
        <v>6.0000000000000009</v>
      </c>
      <c r="AG126" s="138">
        <v>6.0000000000000009</v>
      </c>
      <c r="AH126" s="138">
        <v>0.75000000000000011</v>
      </c>
      <c r="AI126" s="138">
        <v>0.5</v>
      </c>
      <c r="AJ126" s="138">
        <v>0.5</v>
      </c>
      <c r="AK126">
        <f t="shared" si="119"/>
        <v>0.25020000000000009</v>
      </c>
      <c r="AM126" s="133" t="s">
        <v>85</v>
      </c>
      <c r="BD126" s="143" t="str">
        <f t="shared" si="117"/>
        <v>W18x65</v>
      </c>
      <c r="BE126">
        <v>18</v>
      </c>
      <c r="BF126" s="138">
        <v>65</v>
      </c>
      <c r="BG126" s="138">
        <v>18.350000000000001</v>
      </c>
      <c r="BH126" s="138">
        <v>0.44999999999999996</v>
      </c>
      <c r="BI126" s="138">
        <v>7.59</v>
      </c>
      <c r="BJ126" s="138">
        <v>0.75000000000000011</v>
      </c>
      <c r="BK126" s="138">
        <v>0.4</v>
      </c>
      <c r="BM126" s="133" t="s">
        <v>85</v>
      </c>
    </row>
    <row r="127" spans="31:65" x14ac:dyDescent="0.3">
      <c r="AE127" s="127" t="str">
        <f t="shared" si="118"/>
        <v>L6x6x0.875</v>
      </c>
      <c r="AF127" s="138">
        <v>6.0000000000000009</v>
      </c>
      <c r="AG127" s="138">
        <v>6.0000000000000009</v>
      </c>
      <c r="AH127" s="138">
        <v>0.875</v>
      </c>
      <c r="AI127" s="138">
        <v>0.5</v>
      </c>
      <c r="AJ127" s="138">
        <v>0.5</v>
      </c>
      <c r="AK127">
        <f t="shared" si="119"/>
        <v>0.37519999999999998</v>
      </c>
      <c r="AM127" s="133" t="s">
        <v>85</v>
      </c>
      <c r="BD127" s="143" t="str">
        <f t="shared" si="117"/>
        <v>W18x71</v>
      </c>
      <c r="BE127">
        <v>18</v>
      </c>
      <c r="BF127" s="138">
        <v>71</v>
      </c>
      <c r="BG127" s="138">
        <v>18.47</v>
      </c>
      <c r="BH127" s="138">
        <v>0.495</v>
      </c>
      <c r="BI127" s="138">
        <v>7.6349999999999998</v>
      </c>
      <c r="BJ127" s="138">
        <v>0.81</v>
      </c>
      <c r="BK127" s="138">
        <v>0.4</v>
      </c>
      <c r="BM127" s="133" t="s">
        <v>85</v>
      </c>
    </row>
    <row r="128" spans="31:65" x14ac:dyDescent="0.3">
      <c r="AE128" s="127" t="str">
        <f t="shared" si="118"/>
        <v>L6x6x1</v>
      </c>
      <c r="AF128" s="138">
        <v>6.0000000000000009</v>
      </c>
      <c r="AG128" s="138">
        <v>6.0000000000000009</v>
      </c>
      <c r="AH128" s="138">
        <v>1</v>
      </c>
      <c r="AI128" s="138">
        <v>0.5</v>
      </c>
      <c r="AJ128" s="138">
        <v>0.5</v>
      </c>
      <c r="AK128">
        <f t="shared" si="119"/>
        <v>0.50019999999999998</v>
      </c>
      <c r="AM128" s="133" t="s">
        <v>85</v>
      </c>
      <c r="BD128" s="143" t="str">
        <f t="shared" si="117"/>
        <v>W18x76</v>
      </c>
      <c r="BE128">
        <v>18</v>
      </c>
      <c r="BF128" s="138">
        <v>76</v>
      </c>
      <c r="BG128" s="138">
        <v>18.21</v>
      </c>
      <c r="BH128" s="138">
        <v>0.42499999999999999</v>
      </c>
      <c r="BI128" s="138">
        <v>11.035</v>
      </c>
      <c r="BJ128" s="138">
        <v>0.67999999999999994</v>
      </c>
      <c r="BK128" s="138">
        <v>0.4</v>
      </c>
      <c r="BM128" s="133" t="s">
        <v>85</v>
      </c>
    </row>
    <row r="129" spans="31:182" x14ac:dyDescent="0.3">
      <c r="AE129" s="127" t="str">
        <f t="shared" si="118"/>
        <v>L6x8x0.4375</v>
      </c>
      <c r="AF129" s="138">
        <v>6.0000000000000009</v>
      </c>
      <c r="AG129" s="138">
        <v>8</v>
      </c>
      <c r="AH129" s="138">
        <v>0.4375</v>
      </c>
      <c r="AI129" s="138">
        <v>0.5</v>
      </c>
      <c r="AJ129" s="138">
        <v>0.4375</v>
      </c>
      <c r="AK129">
        <f t="shared" si="119"/>
        <v>2.0000000000000001E-4</v>
      </c>
      <c r="AM129" s="133" t="s">
        <v>85</v>
      </c>
      <c r="BD129" s="143" t="str">
        <f t="shared" si="117"/>
        <v>W18x86</v>
      </c>
      <c r="BE129">
        <v>18</v>
      </c>
      <c r="BF129" s="138">
        <v>86.000000000000014</v>
      </c>
      <c r="BG129" s="138">
        <v>18.39</v>
      </c>
      <c r="BH129" s="138">
        <v>0.48</v>
      </c>
      <c r="BI129" s="138">
        <v>11.09</v>
      </c>
      <c r="BJ129" s="138">
        <v>0.77</v>
      </c>
      <c r="BK129" s="138">
        <v>0.4</v>
      </c>
      <c r="BM129" s="133" t="s">
        <v>85</v>
      </c>
    </row>
    <row r="130" spans="31:182" x14ac:dyDescent="0.3">
      <c r="AE130" s="127" t="str">
        <f t="shared" si="118"/>
        <v>L6x8x0.5</v>
      </c>
      <c r="AF130" s="138">
        <v>6.0000000000000009</v>
      </c>
      <c r="AG130" s="138">
        <v>8</v>
      </c>
      <c r="AH130" s="138">
        <v>0.5</v>
      </c>
      <c r="AI130" s="138">
        <v>0.5</v>
      </c>
      <c r="AJ130" s="138">
        <v>0.5</v>
      </c>
      <c r="AK130">
        <f t="shared" si="119"/>
        <v>2.0000000000000001E-4</v>
      </c>
      <c r="AM130" s="133" t="s">
        <v>85</v>
      </c>
      <c r="BD130" s="143" t="str">
        <f t="shared" si="117"/>
        <v>W18x97</v>
      </c>
      <c r="BE130">
        <v>18</v>
      </c>
      <c r="BF130" s="138">
        <v>97</v>
      </c>
      <c r="BG130" s="138">
        <v>18.59</v>
      </c>
      <c r="BH130" s="138">
        <v>0.53500000000000003</v>
      </c>
      <c r="BI130" s="138">
        <v>11.145</v>
      </c>
      <c r="BJ130" s="138">
        <v>0.87</v>
      </c>
      <c r="BK130" s="138">
        <v>0.4</v>
      </c>
      <c r="BM130" s="133" t="s">
        <v>85</v>
      </c>
    </row>
    <row r="131" spans="31:182" x14ac:dyDescent="0.3">
      <c r="AE131" s="127" t="str">
        <f t="shared" si="118"/>
        <v>L6x8x0.5625</v>
      </c>
      <c r="AF131" s="138">
        <v>6.0000000000000009</v>
      </c>
      <c r="AG131" s="138">
        <v>8</v>
      </c>
      <c r="AH131" s="138">
        <v>0.5625</v>
      </c>
      <c r="AI131" s="138">
        <v>0.5</v>
      </c>
      <c r="AJ131" s="138">
        <v>0.5</v>
      </c>
      <c r="AK131">
        <f t="shared" si="119"/>
        <v>6.2700000000000006E-2</v>
      </c>
      <c r="AM131" s="133" t="s">
        <v>85</v>
      </c>
      <c r="BD131" s="143" t="str">
        <f t="shared" si="117"/>
        <v>W18x106</v>
      </c>
      <c r="BE131">
        <v>18</v>
      </c>
      <c r="BF131" s="138">
        <v>106.00000000000001</v>
      </c>
      <c r="BG131" s="138">
        <v>18.73</v>
      </c>
      <c r="BH131" s="138">
        <v>0.59</v>
      </c>
      <c r="BI131" s="138">
        <v>11.2</v>
      </c>
      <c r="BJ131" s="138">
        <v>0.94</v>
      </c>
      <c r="BK131" s="138">
        <v>0.4</v>
      </c>
      <c r="BM131" s="133" t="s">
        <v>85</v>
      </c>
    </row>
    <row r="132" spans="31:182" x14ac:dyDescent="0.3">
      <c r="AE132" s="127" t="str">
        <f t="shared" ref="AE132:AE142" si="120">CONCATENATE("L",AF132,"x",AG132,"x",AH132)</f>
        <v>L6x8x0.625</v>
      </c>
      <c r="AF132" s="138">
        <v>6.0000000000000009</v>
      </c>
      <c r="AG132" s="138">
        <v>8</v>
      </c>
      <c r="AH132" s="138">
        <v>0.625</v>
      </c>
      <c r="AI132" s="138">
        <v>0.5</v>
      </c>
      <c r="AJ132" s="138">
        <v>0.5</v>
      </c>
      <c r="AK132">
        <f t="shared" ref="AK132:AK142" si="121">((((SIGN(AH132-AJ132))+1)*(AH132-AJ132))/2)+0.0002</f>
        <v>0.12520000000000001</v>
      </c>
      <c r="AM132" s="133" t="s">
        <v>85</v>
      </c>
      <c r="BD132" s="143" t="str">
        <f t="shared" ref="BD132:BD195" si="122">CONCATENATE("W",BE132,"x",BF132)</f>
        <v>W18x119</v>
      </c>
      <c r="BE132">
        <v>18</v>
      </c>
      <c r="BF132" s="138">
        <v>118.99999999999999</v>
      </c>
      <c r="BG132" s="138">
        <v>18.97</v>
      </c>
      <c r="BH132" s="138">
        <v>0.65500000000000003</v>
      </c>
      <c r="BI132" s="138">
        <v>11.265000000000001</v>
      </c>
      <c r="BJ132" s="138">
        <v>1.06</v>
      </c>
      <c r="BK132" s="138">
        <v>0.4</v>
      </c>
      <c r="BM132" s="133" t="s">
        <v>85</v>
      </c>
    </row>
    <row r="133" spans="31:182" x14ac:dyDescent="0.3">
      <c r="AE133" s="127" t="str">
        <f t="shared" si="120"/>
        <v>L6x8x0.75</v>
      </c>
      <c r="AF133" s="138">
        <v>6.0000000000000009</v>
      </c>
      <c r="AG133" s="138">
        <v>8</v>
      </c>
      <c r="AH133" s="138">
        <v>0.75000000000000011</v>
      </c>
      <c r="AI133" s="138">
        <v>0.5</v>
      </c>
      <c r="AJ133" s="138">
        <v>0.5</v>
      </c>
      <c r="AK133">
        <f t="shared" si="121"/>
        <v>0.25020000000000009</v>
      </c>
      <c r="AM133" s="133" t="s">
        <v>85</v>
      </c>
      <c r="BD133" s="143" t="str">
        <f t="shared" si="122"/>
        <v>W18x130</v>
      </c>
      <c r="BE133">
        <v>18</v>
      </c>
      <c r="BF133" s="138">
        <v>130</v>
      </c>
      <c r="BG133" s="138">
        <v>19.25</v>
      </c>
      <c r="BH133" s="138">
        <v>0.67</v>
      </c>
      <c r="BI133" s="138">
        <v>11.16</v>
      </c>
      <c r="BJ133" s="138">
        <v>1.2</v>
      </c>
      <c r="BK133" s="138">
        <v>0.43</v>
      </c>
      <c r="BM133" s="133" t="s">
        <v>85</v>
      </c>
    </row>
    <row r="134" spans="31:182" x14ac:dyDescent="0.3">
      <c r="AE134" s="127" t="str">
        <f t="shared" si="120"/>
        <v>L6x8x0.875</v>
      </c>
      <c r="AF134" s="138">
        <v>6.0000000000000009</v>
      </c>
      <c r="AG134" s="138">
        <v>8</v>
      </c>
      <c r="AH134" s="138">
        <v>0.875</v>
      </c>
      <c r="AI134" s="138">
        <v>0.5</v>
      </c>
      <c r="AJ134" s="138">
        <v>0.5</v>
      </c>
      <c r="AK134">
        <f t="shared" si="121"/>
        <v>0.37519999999999998</v>
      </c>
      <c r="AM134" s="133" t="s">
        <v>85</v>
      </c>
      <c r="BD134" s="143" t="str">
        <f t="shared" si="122"/>
        <v>W18x143</v>
      </c>
      <c r="BE134">
        <v>18</v>
      </c>
      <c r="BF134" s="138">
        <v>143</v>
      </c>
      <c r="BG134" s="138">
        <v>19.489999999999998</v>
      </c>
      <c r="BH134" s="138">
        <v>0.73</v>
      </c>
      <c r="BI134" s="138">
        <v>11.22</v>
      </c>
      <c r="BJ134" s="138">
        <v>1.32</v>
      </c>
      <c r="BK134" s="138">
        <v>0.43</v>
      </c>
      <c r="BM134" s="133" t="s">
        <v>85</v>
      </c>
    </row>
    <row r="135" spans="31:182" x14ac:dyDescent="0.3">
      <c r="AE135" s="127" t="str">
        <f t="shared" si="120"/>
        <v>L6x8x1</v>
      </c>
      <c r="AF135" s="138">
        <v>6.0000000000000009</v>
      </c>
      <c r="AG135" s="138">
        <v>8</v>
      </c>
      <c r="AH135" s="138">
        <v>1</v>
      </c>
      <c r="AI135" s="138">
        <v>0.5</v>
      </c>
      <c r="AJ135" s="138">
        <v>0.5</v>
      </c>
      <c r="AK135">
        <f t="shared" si="121"/>
        <v>0.50019999999999998</v>
      </c>
      <c r="AM135" s="133" t="s">
        <v>85</v>
      </c>
      <c r="BD135" s="143" t="str">
        <f t="shared" si="122"/>
        <v>W18x158</v>
      </c>
      <c r="BE135">
        <v>18</v>
      </c>
      <c r="BF135" s="138">
        <v>158.00000000000003</v>
      </c>
      <c r="BG135" s="138">
        <v>19.72</v>
      </c>
      <c r="BH135" s="138">
        <v>0.81</v>
      </c>
      <c r="BI135" s="138">
        <v>11.3</v>
      </c>
      <c r="BJ135" s="138">
        <v>1.44</v>
      </c>
      <c r="BK135" s="138">
        <v>0.43</v>
      </c>
      <c r="BM135" s="133" t="s">
        <v>85</v>
      </c>
      <c r="FZ135" s="3"/>
    </row>
    <row r="136" spans="31:182" x14ac:dyDescent="0.3">
      <c r="AE136" s="127" t="str">
        <f t="shared" si="120"/>
        <v>L8x8x0.5</v>
      </c>
      <c r="AF136" s="138">
        <v>8</v>
      </c>
      <c r="AG136" s="138">
        <v>8</v>
      </c>
      <c r="AH136" s="138">
        <v>0.5</v>
      </c>
      <c r="AI136" s="138">
        <v>0.625</v>
      </c>
      <c r="AJ136" s="138">
        <v>0.625</v>
      </c>
      <c r="AK136">
        <f t="shared" si="121"/>
        <v>2.0000000000000001E-4</v>
      </c>
      <c r="AM136" s="133" t="s">
        <v>85</v>
      </c>
      <c r="BD136" s="143" t="str">
        <f t="shared" si="122"/>
        <v>W18x175</v>
      </c>
      <c r="BE136">
        <v>18</v>
      </c>
      <c r="BF136" s="138">
        <v>175.00000000000003</v>
      </c>
      <c r="BG136" s="138">
        <v>20.039999999999996</v>
      </c>
      <c r="BH136" s="138">
        <v>0.89</v>
      </c>
      <c r="BI136" s="138">
        <v>11.375</v>
      </c>
      <c r="BJ136" s="138">
        <v>1.59</v>
      </c>
      <c r="BK136" s="138">
        <v>0.43</v>
      </c>
      <c r="BM136" s="133" t="s">
        <v>85</v>
      </c>
    </row>
    <row r="137" spans="31:182" x14ac:dyDescent="0.3">
      <c r="AE137" s="127" t="str">
        <f t="shared" si="120"/>
        <v>L8x8x0.5625</v>
      </c>
      <c r="AF137" s="138">
        <v>8</v>
      </c>
      <c r="AG137" s="138">
        <v>8</v>
      </c>
      <c r="AH137" s="138">
        <v>0.5625</v>
      </c>
      <c r="AI137" s="138">
        <v>0.625</v>
      </c>
      <c r="AJ137" s="138">
        <v>0.625</v>
      </c>
      <c r="AK137">
        <f t="shared" si="121"/>
        <v>2.0000000000000001E-4</v>
      </c>
      <c r="AM137" s="133" t="s">
        <v>85</v>
      </c>
      <c r="BD137" s="143" t="str">
        <f t="shared" si="122"/>
        <v>W18x192</v>
      </c>
      <c r="BE137">
        <v>18</v>
      </c>
      <c r="BF137" s="138">
        <v>192.00000000000003</v>
      </c>
      <c r="BG137" s="138">
        <v>20.350000000000005</v>
      </c>
      <c r="BH137" s="138">
        <v>0.96</v>
      </c>
      <c r="BI137" s="138">
        <v>11.455000000000002</v>
      </c>
      <c r="BJ137" s="138">
        <v>1.75</v>
      </c>
      <c r="BK137" s="138">
        <v>0.43</v>
      </c>
      <c r="BM137" s="133" t="s">
        <v>85</v>
      </c>
    </row>
    <row r="138" spans="31:182" x14ac:dyDescent="0.3">
      <c r="AE138" s="127" t="str">
        <f t="shared" si="120"/>
        <v>L8x8x0.625</v>
      </c>
      <c r="AF138" s="138">
        <v>8</v>
      </c>
      <c r="AG138" s="138">
        <v>8</v>
      </c>
      <c r="AH138" s="138">
        <v>0.625</v>
      </c>
      <c r="AI138" s="138">
        <v>0.625</v>
      </c>
      <c r="AJ138" s="138">
        <v>0.625</v>
      </c>
      <c r="AK138">
        <f t="shared" si="121"/>
        <v>2.0000000000000001E-4</v>
      </c>
      <c r="AM138" s="133" t="s">
        <v>85</v>
      </c>
      <c r="BD138" s="143" t="str">
        <f t="shared" si="122"/>
        <v>W18x211</v>
      </c>
      <c r="BE138">
        <v>18</v>
      </c>
      <c r="BF138" s="138">
        <v>211</v>
      </c>
      <c r="BG138" s="138">
        <v>20.67</v>
      </c>
      <c r="BH138" s="138">
        <v>1.06</v>
      </c>
      <c r="BI138" s="138">
        <v>11.555000000000001</v>
      </c>
      <c r="BJ138" s="138">
        <v>1.91</v>
      </c>
      <c r="BK138" s="138">
        <v>0.43</v>
      </c>
      <c r="BM138" s="133" t="s">
        <v>85</v>
      </c>
    </row>
    <row r="139" spans="31:182" x14ac:dyDescent="0.3">
      <c r="AE139" s="127" t="str">
        <f t="shared" si="120"/>
        <v>L8x8x0.75</v>
      </c>
      <c r="AF139" s="138">
        <v>8</v>
      </c>
      <c r="AG139" s="138">
        <v>8</v>
      </c>
      <c r="AH139" s="138">
        <v>0.75000000000000011</v>
      </c>
      <c r="AI139" s="138">
        <v>0.625</v>
      </c>
      <c r="AJ139" s="138">
        <v>0.625</v>
      </c>
      <c r="AK139">
        <f t="shared" si="121"/>
        <v>0.12520000000000012</v>
      </c>
      <c r="AM139" s="133" t="s">
        <v>85</v>
      </c>
      <c r="BD139" s="143" t="str">
        <f t="shared" si="122"/>
        <v>W18x234</v>
      </c>
      <c r="BE139">
        <v>18</v>
      </c>
      <c r="BF139" s="138">
        <v>234</v>
      </c>
      <c r="BG139" s="138">
        <v>21.06</v>
      </c>
      <c r="BH139" s="138">
        <v>1.1599999999999999</v>
      </c>
      <c r="BI139" s="138">
        <v>11.65</v>
      </c>
      <c r="BJ139" s="138">
        <v>2.11</v>
      </c>
      <c r="BK139" s="138">
        <v>0.43</v>
      </c>
      <c r="BM139" s="133" t="s">
        <v>85</v>
      </c>
    </row>
    <row r="140" spans="31:182" x14ac:dyDescent="0.3">
      <c r="AE140" s="127" t="str">
        <f t="shared" si="120"/>
        <v>L8x8x0.875</v>
      </c>
      <c r="AF140" s="138">
        <v>8</v>
      </c>
      <c r="AG140" s="138">
        <v>8</v>
      </c>
      <c r="AH140" s="138">
        <v>0.875</v>
      </c>
      <c r="AI140" s="138">
        <v>0.625</v>
      </c>
      <c r="AJ140" s="138">
        <v>0.625</v>
      </c>
      <c r="AK140">
        <f t="shared" si="121"/>
        <v>0.25019999999999998</v>
      </c>
      <c r="AM140" s="133" t="s">
        <v>85</v>
      </c>
      <c r="BD140" s="143" t="str">
        <f t="shared" si="122"/>
        <v>W18x258</v>
      </c>
      <c r="BE140">
        <v>18</v>
      </c>
      <c r="BF140" s="138">
        <v>258</v>
      </c>
      <c r="BG140" s="138">
        <v>21.46</v>
      </c>
      <c r="BH140" s="138">
        <v>1.28</v>
      </c>
      <c r="BI140" s="138">
        <v>11.77</v>
      </c>
      <c r="BJ140" s="138">
        <v>2.2999999999999998</v>
      </c>
      <c r="BK140" s="138">
        <v>0.43</v>
      </c>
      <c r="BM140" s="133" t="s">
        <v>85</v>
      </c>
    </row>
    <row r="141" spans="31:182" x14ac:dyDescent="0.3">
      <c r="AE141" s="127" t="str">
        <f t="shared" si="120"/>
        <v>L8x8x1</v>
      </c>
      <c r="AF141" s="138">
        <v>8</v>
      </c>
      <c r="AG141" s="138">
        <v>8</v>
      </c>
      <c r="AH141" s="138">
        <v>1</v>
      </c>
      <c r="AI141" s="138">
        <v>0.625</v>
      </c>
      <c r="AJ141" s="138">
        <v>0.625</v>
      </c>
      <c r="AK141">
        <f t="shared" si="121"/>
        <v>0.37519999999999998</v>
      </c>
      <c r="AM141" s="133" t="s">
        <v>85</v>
      </c>
      <c r="BD141" s="143" t="str">
        <f t="shared" si="122"/>
        <v>W18x283</v>
      </c>
      <c r="BE141">
        <v>18</v>
      </c>
      <c r="BF141" s="138">
        <v>283</v>
      </c>
      <c r="BG141" s="138">
        <v>21.85</v>
      </c>
      <c r="BH141" s="138">
        <v>1.4</v>
      </c>
      <c r="BI141" s="138">
        <v>11.89</v>
      </c>
      <c r="BJ141" s="138">
        <v>2.5</v>
      </c>
      <c r="BK141" s="138">
        <v>0.43</v>
      </c>
      <c r="BM141" s="133" t="s">
        <v>85</v>
      </c>
    </row>
    <row r="142" spans="31:182" x14ac:dyDescent="0.3">
      <c r="AE142" s="127" t="str">
        <f t="shared" si="120"/>
        <v>L8x8x1.125</v>
      </c>
      <c r="AF142" s="138">
        <v>8</v>
      </c>
      <c r="AG142" s="138">
        <v>8</v>
      </c>
      <c r="AH142" s="138">
        <v>1.125</v>
      </c>
      <c r="AI142" s="138">
        <v>0.625</v>
      </c>
      <c r="AJ142" s="138">
        <v>0.625</v>
      </c>
      <c r="AK142">
        <f t="shared" si="121"/>
        <v>0.50019999999999998</v>
      </c>
      <c r="AM142" s="133" t="s">
        <v>85</v>
      </c>
      <c r="BD142" s="143" t="str">
        <f t="shared" si="122"/>
        <v>W18x311</v>
      </c>
      <c r="BE142">
        <v>18</v>
      </c>
      <c r="BF142" s="138">
        <v>311</v>
      </c>
      <c r="BG142" s="138">
        <v>22.32</v>
      </c>
      <c r="BH142" s="138">
        <v>1.5199999999999998</v>
      </c>
      <c r="BI142" s="138">
        <v>12.005000000000001</v>
      </c>
      <c r="BJ142" s="138">
        <v>2.74</v>
      </c>
      <c r="BK142" s="138">
        <v>0.43</v>
      </c>
      <c r="BM142" s="133" t="s">
        <v>85</v>
      </c>
    </row>
    <row r="143" spans="31:182" ht="15" thickBot="1" x14ac:dyDescent="0.35">
      <c r="AE143" s="129" t="s">
        <v>83</v>
      </c>
      <c r="AF143" s="96"/>
      <c r="AG143" s="96"/>
      <c r="AH143" s="96"/>
      <c r="AI143" s="96"/>
      <c r="AJ143" s="96"/>
      <c r="AK143" s="96"/>
      <c r="AL143" s="96"/>
      <c r="AM143" s="130"/>
      <c r="BD143" s="143" t="str">
        <f t="shared" si="122"/>
        <v>W21x44</v>
      </c>
      <c r="BE143">
        <v>21</v>
      </c>
      <c r="BF143" s="138">
        <v>44</v>
      </c>
      <c r="BG143" s="138">
        <v>20.66</v>
      </c>
      <c r="BH143" s="138">
        <v>0.35</v>
      </c>
      <c r="BI143" s="138">
        <v>6.5</v>
      </c>
      <c r="BJ143" s="138">
        <v>0.44999999999999996</v>
      </c>
      <c r="BK143" s="138">
        <v>0.5</v>
      </c>
      <c r="BL143" t="s">
        <v>176</v>
      </c>
      <c r="BM143" s="133" t="s">
        <v>85</v>
      </c>
    </row>
    <row r="144" spans="31:182" x14ac:dyDescent="0.3">
      <c r="BD144" s="143" t="str">
        <f t="shared" si="122"/>
        <v>W21x50</v>
      </c>
      <c r="BE144">
        <v>21</v>
      </c>
      <c r="BF144" s="138">
        <v>50</v>
      </c>
      <c r="BG144" s="138">
        <v>20.83</v>
      </c>
      <c r="BH144" s="138">
        <v>0.37999999999999995</v>
      </c>
      <c r="BI144" s="138">
        <v>6.53</v>
      </c>
      <c r="BJ144" s="138">
        <v>0.53500000000000003</v>
      </c>
      <c r="BK144" s="138">
        <v>0.5</v>
      </c>
      <c r="BM144" s="133" t="s">
        <v>85</v>
      </c>
    </row>
    <row r="145" spans="56:65" x14ac:dyDescent="0.3">
      <c r="BD145" s="143" t="str">
        <f t="shared" si="122"/>
        <v>W21x57</v>
      </c>
      <c r="BE145">
        <v>21</v>
      </c>
      <c r="BF145" s="138">
        <v>57</v>
      </c>
      <c r="BG145" s="138">
        <v>21.06</v>
      </c>
      <c r="BH145" s="138">
        <v>0.40500000000000003</v>
      </c>
      <c r="BI145" s="138">
        <v>6.5549999999999997</v>
      </c>
      <c r="BJ145" s="138">
        <v>0.65</v>
      </c>
      <c r="BK145" s="138">
        <v>0.5</v>
      </c>
      <c r="BM145" s="133" t="s">
        <v>85</v>
      </c>
    </row>
    <row r="146" spans="56:65" x14ac:dyDescent="0.3">
      <c r="BD146" s="143" t="str">
        <f t="shared" si="122"/>
        <v>W21x62</v>
      </c>
      <c r="BE146">
        <v>21</v>
      </c>
      <c r="BF146" s="138">
        <v>62</v>
      </c>
      <c r="BG146" s="138">
        <v>20.989999999999995</v>
      </c>
      <c r="BH146" s="138">
        <v>0.4</v>
      </c>
      <c r="BI146" s="138">
        <v>8.24</v>
      </c>
      <c r="BJ146" s="138">
        <v>0.61499999999999999</v>
      </c>
      <c r="BK146" s="138">
        <v>0.5</v>
      </c>
      <c r="BM146" s="133" t="s">
        <v>85</v>
      </c>
    </row>
    <row r="147" spans="56:65" x14ac:dyDescent="0.3">
      <c r="BD147" s="143" t="str">
        <f t="shared" si="122"/>
        <v>W21x68</v>
      </c>
      <c r="BE147">
        <v>21</v>
      </c>
      <c r="BF147" s="138">
        <v>68</v>
      </c>
      <c r="BG147" s="138">
        <v>21.130000000000003</v>
      </c>
      <c r="BH147" s="138">
        <v>0.43</v>
      </c>
      <c r="BI147" s="138">
        <v>8.27</v>
      </c>
      <c r="BJ147" s="138">
        <v>0.68500000000000005</v>
      </c>
      <c r="BK147" s="138">
        <v>0.5</v>
      </c>
      <c r="BM147" s="133" t="s">
        <v>85</v>
      </c>
    </row>
    <row r="148" spans="56:65" x14ac:dyDescent="0.3">
      <c r="BD148" s="143" t="str">
        <f t="shared" si="122"/>
        <v>W21x73</v>
      </c>
      <c r="BE148">
        <v>21</v>
      </c>
      <c r="BF148" s="138">
        <v>73</v>
      </c>
      <c r="BG148" s="138">
        <v>21.24</v>
      </c>
      <c r="BH148" s="138">
        <v>0.45500000000000002</v>
      </c>
      <c r="BI148" s="138">
        <v>8.2949999999999999</v>
      </c>
      <c r="BJ148" s="138">
        <v>0.74</v>
      </c>
      <c r="BK148" s="138">
        <v>0.5</v>
      </c>
      <c r="BM148" s="133" t="s">
        <v>85</v>
      </c>
    </row>
    <row r="149" spans="56:65" x14ac:dyDescent="0.3">
      <c r="BD149" s="143" t="str">
        <f t="shared" si="122"/>
        <v>W21x83</v>
      </c>
      <c r="BE149">
        <v>21</v>
      </c>
      <c r="BF149" s="138">
        <v>83</v>
      </c>
      <c r="BG149" s="138">
        <v>21.43</v>
      </c>
      <c r="BH149" s="138">
        <v>0.51500000000000001</v>
      </c>
      <c r="BI149" s="138">
        <v>8.3550000000000004</v>
      </c>
      <c r="BJ149" s="138">
        <v>0.83499999999999996</v>
      </c>
      <c r="BK149" s="138">
        <v>0.5</v>
      </c>
      <c r="BM149" s="133" t="s">
        <v>85</v>
      </c>
    </row>
    <row r="150" spans="56:65" x14ac:dyDescent="0.3">
      <c r="BD150" s="143" t="str">
        <f t="shared" si="122"/>
        <v>W21x93</v>
      </c>
      <c r="BE150">
        <v>21</v>
      </c>
      <c r="BF150" s="138">
        <v>93</v>
      </c>
      <c r="BG150" s="138">
        <v>21.62</v>
      </c>
      <c r="BH150" s="138">
        <v>0.57999999999999996</v>
      </c>
      <c r="BI150" s="138">
        <v>8.42</v>
      </c>
      <c r="BJ150" s="138">
        <v>0.93</v>
      </c>
      <c r="BK150" s="138">
        <v>0.5</v>
      </c>
      <c r="BM150" s="133" t="s">
        <v>85</v>
      </c>
    </row>
    <row r="151" spans="56:65" x14ac:dyDescent="0.3">
      <c r="BD151" s="143" t="str">
        <f t="shared" si="122"/>
        <v>W21x101</v>
      </c>
      <c r="BE151">
        <v>21</v>
      </c>
      <c r="BF151" s="138">
        <v>101</v>
      </c>
      <c r="BG151" s="138">
        <v>21.359999999999996</v>
      </c>
      <c r="BH151" s="138">
        <v>0.5</v>
      </c>
      <c r="BI151" s="138">
        <v>12.289999999999997</v>
      </c>
      <c r="BJ151" s="138">
        <v>0.8</v>
      </c>
      <c r="BK151" s="138">
        <v>0.5</v>
      </c>
      <c r="BM151" s="133" t="s">
        <v>85</v>
      </c>
    </row>
    <row r="152" spans="56:65" x14ac:dyDescent="0.3">
      <c r="BD152" s="143" t="str">
        <f t="shared" si="122"/>
        <v>W21x111</v>
      </c>
      <c r="BE152">
        <v>21</v>
      </c>
      <c r="BF152" s="138">
        <v>111</v>
      </c>
      <c r="BG152" s="138">
        <v>21.51</v>
      </c>
      <c r="BH152" s="138">
        <v>0.55000000000000004</v>
      </c>
      <c r="BI152" s="138">
        <v>12.34</v>
      </c>
      <c r="BJ152" s="138">
        <v>0.875</v>
      </c>
      <c r="BK152" s="138">
        <v>0.5</v>
      </c>
      <c r="BM152" s="133" t="s">
        <v>85</v>
      </c>
    </row>
    <row r="153" spans="56:65" x14ac:dyDescent="0.3">
      <c r="BD153" s="143" t="str">
        <f t="shared" si="122"/>
        <v>W21x122</v>
      </c>
      <c r="BE153">
        <v>21</v>
      </c>
      <c r="BF153" s="138">
        <v>122</v>
      </c>
      <c r="BG153" s="138">
        <v>21.68</v>
      </c>
      <c r="BH153" s="138">
        <v>0.6</v>
      </c>
      <c r="BI153" s="138">
        <v>12.39</v>
      </c>
      <c r="BJ153" s="138">
        <v>0.96</v>
      </c>
      <c r="BK153" s="138">
        <v>0.5</v>
      </c>
      <c r="BM153" s="133" t="s">
        <v>85</v>
      </c>
    </row>
    <row r="154" spans="56:65" x14ac:dyDescent="0.3">
      <c r="BD154" s="143" t="str">
        <f t="shared" si="122"/>
        <v>W21x132</v>
      </c>
      <c r="BE154">
        <v>21</v>
      </c>
      <c r="BF154" s="138">
        <v>132</v>
      </c>
      <c r="BG154" s="138">
        <v>21.83</v>
      </c>
      <c r="BH154" s="138">
        <v>0.65</v>
      </c>
      <c r="BI154" s="138">
        <v>12.44</v>
      </c>
      <c r="BJ154" s="138">
        <v>1.0349999999999999</v>
      </c>
      <c r="BK154" s="138">
        <v>0.5</v>
      </c>
      <c r="BM154" s="133" t="s">
        <v>85</v>
      </c>
    </row>
    <row r="155" spans="56:65" x14ac:dyDescent="0.3">
      <c r="BD155" s="143" t="str">
        <f t="shared" si="122"/>
        <v>W21x147</v>
      </c>
      <c r="BE155">
        <v>21</v>
      </c>
      <c r="BF155" s="138">
        <v>147</v>
      </c>
      <c r="BG155" s="138">
        <v>22.06</v>
      </c>
      <c r="BH155" s="138">
        <v>0.72</v>
      </c>
      <c r="BI155" s="138">
        <v>12.51</v>
      </c>
      <c r="BJ155" s="138">
        <v>1.1499999999999999</v>
      </c>
      <c r="BK155" s="138">
        <v>0.5</v>
      </c>
      <c r="BM155" s="133" t="s">
        <v>85</v>
      </c>
    </row>
    <row r="156" spans="56:65" x14ac:dyDescent="0.3">
      <c r="BD156" s="143" t="str">
        <f t="shared" si="122"/>
        <v>W21x166</v>
      </c>
      <c r="BE156">
        <v>21</v>
      </c>
      <c r="BF156" s="138">
        <v>166</v>
      </c>
      <c r="BG156" s="138">
        <v>22.479999999999997</v>
      </c>
      <c r="BH156" s="138">
        <v>0.75000000000000011</v>
      </c>
      <c r="BI156" s="138">
        <v>12.42</v>
      </c>
      <c r="BJ156" s="138">
        <v>1.3599999999999999</v>
      </c>
      <c r="BK156" s="138">
        <v>0.55000000000000004</v>
      </c>
      <c r="BM156" s="133" t="s">
        <v>85</v>
      </c>
    </row>
    <row r="157" spans="56:65" x14ac:dyDescent="0.3">
      <c r="BD157" s="143" t="str">
        <f t="shared" si="122"/>
        <v>W21x182</v>
      </c>
      <c r="BE157">
        <v>21</v>
      </c>
      <c r="BF157" s="138">
        <v>182</v>
      </c>
      <c r="BG157" s="138">
        <v>22.72</v>
      </c>
      <c r="BH157" s="138">
        <v>0.83000000000000007</v>
      </c>
      <c r="BI157" s="138">
        <v>12.5</v>
      </c>
      <c r="BJ157" s="138">
        <v>1.48</v>
      </c>
      <c r="BK157" s="138">
        <v>0.55000000000000004</v>
      </c>
      <c r="BM157" s="133" t="s">
        <v>85</v>
      </c>
    </row>
    <row r="158" spans="56:65" x14ac:dyDescent="0.3">
      <c r="BD158" s="143" t="str">
        <f t="shared" si="122"/>
        <v>W21x201</v>
      </c>
      <c r="BE158">
        <v>21</v>
      </c>
      <c r="BF158" s="138">
        <v>201</v>
      </c>
      <c r="BG158" s="138">
        <v>23.03</v>
      </c>
      <c r="BH158" s="138">
        <v>0.91</v>
      </c>
      <c r="BI158" s="138">
        <v>12.574999999999999</v>
      </c>
      <c r="BJ158" s="138">
        <v>1.63</v>
      </c>
      <c r="BK158" s="138">
        <v>0.55000000000000004</v>
      </c>
      <c r="BM158" s="133" t="s">
        <v>85</v>
      </c>
    </row>
    <row r="159" spans="56:65" x14ac:dyDescent="0.3">
      <c r="BD159" s="143" t="str">
        <f t="shared" si="122"/>
        <v>W21x223</v>
      </c>
      <c r="BE159">
        <v>21</v>
      </c>
      <c r="BF159" s="138">
        <v>223</v>
      </c>
      <c r="BG159" s="138">
        <v>23.35</v>
      </c>
      <c r="BH159" s="138">
        <v>1</v>
      </c>
      <c r="BI159" s="138">
        <v>12.674999999999999</v>
      </c>
      <c r="BJ159" s="138">
        <v>1.79</v>
      </c>
      <c r="BK159" s="138">
        <v>0.55000000000000004</v>
      </c>
      <c r="BM159" s="133" t="s">
        <v>85</v>
      </c>
    </row>
    <row r="160" spans="56:65" x14ac:dyDescent="0.3">
      <c r="BD160" s="143" t="str">
        <f t="shared" si="122"/>
        <v>W21x248</v>
      </c>
      <c r="BE160">
        <v>21</v>
      </c>
      <c r="BF160" s="138">
        <v>248</v>
      </c>
      <c r="BG160" s="138">
        <v>23.74</v>
      </c>
      <c r="BH160" s="138">
        <v>1.1000000000000001</v>
      </c>
      <c r="BI160" s="138">
        <v>12.775000000000002</v>
      </c>
      <c r="BJ160" s="138">
        <v>1.99</v>
      </c>
      <c r="BK160" s="138">
        <v>0.55000000000000004</v>
      </c>
      <c r="BM160" s="133" t="s">
        <v>85</v>
      </c>
    </row>
    <row r="161" spans="56:65" x14ac:dyDescent="0.3">
      <c r="BD161" s="143" t="str">
        <f t="shared" si="122"/>
        <v>W21x275</v>
      </c>
      <c r="BE161">
        <v>21</v>
      </c>
      <c r="BF161" s="138">
        <v>275</v>
      </c>
      <c r="BG161" s="138">
        <v>24.13</v>
      </c>
      <c r="BH161" s="138">
        <v>1.22</v>
      </c>
      <c r="BI161" s="138">
        <v>12.890000000000002</v>
      </c>
      <c r="BJ161" s="138">
        <v>2.19</v>
      </c>
      <c r="BK161" s="138">
        <v>0.55000000000000004</v>
      </c>
      <c r="BM161" s="133" t="s">
        <v>85</v>
      </c>
    </row>
    <row r="162" spans="56:65" x14ac:dyDescent="0.3">
      <c r="BD162" s="143" t="str">
        <f t="shared" si="122"/>
        <v>W21x300</v>
      </c>
      <c r="BE162">
        <v>21</v>
      </c>
      <c r="BF162" s="138">
        <v>300</v>
      </c>
      <c r="BG162" s="138">
        <v>24.53</v>
      </c>
      <c r="BH162" s="138">
        <v>1.32</v>
      </c>
      <c r="BI162" s="138">
        <v>12.99</v>
      </c>
      <c r="BJ162" s="138">
        <v>2.38</v>
      </c>
      <c r="BK162" s="138">
        <v>0.55000000000000004</v>
      </c>
      <c r="BM162" s="133" t="s">
        <v>85</v>
      </c>
    </row>
    <row r="163" spans="56:65" x14ac:dyDescent="0.3">
      <c r="BD163" s="143" t="str">
        <f t="shared" si="122"/>
        <v>W21x333</v>
      </c>
      <c r="BE163">
        <v>21</v>
      </c>
      <c r="BF163" s="138">
        <v>333</v>
      </c>
      <c r="BG163" s="138">
        <v>25</v>
      </c>
      <c r="BH163" s="138">
        <v>1.46</v>
      </c>
      <c r="BI163" s="138">
        <v>13.13</v>
      </c>
      <c r="BJ163" s="138">
        <v>2.62</v>
      </c>
      <c r="BK163" s="138">
        <v>0.55000000000000004</v>
      </c>
      <c r="BM163" s="133" t="s">
        <v>85</v>
      </c>
    </row>
    <row r="164" spans="56:65" x14ac:dyDescent="0.3">
      <c r="BD164" s="143" t="str">
        <f t="shared" si="122"/>
        <v>W21x364</v>
      </c>
      <c r="BE164">
        <v>21</v>
      </c>
      <c r="BF164" s="138">
        <v>364</v>
      </c>
      <c r="BG164" s="138">
        <v>25.469999999999995</v>
      </c>
      <c r="BH164" s="138">
        <v>1.59</v>
      </c>
      <c r="BI164" s="138">
        <v>13.264999999999999</v>
      </c>
      <c r="BJ164" s="138">
        <v>2.85</v>
      </c>
      <c r="BK164" s="138">
        <v>0.55000000000000004</v>
      </c>
      <c r="BM164" s="133" t="s">
        <v>85</v>
      </c>
    </row>
    <row r="165" spans="56:65" x14ac:dyDescent="0.3">
      <c r="BD165" s="143" t="str">
        <f t="shared" si="122"/>
        <v>W21x402</v>
      </c>
      <c r="BE165">
        <v>21</v>
      </c>
      <c r="BF165" s="138">
        <v>402</v>
      </c>
      <c r="BG165" s="138">
        <v>26.02</v>
      </c>
      <c r="BH165" s="138">
        <v>1.7299999999999998</v>
      </c>
      <c r="BI165" s="138">
        <v>13.404999999999999</v>
      </c>
      <c r="BJ165" s="138">
        <v>3.1299999999999994</v>
      </c>
      <c r="BK165" s="138">
        <v>0.55000000000000004</v>
      </c>
      <c r="BM165" s="133" t="s">
        <v>85</v>
      </c>
    </row>
    <row r="166" spans="56:65" x14ac:dyDescent="0.3">
      <c r="BD166" s="143" t="str">
        <f t="shared" si="122"/>
        <v>W24x55</v>
      </c>
      <c r="BE166">
        <v>24.000000000000004</v>
      </c>
      <c r="BF166" s="138">
        <v>55</v>
      </c>
      <c r="BG166" s="138">
        <v>23.570000000000004</v>
      </c>
      <c r="BH166" s="138">
        <v>0.39500000000000002</v>
      </c>
      <c r="BI166" s="138">
        <v>7.0049999999999999</v>
      </c>
      <c r="BJ166" s="138">
        <v>0.505</v>
      </c>
      <c r="BK166" s="138">
        <v>0.5</v>
      </c>
      <c r="BM166" s="133" t="s">
        <v>85</v>
      </c>
    </row>
    <row r="167" spans="56:65" x14ac:dyDescent="0.3">
      <c r="BD167" s="143" t="str">
        <f t="shared" si="122"/>
        <v>W24x62</v>
      </c>
      <c r="BE167">
        <v>24.000000000000004</v>
      </c>
      <c r="BF167" s="138">
        <v>62</v>
      </c>
      <c r="BG167" s="138">
        <v>23.74</v>
      </c>
      <c r="BH167" s="138">
        <v>0.43</v>
      </c>
      <c r="BI167" s="138">
        <v>7.04</v>
      </c>
      <c r="BJ167" s="138">
        <v>0.59</v>
      </c>
      <c r="BK167" s="138">
        <v>0.5</v>
      </c>
      <c r="BM167" s="133" t="s">
        <v>85</v>
      </c>
    </row>
    <row r="168" spans="56:65" x14ac:dyDescent="0.3">
      <c r="BD168" s="143" t="str">
        <f t="shared" si="122"/>
        <v>W24x68</v>
      </c>
      <c r="BE168">
        <v>24.000000000000004</v>
      </c>
      <c r="BF168" s="138">
        <v>68</v>
      </c>
      <c r="BG168" s="138">
        <v>23.73</v>
      </c>
      <c r="BH168" s="138">
        <v>0.41500000000000004</v>
      </c>
      <c r="BI168" s="138">
        <v>8.9649999999999999</v>
      </c>
      <c r="BJ168" s="138">
        <v>0.58499999999999996</v>
      </c>
      <c r="BK168" s="138">
        <v>0.5</v>
      </c>
      <c r="BM168" s="133" t="s">
        <v>85</v>
      </c>
    </row>
    <row r="169" spans="56:65" x14ac:dyDescent="0.3">
      <c r="BD169" s="143" t="str">
        <f t="shared" si="122"/>
        <v>W24x76</v>
      </c>
      <c r="BE169">
        <v>24.000000000000004</v>
      </c>
      <c r="BF169" s="138">
        <v>76</v>
      </c>
      <c r="BG169" s="138">
        <v>23.92</v>
      </c>
      <c r="BH169" s="138">
        <v>0.44</v>
      </c>
      <c r="BI169" s="138">
        <v>8.99</v>
      </c>
      <c r="BJ169" s="138">
        <v>0.67999999999999994</v>
      </c>
      <c r="BK169" s="138">
        <v>0.5</v>
      </c>
      <c r="BM169" s="133" t="s">
        <v>85</v>
      </c>
    </row>
    <row r="170" spans="56:65" x14ac:dyDescent="0.3">
      <c r="BD170" s="143" t="str">
        <f t="shared" si="122"/>
        <v>W24x84</v>
      </c>
      <c r="BE170">
        <v>24.000000000000004</v>
      </c>
      <c r="BF170" s="138">
        <v>84</v>
      </c>
      <c r="BG170" s="138">
        <v>24.1</v>
      </c>
      <c r="BH170" s="138">
        <v>0.47</v>
      </c>
      <c r="BI170" s="138">
        <v>9.02</v>
      </c>
      <c r="BJ170" s="138">
        <v>0.77</v>
      </c>
      <c r="BK170" s="138">
        <v>0.5</v>
      </c>
      <c r="BM170" s="133" t="s">
        <v>85</v>
      </c>
    </row>
    <row r="171" spans="56:65" x14ac:dyDescent="0.3">
      <c r="BD171" s="143" t="str">
        <f t="shared" si="122"/>
        <v>W24x94</v>
      </c>
      <c r="BE171">
        <v>24.000000000000004</v>
      </c>
      <c r="BF171" s="138">
        <v>94</v>
      </c>
      <c r="BG171" s="138">
        <v>24.31</v>
      </c>
      <c r="BH171" s="138">
        <v>0.51500000000000001</v>
      </c>
      <c r="BI171" s="138">
        <v>9.0649999999999995</v>
      </c>
      <c r="BJ171" s="138">
        <v>0.875</v>
      </c>
      <c r="BK171" s="138">
        <v>0.5</v>
      </c>
      <c r="BM171" s="133" t="s">
        <v>85</v>
      </c>
    </row>
    <row r="172" spans="56:65" x14ac:dyDescent="0.3">
      <c r="BD172" s="143" t="str">
        <f t="shared" si="122"/>
        <v>W24x103</v>
      </c>
      <c r="BE172">
        <v>24.000000000000004</v>
      </c>
      <c r="BF172" s="138">
        <v>103</v>
      </c>
      <c r="BG172" s="138">
        <v>24.53</v>
      </c>
      <c r="BH172" s="138">
        <v>0.55000000000000004</v>
      </c>
      <c r="BI172" s="138">
        <v>9</v>
      </c>
      <c r="BJ172" s="138">
        <v>0.98</v>
      </c>
      <c r="BK172" s="138">
        <v>0.5</v>
      </c>
      <c r="BM172" s="133" t="s">
        <v>85</v>
      </c>
    </row>
    <row r="173" spans="56:65" x14ac:dyDescent="0.3">
      <c r="BD173" s="143" t="str">
        <f t="shared" si="122"/>
        <v>W24x104</v>
      </c>
      <c r="BE173">
        <v>24.000000000000004</v>
      </c>
      <c r="BF173" s="138">
        <v>104</v>
      </c>
      <c r="BG173" s="138">
        <v>24.060000000000002</v>
      </c>
      <c r="BH173" s="138">
        <v>0.5</v>
      </c>
      <c r="BI173" s="138">
        <v>12.75</v>
      </c>
      <c r="BJ173" s="138">
        <v>0.75000000000000011</v>
      </c>
      <c r="BK173" s="138">
        <v>0.5</v>
      </c>
      <c r="BM173" s="133" t="s">
        <v>85</v>
      </c>
    </row>
    <row r="174" spans="56:65" x14ac:dyDescent="0.3">
      <c r="BD174" s="143" t="str">
        <f t="shared" si="122"/>
        <v>W24x117</v>
      </c>
      <c r="BE174">
        <v>24.000000000000004</v>
      </c>
      <c r="BF174" s="138">
        <v>117</v>
      </c>
      <c r="BG174" s="138">
        <v>24.259999999999998</v>
      </c>
      <c r="BH174" s="138">
        <v>0.55000000000000004</v>
      </c>
      <c r="BI174" s="138">
        <v>12.8</v>
      </c>
      <c r="BJ174" s="138">
        <v>0.85</v>
      </c>
      <c r="BK174" s="138">
        <v>0.5</v>
      </c>
      <c r="BM174" s="133" t="s">
        <v>85</v>
      </c>
    </row>
    <row r="175" spans="56:65" x14ac:dyDescent="0.3">
      <c r="BD175" s="143" t="str">
        <f t="shared" si="122"/>
        <v>W24x131</v>
      </c>
      <c r="BE175">
        <v>24.000000000000004</v>
      </c>
      <c r="BF175" s="138">
        <v>131</v>
      </c>
      <c r="BG175" s="138">
        <v>24.48</v>
      </c>
      <c r="BH175" s="138">
        <v>0.60499999999999998</v>
      </c>
      <c r="BI175" s="138">
        <v>12.855</v>
      </c>
      <c r="BJ175" s="138">
        <v>0.96</v>
      </c>
      <c r="BK175" s="138">
        <v>0.5</v>
      </c>
      <c r="BM175" s="133" t="s">
        <v>85</v>
      </c>
    </row>
    <row r="176" spans="56:65" x14ac:dyDescent="0.3">
      <c r="BD176" s="143" t="str">
        <f t="shared" si="122"/>
        <v>W24x146</v>
      </c>
      <c r="BE176">
        <v>24.000000000000004</v>
      </c>
      <c r="BF176" s="138">
        <v>146</v>
      </c>
      <c r="BG176" s="138">
        <v>24.74</v>
      </c>
      <c r="BH176" s="138">
        <v>0.65</v>
      </c>
      <c r="BI176" s="138">
        <v>12.9</v>
      </c>
      <c r="BJ176" s="138">
        <v>1.0900000000000001</v>
      </c>
      <c r="BK176" s="138">
        <v>0.5</v>
      </c>
      <c r="BM176" s="133" t="s">
        <v>85</v>
      </c>
    </row>
    <row r="177" spans="56:65" x14ac:dyDescent="0.3">
      <c r="BD177" s="143" t="str">
        <f t="shared" si="122"/>
        <v>W24x162</v>
      </c>
      <c r="BE177">
        <v>24.000000000000004</v>
      </c>
      <c r="BF177" s="138">
        <v>162</v>
      </c>
      <c r="BG177" s="138">
        <v>25</v>
      </c>
      <c r="BH177" s="138">
        <v>0.70499999999999996</v>
      </c>
      <c r="BI177" s="138">
        <v>12.955</v>
      </c>
      <c r="BJ177" s="138">
        <v>1.22</v>
      </c>
      <c r="BK177" s="138">
        <v>0.5</v>
      </c>
      <c r="BM177" s="133" t="s">
        <v>85</v>
      </c>
    </row>
    <row r="178" spans="56:65" x14ac:dyDescent="0.3">
      <c r="BD178" s="143" t="str">
        <f t="shared" si="122"/>
        <v>W24x176</v>
      </c>
      <c r="BE178">
        <v>24.000000000000004</v>
      </c>
      <c r="BF178" s="138">
        <v>176</v>
      </c>
      <c r="BG178" s="138">
        <v>25.239999999999995</v>
      </c>
      <c r="BH178" s="138">
        <v>0.75000000000000011</v>
      </c>
      <c r="BI178" s="138">
        <v>12.890000000000002</v>
      </c>
      <c r="BJ178" s="138">
        <v>1.34</v>
      </c>
      <c r="BK178" s="138">
        <v>0.51</v>
      </c>
      <c r="BM178" s="133" t="s">
        <v>85</v>
      </c>
    </row>
    <row r="179" spans="56:65" x14ac:dyDescent="0.3">
      <c r="BD179" s="143" t="str">
        <f t="shared" si="122"/>
        <v>W24x192</v>
      </c>
      <c r="BE179">
        <v>24.000000000000004</v>
      </c>
      <c r="BF179" s="138">
        <v>192.00000000000003</v>
      </c>
      <c r="BG179" s="138">
        <v>25.469999999999995</v>
      </c>
      <c r="BH179" s="138">
        <v>0.81</v>
      </c>
      <c r="BI179" s="138">
        <v>12.950000000000001</v>
      </c>
      <c r="BJ179" s="138">
        <v>1.46</v>
      </c>
      <c r="BK179" s="138">
        <v>0.51200000000000001</v>
      </c>
      <c r="BM179" s="133" t="s">
        <v>85</v>
      </c>
    </row>
    <row r="180" spans="56:65" x14ac:dyDescent="0.3">
      <c r="BD180" s="143" t="str">
        <f t="shared" si="122"/>
        <v>W24x207</v>
      </c>
      <c r="BE180">
        <v>24.000000000000004</v>
      </c>
      <c r="BF180" s="138">
        <v>207</v>
      </c>
      <c r="BG180" s="138">
        <v>25.71</v>
      </c>
      <c r="BH180" s="138">
        <v>0.87</v>
      </c>
      <c r="BI180" s="138">
        <v>13.01</v>
      </c>
      <c r="BJ180" s="138">
        <v>1.5700000000000003</v>
      </c>
      <c r="BK180" s="138">
        <v>0.51200000000000001</v>
      </c>
      <c r="BM180" s="133" t="s">
        <v>85</v>
      </c>
    </row>
    <row r="181" spans="56:65" x14ac:dyDescent="0.3">
      <c r="BD181" s="143" t="str">
        <f t="shared" si="122"/>
        <v>W24x229</v>
      </c>
      <c r="BE181">
        <v>24.000000000000004</v>
      </c>
      <c r="BF181" s="138">
        <v>229.00000000000003</v>
      </c>
      <c r="BG181" s="138">
        <v>26.02</v>
      </c>
      <c r="BH181" s="138">
        <v>0.96</v>
      </c>
      <c r="BI181" s="138">
        <v>13.11</v>
      </c>
      <c r="BJ181" s="138">
        <v>1.7299999999999998</v>
      </c>
      <c r="BK181" s="138">
        <v>0.51200000000000001</v>
      </c>
      <c r="BM181" s="133" t="s">
        <v>85</v>
      </c>
    </row>
    <row r="182" spans="56:65" x14ac:dyDescent="0.3">
      <c r="BD182" s="143" t="str">
        <f t="shared" si="122"/>
        <v>W24x250</v>
      </c>
      <c r="BE182">
        <v>24.000000000000004</v>
      </c>
      <c r="BF182" s="138">
        <v>250</v>
      </c>
      <c r="BG182" s="138">
        <v>26.34</v>
      </c>
      <c r="BH182" s="138">
        <v>1.04</v>
      </c>
      <c r="BI182" s="138">
        <v>13.185</v>
      </c>
      <c r="BJ182" s="138">
        <v>1.8899999999999997</v>
      </c>
      <c r="BK182" s="138">
        <v>0.51200000000000001</v>
      </c>
      <c r="BM182" s="133" t="s">
        <v>85</v>
      </c>
    </row>
    <row r="183" spans="56:65" x14ac:dyDescent="0.3">
      <c r="BD183" s="143" t="str">
        <f t="shared" si="122"/>
        <v>W24x279</v>
      </c>
      <c r="BE183">
        <v>24.000000000000004</v>
      </c>
      <c r="BF183" s="138">
        <v>279</v>
      </c>
      <c r="BG183" s="138">
        <v>26.730000000000004</v>
      </c>
      <c r="BH183" s="138">
        <v>1.1599999999999999</v>
      </c>
      <c r="BI183" s="138">
        <v>13.305</v>
      </c>
      <c r="BJ183" s="138">
        <v>2.09</v>
      </c>
      <c r="BK183" s="138">
        <v>0.51200000000000001</v>
      </c>
      <c r="BM183" s="133" t="s">
        <v>85</v>
      </c>
    </row>
    <row r="184" spans="56:65" x14ac:dyDescent="0.3">
      <c r="BD184" s="143" t="str">
        <f t="shared" si="122"/>
        <v>W24x306</v>
      </c>
      <c r="BE184">
        <v>24.000000000000004</v>
      </c>
      <c r="BF184" s="138">
        <v>306</v>
      </c>
      <c r="BG184" s="138">
        <v>27.13</v>
      </c>
      <c r="BH184" s="138">
        <v>1.26</v>
      </c>
      <c r="BI184" s="138">
        <v>13.404999999999999</v>
      </c>
      <c r="BJ184" s="138">
        <v>2.2799999999999998</v>
      </c>
      <c r="BK184" s="138">
        <v>0.51200000000000001</v>
      </c>
      <c r="BM184" s="133" t="s">
        <v>85</v>
      </c>
    </row>
    <row r="185" spans="56:65" x14ac:dyDescent="0.3">
      <c r="BD185" s="143" t="str">
        <f t="shared" si="122"/>
        <v>W24x335</v>
      </c>
      <c r="BE185">
        <v>24.000000000000004</v>
      </c>
      <c r="BF185" s="138">
        <v>335</v>
      </c>
      <c r="BG185" s="138">
        <v>27.52</v>
      </c>
      <c r="BH185" s="138">
        <v>1.3799999999999997</v>
      </c>
      <c r="BI185" s="138">
        <v>13.52</v>
      </c>
      <c r="BJ185" s="138">
        <v>2.48</v>
      </c>
      <c r="BK185" s="138">
        <v>0.51200000000000001</v>
      </c>
      <c r="BM185" s="133" t="s">
        <v>85</v>
      </c>
    </row>
    <row r="186" spans="56:65" x14ac:dyDescent="0.3">
      <c r="BD186" s="143" t="str">
        <f t="shared" si="122"/>
        <v>W24x370</v>
      </c>
      <c r="BE186">
        <v>24.000000000000004</v>
      </c>
      <c r="BF186" s="138">
        <v>370</v>
      </c>
      <c r="BG186" s="138">
        <v>27.99</v>
      </c>
      <c r="BH186" s="138">
        <v>1.5199999999999998</v>
      </c>
      <c r="BI186" s="138">
        <v>13.66</v>
      </c>
      <c r="BJ186" s="138">
        <v>2.7199999999999998</v>
      </c>
      <c r="BK186" s="138">
        <v>0.51200000000000001</v>
      </c>
      <c r="BM186" s="133" t="s">
        <v>85</v>
      </c>
    </row>
    <row r="187" spans="56:65" x14ac:dyDescent="0.3">
      <c r="BD187" s="143" t="str">
        <f t="shared" si="122"/>
        <v>W24x408</v>
      </c>
      <c r="BE187">
        <v>24.000000000000004</v>
      </c>
      <c r="BF187" s="138">
        <v>408</v>
      </c>
      <c r="BG187" s="138">
        <v>28.540000000000003</v>
      </c>
      <c r="BH187" s="138">
        <v>1.65</v>
      </c>
      <c r="BI187" s="138">
        <v>13.8</v>
      </c>
      <c r="BJ187" s="138">
        <v>2.99</v>
      </c>
      <c r="BK187" s="138">
        <v>0.51200000000000001</v>
      </c>
      <c r="BM187" s="133" t="s">
        <v>85</v>
      </c>
    </row>
    <row r="188" spans="56:65" x14ac:dyDescent="0.3">
      <c r="BD188" s="143" t="str">
        <f t="shared" si="122"/>
        <v>W24x450</v>
      </c>
      <c r="BE188">
        <v>24.000000000000004</v>
      </c>
      <c r="BF188" s="138">
        <v>450</v>
      </c>
      <c r="BG188" s="138">
        <v>29.09</v>
      </c>
      <c r="BH188" s="138">
        <v>1.81</v>
      </c>
      <c r="BI188" s="138">
        <v>13.954999999999998</v>
      </c>
      <c r="BJ188" s="138">
        <v>3.27</v>
      </c>
      <c r="BK188" s="138">
        <v>0.51200000000000001</v>
      </c>
      <c r="BM188" s="133" t="s">
        <v>85</v>
      </c>
    </row>
    <row r="189" spans="56:65" x14ac:dyDescent="0.3">
      <c r="BD189" s="143" t="str">
        <f t="shared" si="122"/>
        <v>W24x492</v>
      </c>
      <c r="BE189">
        <v>24.000000000000004</v>
      </c>
      <c r="BF189" s="138">
        <v>492</v>
      </c>
      <c r="BG189" s="138">
        <v>29.65</v>
      </c>
      <c r="BH189" s="138">
        <v>1.97</v>
      </c>
      <c r="BI189" s="138">
        <v>14.115</v>
      </c>
      <c r="BJ189" s="138">
        <v>3.54</v>
      </c>
      <c r="BK189" s="138">
        <v>0.51200000000000001</v>
      </c>
      <c r="BM189" s="133" t="s">
        <v>85</v>
      </c>
    </row>
    <row r="190" spans="56:65" x14ac:dyDescent="0.3">
      <c r="BD190" s="143" t="str">
        <f t="shared" si="122"/>
        <v>W27x84</v>
      </c>
      <c r="BE190">
        <v>27</v>
      </c>
      <c r="BF190" s="138">
        <v>84</v>
      </c>
      <c r="BG190" s="138">
        <v>26.71</v>
      </c>
      <c r="BH190" s="138">
        <v>0.46</v>
      </c>
      <c r="BI190" s="138">
        <v>9.9600000000000026</v>
      </c>
      <c r="BJ190" s="138">
        <v>0.64</v>
      </c>
      <c r="BK190" s="138">
        <v>0.6</v>
      </c>
      <c r="BL190" t="s">
        <v>175</v>
      </c>
      <c r="BM190" s="133" t="s">
        <v>85</v>
      </c>
    </row>
    <row r="191" spans="56:65" x14ac:dyDescent="0.3">
      <c r="BD191" s="143" t="str">
        <f t="shared" si="122"/>
        <v>W27x94</v>
      </c>
      <c r="BE191">
        <v>27</v>
      </c>
      <c r="BF191" s="138">
        <v>94</v>
      </c>
      <c r="BG191" s="138">
        <v>26.92</v>
      </c>
      <c r="BH191" s="138">
        <v>0.49</v>
      </c>
      <c r="BI191" s="138">
        <v>9.9899999999999984</v>
      </c>
      <c r="BJ191" s="138">
        <v>0.745</v>
      </c>
      <c r="BK191" s="138">
        <v>0.6</v>
      </c>
      <c r="BM191" s="133" t="s">
        <v>85</v>
      </c>
    </row>
    <row r="192" spans="56:65" x14ac:dyDescent="0.3">
      <c r="BD192" s="143" t="str">
        <f t="shared" si="122"/>
        <v>W27x102</v>
      </c>
      <c r="BE192">
        <v>27</v>
      </c>
      <c r="BF192" s="138">
        <v>102</v>
      </c>
      <c r="BG192" s="138">
        <v>27.09</v>
      </c>
      <c r="BH192" s="138">
        <v>0.51500000000000001</v>
      </c>
      <c r="BI192" s="138">
        <v>10.015000000000001</v>
      </c>
      <c r="BJ192" s="138">
        <v>0.83000000000000007</v>
      </c>
      <c r="BK192" s="138">
        <v>0.6</v>
      </c>
      <c r="BM192" s="133" t="s">
        <v>85</v>
      </c>
    </row>
    <row r="193" spans="56:65" x14ac:dyDescent="0.3">
      <c r="BD193" s="143" t="str">
        <f t="shared" si="122"/>
        <v>W27x114</v>
      </c>
      <c r="BE193">
        <v>27</v>
      </c>
      <c r="BF193" s="138">
        <v>114</v>
      </c>
      <c r="BG193" s="138">
        <v>27.29</v>
      </c>
      <c r="BH193" s="138">
        <v>0.56999999999999995</v>
      </c>
      <c r="BI193" s="138">
        <v>10.07</v>
      </c>
      <c r="BJ193" s="138">
        <v>0.93</v>
      </c>
      <c r="BK193" s="138">
        <v>0.6</v>
      </c>
      <c r="BM193" s="133" t="s">
        <v>85</v>
      </c>
    </row>
    <row r="194" spans="56:65" x14ac:dyDescent="0.3">
      <c r="BD194" s="143" t="str">
        <f t="shared" si="122"/>
        <v>W27x129</v>
      </c>
      <c r="BE194">
        <v>27</v>
      </c>
      <c r="BF194" s="138">
        <v>129</v>
      </c>
      <c r="BG194" s="138">
        <v>27.63</v>
      </c>
      <c r="BH194" s="138">
        <v>0.61</v>
      </c>
      <c r="BI194" s="138">
        <v>10.01</v>
      </c>
      <c r="BJ194" s="138">
        <v>1.1000000000000001</v>
      </c>
      <c r="BK194" s="138">
        <v>0.6</v>
      </c>
      <c r="BM194" s="133" t="s">
        <v>85</v>
      </c>
    </row>
    <row r="195" spans="56:65" x14ac:dyDescent="0.3">
      <c r="BD195" s="143" t="str">
        <f t="shared" si="122"/>
        <v>W27x146</v>
      </c>
      <c r="BE195">
        <v>27</v>
      </c>
      <c r="BF195" s="138">
        <v>146</v>
      </c>
      <c r="BG195" s="138">
        <v>27.38</v>
      </c>
      <c r="BH195" s="138">
        <v>0.60499999999999998</v>
      </c>
      <c r="BI195" s="138">
        <v>13.965</v>
      </c>
      <c r="BJ195" s="138">
        <v>0.97499999999999998</v>
      </c>
      <c r="BK195" s="138">
        <v>0.6</v>
      </c>
      <c r="BM195" s="133" t="s">
        <v>85</v>
      </c>
    </row>
    <row r="196" spans="56:65" x14ac:dyDescent="0.3">
      <c r="BD196" s="143" t="str">
        <f t="shared" ref="BD196:BD259" si="123">CONCATENATE("W",BE196,"x",BF196)</f>
        <v>W27x161</v>
      </c>
      <c r="BE196">
        <v>27</v>
      </c>
      <c r="BF196" s="138">
        <v>160.99999999999997</v>
      </c>
      <c r="BG196" s="138">
        <v>27.59</v>
      </c>
      <c r="BH196" s="138">
        <v>0.66</v>
      </c>
      <c r="BI196" s="138">
        <v>14.02</v>
      </c>
      <c r="BJ196" s="138">
        <v>1.08</v>
      </c>
      <c r="BK196" s="138">
        <v>0.6</v>
      </c>
      <c r="BM196" s="133" t="s">
        <v>85</v>
      </c>
    </row>
    <row r="197" spans="56:65" x14ac:dyDescent="0.3">
      <c r="BD197" s="143" t="str">
        <f t="shared" si="123"/>
        <v>W27x178</v>
      </c>
      <c r="BE197">
        <v>27</v>
      </c>
      <c r="BF197" s="138">
        <v>177.99999999999997</v>
      </c>
      <c r="BG197" s="138">
        <v>27.81</v>
      </c>
      <c r="BH197" s="138">
        <v>0.72499999999999987</v>
      </c>
      <c r="BI197" s="138">
        <v>14.085000000000001</v>
      </c>
      <c r="BJ197" s="138">
        <v>1.19</v>
      </c>
      <c r="BK197" s="138">
        <v>0.6</v>
      </c>
      <c r="BM197" s="133" t="s">
        <v>85</v>
      </c>
    </row>
    <row r="198" spans="56:65" x14ac:dyDescent="0.3">
      <c r="BD198" s="143" t="str">
        <f t="shared" si="123"/>
        <v>W27x194</v>
      </c>
      <c r="BE198">
        <v>27</v>
      </c>
      <c r="BF198" s="138">
        <v>194</v>
      </c>
      <c r="BG198" s="138">
        <v>28.110000000000003</v>
      </c>
      <c r="BH198" s="138">
        <v>0.75000000000000011</v>
      </c>
      <c r="BI198" s="138">
        <v>14.035</v>
      </c>
      <c r="BJ198" s="138">
        <v>1.34</v>
      </c>
      <c r="BK198" s="138">
        <v>0.59</v>
      </c>
      <c r="BM198" s="133" t="s">
        <v>85</v>
      </c>
    </row>
    <row r="199" spans="56:65" x14ac:dyDescent="0.3">
      <c r="BD199" s="143" t="str">
        <f t="shared" si="123"/>
        <v>W27x217</v>
      </c>
      <c r="BE199">
        <v>27</v>
      </c>
      <c r="BF199" s="138">
        <v>217</v>
      </c>
      <c r="BG199" s="138">
        <v>28.43</v>
      </c>
      <c r="BH199" s="138">
        <v>0.83000000000000007</v>
      </c>
      <c r="BI199" s="138">
        <v>14.115</v>
      </c>
      <c r="BJ199" s="138">
        <v>1.5000000000000002</v>
      </c>
      <c r="BK199" s="138">
        <v>0.59</v>
      </c>
      <c r="BM199" s="133" t="s">
        <v>85</v>
      </c>
    </row>
    <row r="200" spans="56:65" x14ac:dyDescent="0.3">
      <c r="BD200" s="143" t="str">
        <f t="shared" si="123"/>
        <v>W27x235</v>
      </c>
      <c r="BE200">
        <v>27</v>
      </c>
      <c r="BF200" s="138">
        <v>234.99999999999997</v>
      </c>
      <c r="BG200" s="138">
        <v>28.66</v>
      </c>
      <c r="BH200" s="138">
        <v>0.91</v>
      </c>
      <c r="BI200" s="138">
        <v>14.19</v>
      </c>
      <c r="BJ200" s="138">
        <v>1.61</v>
      </c>
      <c r="BK200" s="138">
        <v>0.59099999999999997</v>
      </c>
      <c r="BM200" s="133" t="s">
        <v>85</v>
      </c>
    </row>
    <row r="201" spans="56:65" x14ac:dyDescent="0.3">
      <c r="BD201" s="143" t="str">
        <f t="shared" si="123"/>
        <v>W27x258</v>
      </c>
      <c r="BE201">
        <v>27</v>
      </c>
      <c r="BF201" s="138">
        <v>258</v>
      </c>
      <c r="BG201" s="138">
        <v>28.98</v>
      </c>
      <c r="BH201" s="138">
        <v>0.98</v>
      </c>
      <c r="BI201" s="138">
        <v>14.270000000000001</v>
      </c>
      <c r="BJ201" s="138">
        <v>1.77</v>
      </c>
      <c r="BK201" s="138">
        <v>0.59099999999999997</v>
      </c>
      <c r="BM201" s="133" t="s">
        <v>85</v>
      </c>
    </row>
    <row r="202" spans="56:65" x14ac:dyDescent="0.3">
      <c r="BD202" s="143" t="str">
        <f t="shared" si="123"/>
        <v>W27x281</v>
      </c>
      <c r="BE202">
        <v>27</v>
      </c>
      <c r="BF202" s="138">
        <v>281</v>
      </c>
      <c r="BG202" s="138">
        <v>29.289999999999996</v>
      </c>
      <c r="BH202" s="138">
        <v>1.06</v>
      </c>
      <c r="BI202" s="138">
        <v>14.35</v>
      </c>
      <c r="BJ202" s="138">
        <v>1.93</v>
      </c>
      <c r="BK202" s="138">
        <v>0.59099999999999997</v>
      </c>
      <c r="BM202" s="133" t="s">
        <v>85</v>
      </c>
    </row>
    <row r="203" spans="56:65" x14ac:dyDescent="0.3">
      <c r="BD203" s="143" t="str">
        <f t="shared" si="123"/>
        <v>W27x307</v>
      </c>
      <c r="BE203">
        <v>27</v>
      </c>
      <c r="BF203" s="138">
        <v>307</v>
      </c>
      <c r="BG203" s="138">
        <v>29.61</v>
      </c>
      <c r="BH203" s="138">
        <v>1.1599999999999999</v>
      </c>
      <c r="BI203" s="138">
        <v>14.445</v>
      </c>
      <c r="BJ203" s="138">
        <v>2.09</v>
      </c>
      <c r="BK203" s="138">
        <v>0.59099999999999997</v>
      </c>
      <c r="BM203" s="133" t="s">
        <v>85</v>
      </c>
    </row>
    <row r="204" spans="56:65" x14ac:dyDescent="0.3">
      <c r="BD204" s="143" t="str">
        <f t="shared" si="123"/>
        <v>W27x336</v>
      </c>
      <c r="BE204">
        <v>27</v>
      </c>
      <c r="BF204" s="138">
        <v>336</v>
      </c>
      <c r="BG204" s="138">
        <v>30</v>
      </c>
      <c r="BH204" s="138">
        <v>1.26</v>
      </c>
      <c r="BI204" s="138">
        <v>14.545</v>
      </c>
      <c r="BJ204" s="138">
        <v>2.2799999999999998</v>
      </c>
      <c r="BK204" s="138">
        <v>0.59099999999999997</v>
      </c>
      <c r="BM204" s="133" t="s">
        <v>85</v>
      </c>
    </row>
    <row r="205" spans="56:65" x14ac:dyDescent="0.3">
      <c r="BD205" s="143" t="str">
        <f t="shared" si="123"/>
        <v>W27x368</v>
      </c>
      <c r="BE205">
        <v>27</v>
      </c>
      <c r="BF205" s="138">
        <v>368</v>
      </c>
      <c r="BG205" s="138">
        <v>30.39</v>
      </c>
      <c r="BH205" s="138">
        <v>1.3799999999999997</v>
      </c>
      <c r="BI205" s="138">
        <v>14.664999999999999</v>
      </c>
      <c r="BJ205" s="138">
        <v>2.48</v>
      </c>
      <c r="BK205" s="138">
        <v>0.59099999999999997</v>
      </c>
      <c r="BM205" s="133" t="s">
        <v>85</v>
      </c>
    </row>
    <row r="206" spans="56:65" x14ac:dyDescent="0.3">
      <c r="BD206" s="143" t="str">
        <f t="shared" si="123"/>
        <v>W27x407</v>
      </c>
      <c r="BE206">
        <v>27</v>
      </c>
      <c r="BF206" s="138">
        <v>407</v>
      </c>
      <c r="BG206" s="138">
        <v>30.87</v>
      </c>
      <c r="BH206" s="138">
        <v>1.5199999999999998</v>
      </c>
      <c r="BI206" s="138">
        <v>14.800000000000002</v>
      </c>
      <c r="BJ206" s="138">
        <v>2.7199999999999998</v>
      </c>
      <c r="BK206" s="138">
        <v>0.59099999999999997</v>
      </c>
      <c r="BM206" s="133" t="s">
        <v>85</v>
      </c>
    </row>
    <row r="207" spans="56:65" x14ac:dyDescent="0.3">
      <c r="BD207" s="143" t="str">
        <f t="shared" si="123"/>
        <v>W27x448</v>
      </c>
      <c r="BE207">
        <v>27</v>
      </c>
      <c r="BF207" s="138">
        <v>448</v>
      </c>
      <c r="BG207" s="138">
        <v>31.42</v>
      </c>
      <c r="BH207" s="138">
        <v>1.65</v>
      </c>
      <c r="BI207" s="138">
        <v>14.94</v>
      </c>
      <c r="BJ207" s="138">
        <v>2.99</v>
      </c>
      <c r="BK207" s="138">
        <v>0.59099999999999997</v>
      </c>
      <c r="BM207" s="133" t="s">
        <v>85</v>
      </c>
    </row>
    <row r="208" spans="56:65" x14ac:dyDescent="0.3">
      <c r="BD208" s="143" t="str">
        <f t="shared" si="123"/>
        <v>W27x494</v>
      </c>
      <c r="BE208">
        <v>27</v>
      </c>
      <c r="BF208" s="138">
        <v>494</v>
      </c>
      <c r="BG208" s="138">
        <v>31.97</v>
      </c>
      <c r="BH208" s="138">
        <v>1.81</v>
      </c>
      <c r="BI208" s="138">
        <v>15.095000000000001</v>
      </c>
      <c r="BJ208" s="138">
        <v>3.27</v>
      </c>
      <c r="BK208" s="138">
        <v>0.59099999999999997</v>
      </c>
      <c r="BM208" s="133" t="s">
        <v>85</v>
      </c>
    </row>
    <row r="209" spans="56:65" x14ac:dyDescent="0.3">
      <c r="BD209" s="143" t="str">
        <f t="shared" si="123"/>
        <v>W27x539</v>
      </c>
      <c r="BE209">
        <v>27</v>
      </c>
      <c r="BF209" s="138">
        <v>539</v>
      </c>
      <c r="BG209" s="138">
        <v>32.520000000000003</v>
      </c>
      <c r="BH209" s="138">
        <v>1.97</v>
      </c>
      <c r="BI209" s="138">
        <v>15.255000000000001</v>
      </c>
      <c r="BJ209" s="138">
        <v>3.54</v>
      </c>
      <c r="BK209" s="138">
        <v>0.59099999999999997</v>
      </c>
      <c r="BM209" s="133" t="s">
        <v>85</v>
      </c>
    </row>
    <row r="210" spans="56:65" x14ac:dyDescent="0.3">
      <c r="BD210" s="143" t="str">
        <f t="shared" si="123"/>
        <v>W30x90</v>
      </c>
      <c r="BE210">
        <v>30</v>
      </c>
      <c r="BF210" s="138">
        <v>90</v>
      </c>
      <c r="BG210" s="138">
        <v>29.53</v>
      </c>
      <c r="BH210" s="138">
        <v>0.47</v>
      </c>
      <c r="BI210" s="138">
        <v>10.4</v>
      </c>
      <c r="BJ210" s="138">
        <v>0.61</v>
      </c>
      <c r="BK210" s="138">
        <v>0.65</v>
      </c>
      <c r="BM210" s="133" t="s">
        <v>85</v>
      </c>
    </row>
    <row r="211" spans="56:65" x14ac:dyDescent="0.3">
      <c r="BD211" s="143" t="str">
        <f t="shared" si="123"/>
        <v>W30x99</v>
      </c>
      <c r="BE211">
        <v>30</v>
      </c>
      <c r="BF211" s="138">
        <v>98.999999999999986</v>
      </c>
      <c r="BG211" s="138">
        <v>29.65</v>
      </c>
      <c r="BH211" s="138">
        <v>0.52</v>
      </c>
      <c r="BI211" s="138">
        <v>10.450000000000001</v>
      </c>
      <c r="BJ211" s="138">
        <v>0.67</v>
      </c>
      <c r="BK211" s="138">
        <v>0.65</v>
      </c>
      <c r="BM211" s="133" t="s">
        <v>85</v>
      </c>
    </row>
    <row r="212" spans="56:65" x14ac:dyDescent="0.3">
      <c r="BD212" s="143" t="str">
        <f t="shared" si="123"/>
        <v>W30x108</v>
      </c>
      <c r="BE212">
        <v>30</v>
      </c>
      <c r="BF212" s="138">
        <v>108</v>
      </c>
      <c r="BG212" s="138">
        <v>29.83</v>
      </c>
      <c r="BH212" s="138">
        <v>0.54500000000000004</v>
      </c>
      <c r="BI212" s="138">
        <v>10.475</v>
      </c>
      <c r="BJ212" s="138">
        <v>0.7599999999999999</v>
      </c>
      <c r="BK212" s="138">
        <v>0.65</v>
      </c>
      <c r="BM212" s="133" t="s">
        <v>85</v>
      </c>
    </row>
    <row r="213" spans="56:65" x14ac:dyDescent="0.3">
      <c r="BD213" s="143" t="str">
        <f t="shared" si="123"/>
        <v>W30x116</v>
      </c>
      <c r="BE213">
        <v>30</v>
      </c>
      <c r="BF213" s="138">
        <v>116.00000000000001</v>
      </c>
      <c r="BG213" s="138">
        <v>30.01</v>
      </c>
      <c r="BH213" s="138">
        <v>0.56499999999999995</v>
      </c>
      <c r="BI213" s="138">
        <v>10.494999999999997</v>
      </c>
      <c r="BJ213" s="138">
        <v>0.85</v>
      </c>
      <c r="BK213" s="138">
        <v>0.65</v>
      </c>
      <c r="BM213" s="133" t="s">
        <v>85</v>
      </c>
    </row>
    <row r="214" spans="56:65" x14ac:dyDescent="0.3">
      <c r="BD214" s="143" t="str">
        <f t="shared" si="123"/>
        <v>W30x124</v>
      </c>
      <c r="BE214">
        <v>30</v>
      </c>
      <c r="BF214" s="138">
        <v>124</v>
      </c>
      <c r="BG214" s="138">
        <v>30.17</v>
      </c>
      <c r="BH214" s="138">
        <v>0.58499999999999996</v>
      </c>
      <c r="BI214" s="138">
        <v>10.515000000000001</v>
      </c>
      <c r="BJ214" s="138">
        <v>0.93</v>
      </c>
      <c r="BK214" s="138">
        <v>0.65</v>
      </c>
      <c r="BM214" s="133" t="s">
        <v>85</v>
      </c>
    </row>
    <row r="215" spans="56:65" x14ac:dyDescent="0.3">
      <c r="BD215" s="143" t="str">
        <f t="shared" si="123"/>
        <v>W30x132</v>
      </c>
      <c r="BE215">
        <v>30</v>
      </c>
      <c r="BF215" s="138">
        <v>132</v>
      </c>
      <c r="BG215" s="138">
        <v>30.31</v>
      </c>
      <c r="BH215" s="138">
        <v>0.61499999999999999</v>
      </c>
      <c r="BI215" s="138">
        <v>10.545</v>
      </c>
      <c r="BJ215" s="138">
        <v>1</v>
      </c>
      <c r="BK215" s="138">
        <v>0.65</v>
      </c>
      <c r="BM215" s="133" t="s">
        <v>85</v>
      </c>
    </row>
    <row r="216" spans="56:65" x14ac:dyDescent="0.3">
      <c r="BD216" s="143" t="str">
        <f t="shared" si="123"/>
        <v>W30x148</v>
      </c>
      <c r="BE216">
        <v>30</v>
      </c>
      <c r="BF216" s="138">
        <v>148</v>
      </c>
      <c r="BG216" s="138">
        <v>30.67</v>
      </c>
      <c r="BH216" s="138">
        <v>0.65</v>
      </c>
      <c r="BI216" s="138">
        <v>10.48</v>
      </c>
      <c r="BJ216" s="138">
        <v>1.18</v>
      </c>
      <c r="BK216" s="138">
        <v>0.65</v>
      </c>
      <c r="BM216" s="133" t="s">
        <v>85</v>
      </c>
    </row>
    <row r="217" spans="56:65" x14ac:dyDescent="0.3">
      <c r="BD217" s="143" t="str">
        <f t="shared" si="123"/>
        <v>W30x173</v>
      </c>
      <c r="BE217">
        <v>30</v>
      </c>
      <c r="BF217" s="138">
        <v>173</v>
      </c>
      <c r="BG217" s="138">
        <v>30.44</v>
      </c>
      <c r="BH217" s="138">
        <v>0.65500000000000003</v>
      </c>
      <c r="BI217" s="138">
        <v>14.984999999999999</v>
      </c>
      <c r="BJ217" s="138">
        <v>1.0649999999999999</v>
      </c>
      <c r="BK217" s="138">
        <v>0.65</v>
      </c>
      <c r="BM217" s="133" t="s">
        <v>85</v>
      </c>
    </row>
    <row r="218" spans="56:65" x14ac:dyDescent="0.3">
      <c r="BD218" s="143" t="str">
        <f t="shared" si="123"/>
        <v>W30x191</v>
      </c>
      <c r="BE218">
        <v>30</v>
      </c>
      <c r="BF218" s="138">
        <v>191</v>
      </c>
      <c r="BG218" s="138">
        <v>30.68</v>
      </c>
      <c r="BH218" s="138">
        <v>0.71</v>
      </c>
      <c r="BI218" s="138">
        <v>15.04</v>
      </c>
      <c r="BJ218" s="138">
        <v>1.1850000000000001</v>
      </c>
      <c r="BK218" s="138">
        <v>0.65</v>
      </c>
      <c r="BM218" s="133" t="s">
        <v>85</v>
      </c>
    </row>
    <row r="219" spans="56:65" x14ac:dyDescent="0.3">
      <c r="BD219" s="143" t="str">
        <f t="shared" si="123"/>
        <v>W30x211</v>
      </c>
      <c r="BE219">
        <v>30</v>
      </c>
      <c r="BF219" s="138">
        <v>211</v>
      </c>
      <c r="BG219" s="138">
        <v>30.94</v>
      </c>
      <c r="BH219" s="138">
        <v>0.77500000000000002</v>
      </c>
      <c r="BI219" s="138">
        <v>15.105</v>
      </c>
      <c r="BJ219" s="138">
        <v>1.3149999999999999</v>
      </c>
      <c r="BK219" s="138">
        <v>0.65</v>
      </c>
      <c r="BM219" s="133" t="s">
        <v>85</v>
      </c>
    </row>
    <row r="220" spans="56:65" x14ac:dyDescent="0.3">
      <c r="BD220" s="143" t="str">
        <f t="shared" si="123"/>
        <v>W30x235</v>
      </c>
      <c r="BE220">
        <v>30</v>
      </c>
      <c r="BF220" s="138">
        <v>234.99999999999997</v>
      </c>
      <c r="BG220" s="138">
        <v>31.299999999999997</v>
      </c>
      <c r="BH220" s="138">
        <v>0.83000000000000007</v>
      </c>
      <c r="BI220" s="138">
        <v>15.055</v>
      </c>
      <c r="BJ220" s="138">
        <v>1.5000000000000002</v>
      </c>
      <c r="BK220" s="138">
        <v>0.67</v>
      </c>
      <c r="BM220" s="133" t="s">
        <v>85</v>
      </c>
    </row>
    <row r="221" spans="56:65" x14ac:dyDescent="0.3">
      <c r="BD221" s="143" t="str">
        <f t="shared" si="123"/>
        <v>W30x261</v>
      </c>
      <c r="BE221">
        <v>30</v>
      </c>
      <c r="BF221" s="138">
        <v>261</v>
      </c>
      <c r="BG221" s="138">
        <v>31.61</v>
      </c>
      <c r="BH221" s="138">
        <v>0.93</v>
      </c>
      <c r="BI221" s="138">
        <v>15.154999999999999</v>
      </c>
      <c r="BJ221" s="138">
        <v>1.65</v>
      </c>
      <c r="BK221" s="138">
        <v>0.66900000000000004</v>
      </c>
      <c r="BM221" s="133" t="s">
        <v>85</v>
      </c>
    </row>
    <row r="222" spans="56:65" x14ac:dyDescent="0.3">
      <c r="BD222" s="143" t="str">
        <f t="shared" si="123"/>
        <v>W30x292</v>
      </c>
      <c r="BE222">
        <v>30</v>
      </c>
      <c r="BF222" s="138">
        <v>292</v>
      </c>
      <c r="BG222" s="138">
        <v>32.01</v>
      </c>
      <c r="BH222" s="138">
        <v>1.02</v>
      </c>
      <c r="BI222" s="138">
        <v>15.255000000000001</v>
      </c>
      <c r="BJ222" s="138">
        <v>1.8500000000000003</v>
      </c>
      <c r="BK222" s="138">
        <v>0.66900000000000004</v>
      </c>
      <c r="BM222" s="133" t="s">
        <v>85</v>
      </c>
    </row>
    <row r="223" spans="56:65" x14ac:dyDescent="0.3">
      <c r="BD223" s="143" t="str">
        <f t="shared" si="123"/>
        <v>W30x326</v>
      </c>
      <c r="BE223">
        <v>30</v>
      </c>
      <c r="BF223" s="138">
        <v>326</v>
      </c>
      <c r="BG223" s="138">
        <v>32.4</v>
      </c>
      <c r="BH223" s="138">
        <v>1.1399999999999999</v>
      </c>
      <c r="BI223" s="138">
        <v>15.37</v>
      </c>
      <c r="BJ223" s="138">
        <v>2.0499999999999998</v>
      </c>
      <c r="BK223" s="138">
        <v>0.66900000000000004</v>
      </c>
      <c r="BM223" s="133" t="s">
        <v>85</v>
      </c>
    </row>
    <row r="224" spans="56:65" x14ac:dyDescent="0.3">
      <c r="BD224" s="143" t="str">
        <f t="shared" si="123"/>
        <v>W30x357</v>
      </c>
      <c r="BE224">
        <v>30</v>
      </c>
      <c r="BF224" s="138">
        <v>357</v>
      </c>
      <c r="BG224" s="138">
        <v>32.799999999999997</v>
      </c>
      <c r="BH224" s="138">
        <v>1.24</v>
      </c>
      <c r="BI224" s="138">
        <v>15.47</v>
      </c>
      <c r="BJ224" s="138">
        <v>2.2400000000000002</v>
      </c>
      <c r="BK224" s="138">
        <v>0.66900000000000004</v>
      </c>
      <c r="BM224" s="133" t="s">
        <v>85</v>
      </c>
    </row>
    <row r="225" spans="56:65" x14ac:dyDescent="0.3">
      <c r="BD225" s="143" t="str">
        <f t="shared" si="123"/>
        <v>W30x391</v>
      </c>
      <c r="BE225">
        <v>30</v>
      </c>
      <c r="BF225" s="138">
        <v>391</v>
      </c>
      <c r="BG225" s="138">
        <v>33.19</v>
      </c>
      <c r="BH225" s="138">
        <v>1.3599999999999999</v>
      </c>
      <c r="BI225" s="138">
        <v>15.59</v>
      </c>
      <c r="BJ225" s="138">
        <v>2.44</v>
      </c>
      <c r="BK225" s="138">
        <v>0.66900000000000004</v>
      </c>
      <c r="BM225" s="133" t="s">
        <v>85</v>
      </c>
    </row>
    <row r="226" spans="56:65" x14ac:dyDescent="0.3">
      <c r="BD226" s="143" t="str">
        <f t="shared" si="123"/>
        <v>W30x433</v>
      </c>
      <c r="BE226">
        <v>30</v>
      </c>
      <c r="BF226" s="138">
        <v>432.99999999999994</v>
      </c>
      <c r="BG226" s="138">
        <v>33.659999999999997</v>
      </c>
      <c r="BH226" s="138">
        <v>1.5000000000000002</v>
      </c>
      <c r="BI226" s="138">
        <v>15.725</v>
      </c>
      <c r="BJ226" s="138">
        <v>2.68</v>
      </c>
      <c r="BK226" s="138">
        <v>0.66900000000000004</v>
      </c>
      <c r="BM226" s="133" t="s">
        <v>85</v>
      </c>
    </row>
    <row r="227" spans="56:65" x14ac:dyDescent="0.3">
      <c r="BD227" s="143" t="str">
        <f t="shared" si="123"/>
        <v>W30x477</v>
      </c>
      <c r="BE227">
        <v>30</v>
      </c>
      <c r="BF227" s="138">
        <v>477</v>
      </c>
      <c r="BG227" s="138">
        <v>34.21</v>
      </c>
      <c r="BH227" s="138">
        <v>1.63</v>
      </c>
      <c r="BI227" s="138">
        <v>15.864999999999998</v>
      </c>
      <c r="BJ227" s="138">
        <v>2.9499999999999997</v>
      </c>
      <c r="BK227" s="138">
        <v>0.66900000000000004</v>
      </c>
      <c r="BM227" s="133" t="s">
        <v>85</v>
      </c>
    </row>
    <row r="228" spans="56:65" x14ac:dyDescent="0.3">
      <c r="BD228" s="143" t="str">
        <f t="shared" si="123"/>
        <v>W30x526</v>
      </c>
      <c r="BE228">
        <v>30</v>
      </c>
      <c r="BF228" s="138">
        <v>526</v>
      </c>
      <c r="BG228" s="138">
        <v>34.76</v>
      </c>
      <c r="BH228" s="138">
        <v>1.79</v>
      </c>
      <c r="BI228" s="138">
        <v>16.02</v>
      </c>
      <c r="BJ228" s="138">
        <v>3.2300000000000004</v>
      </c>
      <c r="BK228" s="138">
        <v>0.66900000000000004</v>
      </c>
      <c r="BM228" s="133" t="s">
        <v>85</v>
      </c>
    </row>
    <row r="229" spans="56:65" x14ac:dyDescent="0.3">
      <c r="BD229" s="143" t="str">
        <f t="shared" si="123"/>
        <v>W30x581</v>
      </c>
      <c r="BE229">
        <v>30</v>
      </c>
      <c r="BF229" s="138">
        <v>581</v>
      </c>
      <c r="BG229" s="138">
        <v>35.39</v>
      </c>
      <c r="BH229" s="138">
        <v>1.97</v>
      </c>
      <c r="BI229" s="138">
        <v>16.2</v>
      </c>
      <c r="BJ229" s="138">
        <v>3.54</v>
      </c>
      <c r="BK229" s="138">
        <v>0.66900000000000004</v>
      </c>
      <c r="BM229" s="133" t="s">
        <v>85</v>
      </c>
    </row>
    <row r="230" spans="56:65" x14ac:dyDescent="0.3">
      <c r="BD230" s="143" t="str">
        <f t="shared" si="123"/>
        <v>W33x118</v>
      </c>
      <c r="BE230">
        <v>33</v>
      </c>
      <c r="BF230" s="138">
        <v>118</v>
      </c>
      <c r="BG230" s="138">
        <v>32.86</v>
      </c>
      <c r="BH230" s="138">
        <v>0.55000000000000004</v>
      </c>
      <c r="BI230" s="138">
        <v>11.48</v>
      </c>
      <c r="BJ230" s="138">
        <v>0.74</v>
      </c>
      <c r="BK230" s="138">
        <v>0.7</v>
      </c>
      <c r="BM230" s="133" t="s">
        <v>85</v>
      </c>
    </row>
    <row r="231" spans="56:65" x14ac:dyDescent="0.3">
      <c r="BD231" s="143" t="str">
        <f t="shared" si="123"/>
        <v>W33x130</v>
      </c>
      <c r="BE231">
        <v>33</v>
      </c>
      <c r="BF231" s="138">
        <v>130</v>
      </c>
      <c r="BG231" s="138">
        <v>33.090000000000003</v>
      </c>
      <c r="BH231" s="138">
        <v>0.57999999999999996</v>
      </c>
      <c r="BI231" s="138">
        <v>11.51</v>
      </c>
      <c r="BJ231" s="138">
        <v>0.85499999999999998</v>
      </c>
      <c r="BK231" s="138">
        <v>0.7</v>
      </c>
      <c r="BM231" s="133" t="s">
        <v>85</v>
      </c>
    </row>
    <row r="232" spans="56:65" x14ac:dyDescent="0.3">
      <c r="BD232" s="143" t="str">
        <f t="shared" si="123"/>
        <v>W33x141</v>
      </c>
      <c r="BE232">
        <v>33</v>
      </c>
      <c r="BF232" s="138">
        <v>141</v>
      </c>
      <c r="BG232" s="138">
        <v>33.299999999999997</v>
      </c>
      <c r="BH232" s="138">
        <v>0.60499999999999998</v>
      </c>
      <c r="BI232" s="138">
        <v>11.535</v>
      </c>
      <c r="BJ232" s="138">
        <v>0.96</v>
      </c>
      <c r="BK232" s="138">
        <v>0.7</v>
      </c>
      <c r="BM232" s="133" t="s">
        <v>85</v>
      </c>
    </row>
    <row r="233" spans="56:65" x14ac:dyDescent="0.3">
      <c r="BD233" s="143" t="str">
        <f t="shared" si="123"/>
        <v>W33x152</v>
      </c>
      <c r="BE233">
        <v>33</v>
      </c>
      <c r="BF233" s="138">
        <v>152</v>
      </c>
      <c r="BG233" s="138">
        <v>33.49</v>
      </c>
      <c r="BH233" s="138">
        <v>0.63500000000000001</v>
      </c>
      <c r="BI233" s="138">
        <v>11.565</v>
      </c>
      <c r="BJ233" s="138">
        <v>1.0549999999999999</v>
      </c>
      <c r="BK233" s="138">
        <v>0.7</v>
      </c>
      <c r="BM233" s="133" t="s">
        <v>85</v>
      </c>
    </row>
    <row r="234" spans="56:65" x14ac:dyDescent="0.3">
      <c r="BD234" s="143" t="str">
        <f t="shared" si="123"/>
        <v>W33x169</v>
      </c>
      <c r="BE234">
        <v>33</v>
      </c>
      <c r="BF234" s="138">
        <v>169</v>
      </c>
      <c r="BG234" s="138">
        <v>33.82</v>
      </c>
      <c r="BH234" s="138">
        <v>0.67</v>
      </c>
      <c r="BI234" s="138">
        <v>11.5</v>
      </c>
      <c r="BJ234" s="138">
        <v>1.22</v>
      </c>
      <c r="BK234" s="138">
        <v>0.7</v>
      </c>
      <c r="BM234" s="133" t="s">
        <v>85</v>
      </c>
    </row>
    <row r="235" spans="56:65" x14ac:dyDescent="0.3">
      <c r="BD235" s="143" t="str">
        <f t="shared" si="123"/>
        <v>W33x201</v>
      </c>
      <c r="BE235">
        <v>33</v>
      </c>
      <c r="BF235" s="138">
        <v>201</v>
      </c>
      <c r="BG235" s="138">
        <v>33.68</v>
      </c>
      <c r="BH235" s="138">
        <v>0.71499999999999997</v>
      </c>
      <c r="BI235" s="138">
        <v>15.744999999999999</v>
      </c>
      <c r="BJ235" s="138">
        <v>1.1499999999999999</v>
      </c>
      <c r="BK235" s="138">
        <v>0.7</v>
      </c>
      <c r="BM235" s="133" t="s">
        <v>85</v>
      </c>
    </row>
    <row r="236" spans="56:65" x14ac:dyDescent="0.3">
      <c r="BD236" s="143" t="str">
        <f t="shared" si="123"/>
        <v>W33x221</v>
      </c>
      <c r="BE236">
        <v>33</v>
      </c>
      <c r="BF236" s="138">
        <v>221</v>
      </c>
      <c r="BG236" s="138">
        <v>33.93</v>
      </c>
      <c r="BH236" s="138">
        <v>0.77500000000000002</v>
      </c>
      <c r="BI236" s="138">
        <v>15.805</v>
      </c>
      <c r="BJ236" s="138">
        <v>1.2749999999999999</v>
      </c>
      <c r="BK236" s="138">
        <v>0.7</v>
      </c>
      <c r="BM236" s="133" t="s">
        <v>85</v>
      </c>
    </row>
    <row r="237" spans="56:65" x14ac:dyDescent="0.3">
      <c r="BD237" s="143" t="str">
        <f t="shared" si="123"/>
        <v>W33x241</v>
      </c>
      <c r="BE237">
        <v>33</v>
      </c>
      <c r="BF237" s="138">
        <v>241</v>
      </c>
      <c r="BG237" s="138">
        <v>34.18</v>
      </c>
      <c r="BH237" s="138">
        <v>0.83000000000000007</v>
      </c>
      <c r="BI237" s="138">
        <v>15.86</v>
      </c>
      <c r="BJ237" s="138">
        <v>1.4</v>
      </c>
      <c r="BK237" s="138">
        <v>0.7</v>
      </c>
      <c r="BM237" s="133" t="s">
        <v>85</v>
      </c>
    </row>
    <row r="238" spans="56:65" x14ac:dyDescent="0.3">
      <c r="BD238" s="143" t="str">
        <f t="shared" si="123"/>
        <v>W33x263</v>
      </c>
      <c r="BE238">
        <v>33</v>
      </c>
      <c r="BF238" s="138">
        <v>263</v>
      </c>
      <c r="BG238" s="138">
        <v>34.53</v>
      </c>
      <c r="BH238" s="138">
        <v>0.87</v>
      </c>
      <c r="BI238" s="138">
        <v>15.805</v>
      </c>
      <c r="BJ238" s="138">
        <v>1.5700000000000003</v>
      </c>
      <c r="BK238" s="138">
        <v>0.71</v>
      </c>
      <c r="BM238" s="133" t="s">
        <v>85</v>
      </c>
    </row>
    <row r="239" spans="56:65" x14ac:dyDescent="0.3">
      <c r="BD239" s="143" t="str">
        <f t="shared" si="123"/>
        <v>W33x291</v>
      </c>
      <c r="BE239">
        <v>33</v>
      </c>
      <c r="BF239" s="138">
        <v>291</v>
      </c>
      <c r="BG239" s="138">
        <v>34.840000000000003</v>
      </c>
      <c r="BH239" s="138">
        <v>0.96</v>
      </c>
      <c r="BI239" s="138">
        <v>15.904999999999999</v>
      </c>
      <c r="BJ239" s="138">
        <v>1.7299999999999998</v>
      </c>
      <c r="BK239" s="138">
        <v>0.71</v>
      </c>
      <c r="BM239" s="133" t="s">
        <v>85</v>
      </c>
    </row>
    <row r="240" spans="56:65" x14ac:dyDescent="0.3">
      <c r="BD240" s="143" t="str">
        <f t="shared" si="123"/>
        <v>W33x318</v>
      </c>
      <c r="BE240">
        <v>33</v>
      </c>
      <c r="BF240" s="138">
        <v>318</v>
      </c>
      <c r="BG240" s="138">
        <v>35.159999999999997</v>
      </c>
      <c r="BH240" s="138">
        <v>1.04</v>
      </c>
      <c r="BI240" s="138">
        <v>15.984999999999999</v>
      </c>
      <c r="BJ240" s="138">
        <v>1.8899999999999997</v>
      </c>
      <c r="BK240" s="138">
        <v>0.71</v>
      </c>
      <c r="BM240" s="133" t="s">
        <v>85</v>
      </c>
    </row>
    <row r="241" spans="56:65" x14ac:dyDescent="0.3">
      <c r="BD241" s="143" t="str">
        <f t="shared" si="123"/>
        <v>W33x354</v>
      </c>
      <c r="BE241">
        <v>33</v>
      </c>
      <c r="BF241" s="138">
        <v>354</v>
      </c>
      <c r="BG241" s="138">
        <v>35.549999999999997</v>
      </c>
      <c r="BH241" s="138">
        <v>1.1599999999999999</v>
      </c>
      <c r="BI241" s="138">
        <v>16.100000000000001</v>
      </c>
      <c r="BJ241" s="138">
        <v>2.09</v>
      </c>
      <c r="BK241" s="138">
        <v>0.71</v>
      </c>
      <c r="BM241" s="133" t="s">
        <v>85</v>
      </c>
    </row>
    <row r="242" spans="56:65" x14ac:dyDescent="0.3">
      <c r="BD242" s="143" t="str">
        <f t="shared" si="123"/>
        <v>W33x387</v>
      </c>
      <c r="BE242">
        <v>33</v>
      </c>
      <c r="BF242" s="138">
        <v>387.00000000000006</v>
      </c>
      <c r="BG242" s="138">
        <v>35.950000000000003</v>
      </c>
      <c r="BH242" s="138">
        <v>1.26</v>
      </c>
      <c r="BI242" s="138">
        <v>16.2</v>
      </c>
      <c r="BJ242" s="138">
        <v>2.2799999999999998</v>
      </c>
      <c r="BK242" s="138">
        <v>0.70899999999999996</v>
      </c>
      <c r="BM242" s="133" t="s">
        <v>85</v>
      </c>
    </row>
    <row r="243" spans="56:65" x14ac:dyDescent="0.3">
      <c r="BD243" s="143" t="str">
        <f t="shared" si="123"/>
        <v>W33x424</v>
      </c>
      <c r="BE243">
        <v>33</v>
      </c>
      <c r="BF243" s="138">
        <v>424.00000000000006</v>
      </c>
      <c r="BG243" s="138">
        <v>36.340000000000003</v>
      </c>
      <c r="BH243" s="138">
        <v>1.3799999999999997</v>
      </c>
      <c r="BI243" s="138">
        <v>16.315000000000001</v>
      </c>
      <c r="BJ243" s="138">
        <v>2.48</v>
      </c>
      <c r="BK243" s="138">
        <v>0.70899999999999996</v>
      </c>
      <c r="BM243" s="133" t="s">
        <v>85</v>
      </c>
    </row>
    <row r="244" spans="56:65" x14ac:dyDescent="0.3">
      <c r="BD244" s="143" t="str">
        <f t="shared" si="123"/>
        <v>W33x468</v>
      </c>
      <c r="BE244">
        <v>33</v>
      </c>
      <c r="BF244" s="138">
        <v>468</v>
      </c>
      <c r="BG244" s="138">
        <v>36.81</v>
      </c>
      <c r="BH244" s="138">
        <v>1.5199999999999998</v>
      </c>
      <c r="BI244" s="138">
        <v>16.454999999999998</v>
      </c>
      <c r="BJ244" s="138">
        <v>2.7199999999999998</v>
      </c>
      <c r="BK244" s="138">
        <v>0.70899999999999996</v>
      </c>
      <c r="BM244" s="133" t="s">
        <v>85</v>
      </c>
    </row>
    <row r="245" spans="56:65" x14ac:dyDescent="0.3">
      <c r="BD245" s="143" t="str">
        <f t="shared" si="123"/>
        <v>W33x515</v>
      </c>
      <c r="BE245">
        <v>33</v>
      </c>
      <c r="BF245" s="138">
        <v>515</v>
      </c>
      <c r="BG245" s="138">
        <v>37.36</v>
      </c>
      <c r="BH245" s="138">
        <v>1.65</v>
      </c>
      <c r="BI245" s="138">
        <v>16.59</v>
      </c>
      <c r="BJ245" s="138">
        <v>2.99</v>
      </c>
      <c r="BK245" s="138">
        <v>0.70899999999999996</v>
      </c>
      <c r="BM245" s="133" t="s">
        <v>85</v>
      </c>
    </row>
    <row r="246" spans="56:65" x14ac:dyDescent="0.3">
      <c r="BD246" s="143" t="str">
        <f t="shared" si="123"/>
        <v>W33x567</v>
      </c>
      <c r="BE246">
        <v>33</v>
      </c>
      <c r="BF246" s="138">
        <v>567</v>
      </c>
      <c r="BG246" s="138">
        <v>37.909999999999997</v>
      </c>
      <c r="BH246" s="138">
        <v>1.81</v>
      </c>
      <c r="BI246" s="138">
        <v>16.75</v>
      </c>
      <c r="BJ246" s="138">
        <v>3.27</v>
      </c>
      <c r="BK246" s="138">
        <v>0.70899999999999996</v>
      </c>
      <c r="BM246" s="133" t="s">
        <v>85</v>
      </c>
    </row>
    <row r="247" spans="56:65" x14ac:dyDescent="0.3">
      <c r="BD247" s="143" t="str">
        <f t="shared" si="123"/>
        <v>W33x619</v>
      </c>
      <c r="BE247">
        <v>33</v>
      </c>
      <c r="BF247" s="138">
        <v>619</v>
      </c>
      <c r="BG247" s="138">
        <v>38.47</v>
      </c>
      <c r="BH247" s="138">
        <v>1.97</v>
      </c>
      <c r="BI247" s="138">
        <v>16.91</v>
      </c>
      <c r="BJ247" s="138">
        <v>3.54</v>
      </c>
      <c r="BK247" s="138">
        <v>0.70899999999999996</v>
      </c>
      <c r="BM247" s="133" t="s">
        <v>85</v>
      </c>
    </row>
    <row r="248" spans="56:65" x14ac:dyDescent="0.3">
      <c r="BD248" s="143" t="str">
        <f t="shared" si="123"/>
        <v>W36x135</v>
      </c>
      <c r="BE248">
        <v>36</v>
      </c>
      <c r="BF248" s="138">
        <v>135</v>
      </c>
      <c r="BG248" s="138">
        <v>35.549999999999997</v>
      </c>
      <c r="BH248" s="138">
        <v>0.6</v>
      </c>
      <c r="BI248" s="138">
        <v>11.95</v>
      </c>
      <c r="BJ248" s="138">
        <v>0.79</v>
      </c>
      <c r="BK248" s="138">
        <v>0.75000000000000011</v>
      </c>
      <c r="BM248" s="133" t="s">
        <v>85</v>
      </c>
    </row>
    <row r="249" spans="56:65" x14ac:dyDescent="0.3">
      <c r="BD249" s="143" t="str">
        <f t="shared" si="123"/>
        <v>W36x150</v>
      </c>
      <c r="BE249">
        <v>36</v>
      </c>
      <c r="BF249" s="138">
        <v>150</v>
      </c>
      <c r="BG249" s="138">
        <v>35.85</v>
      </c>
      <c r="BH249" s="138">
        <v>0.625</v>
      </c>
      <c r="BI249" s="138">
        <v>11.975</v>
      </c>
      <c r="BJ249" s="138">
        <v>0.94</v>
      </c>
      <c r="BK249" s="138">
        <v>0.75000000000000011</v>
      </c>
      <c r="BM249" s="133" t="s">
        <v>85</v>
      </c>
    </row>
    <row r="250" spans="56:65" x14ac:dyDescent="0.3">
      <c r="BD250" s="143" t="str">
        <f t="shared" si="123"/>
        <v>W36x160</v>
      </c>
      <c r="BE250">
        <v>36</v>
      </c>
      <c r="BF250" s="138">
        <v>160</v>
      </c>
      <c r="BG250" s="138">
        <v>36.01</v>
      </c>
      <c r="BH250" s="138">
        <v>0.65</v>
      </c>
      <c r="BI250" s="138">
        <v>12.000000000000002</v>
      </c>
      <c r="BJ250" s="138">
        <v>1.02</v>
      </c>
      <c r="BK250" s="138">
        <v>0.75000000000000011</v>
      </c>
      <c r="BM250" s="133" t="s">
        <v>85</v>
      </c>
    </row>
    <row r="251" spans="56:65" x14ac:dyDescent="0.3">
      <c r="BD251" s="143" t="str">
        <f t="shared" si="123"/>
        <v>W36x170</v>
      </c>
      <c r="BE251">
        <v>36</v>
      </c>
      <c r="BF251" s="138">
        <v>170</v>
      </c>
      <c r="BG251" s="138">
        <v>36.17</v>
      </c>
      <c r="BH251" s="138">
        <v>0.67999999999999994</v>
      </c>
      <c r="BI251" s="138">
        <v>12.030000000000001</v>
      </c>
      <c r="BJ251" s="138">
        <v>1.1000000000000001</v>
      </c>
      <c r="BK251" s="138">
        <v>0.75000000000000011</v>
      </c>
      <c r="BM251" s="133" t="s">
        <v>85</v>
      </c>
    </row>
    <row r="252" spans="56:65" x14ac:dyDescent="0.3">
      <c r="BD252" s="143" t="str">
        <f t="shared" si="123"/>
        <v>W36x182</v>
      </c>
      <c r="BE252">
        <v>36</v>
      </c>
      <c r="BF252" s="138">
        <v>182</v>
      </c>
      <c r="BG252" s="138">
        <v>36.33</v>
      </c>
      <c r="BH252" s="138">
        <v>0.72499999999999987</v>
      </c>
      <c r="BI252" s="138">
        <v>12.074999999999998</v>
      </c>
      <c r="BJ252" s="138">
        <v>1.18</v>
      </c>
      <c r="BK252" s="138">
        <v>0.75000000000000011</v>
      </c>
      <c r="BM252" s="133" t="s">
        <v>85</v>
      </c>
    </row>
    <row r="253" spans="56:65" x14ac:dyDescent="0.3">
      <c r="BD253" s="143" t="str">
        <f t="shared" si="123"/>
        <v>W36x194</v>
      </c>
      <c r="BE253">
        <v>36</v>
      </c>
      <c r="BF253" s="138">
        <v>194</v>
      </c>
      <c r="BG253" s="138">
        <v>36.49</v>
      </c>
      <c r="BH253" s="138">
        <v>0.76500000000000001</v>
      </c>
      <c r="BI253" s="138">
        <v>12.115000000000002</v>
      </c>
      <c r="BJ253" s="138">
        <v>1.26</v>
      </c>
      <c r="BK253" s="138">
        <v>0.75000000000000011</v>
      </c>
      <c r="BM253" s="133" t="s">
        <v>85</v>
      </c>
    </row>
    <row r="254" spans="56:65" x14ac:dyDescent="0.3">
      <c r="BD254" s="143" t="str">
        <f t="shared" si="123"/>
        <v>W36x210</v>
      </c>
      <c r="BE254">
        <v>36</v>
      </c>
      <c r="BF254" s="138">
        <v>210</v>
      </c>
      <c r="BG254" s="138">
        <v>36.69</v>
      </c>
      <c r="BH254" s="138">
        <v>0.83000000000000007</v>
      </c>
      <c r="BI254" s="138">
        <v>12.18</v>
      </c>
      <c r="BJ254" s="138">
        <v>1.3599999999999999</v>
      </c>
      <c r="BK254" s="138">
        <v>0.75000000000000011</v>
      </c>
      <c r="BM254" s="133" t="s">
        <v>85</v>
      </c>
    </row>
    <row r="255" spans="56:65" x14ac:dyDescent="0.3">
      <c r="BD255" s="143" t="str">
        <f t="shared" si="123"/>
        <v>W36x230</v>
      </c>
      <c r="BE255">
        <v>36</v>
      </c>
      <c r="BF255" s="138">
        <v>230</v>
      </c>
      <c r="BG255" s="138">
        <v>35.9</v>
      </c>
      <c r="BH255" s="138">
        <v>0.7599999999999999</v>
      </c>
      <c r="BI255" s="138">
        <v>16.47</v>
      </c>
      <c r="BJ255" s="138">
        <v>1.26</v>
      </c>
      <c r="BK255" s="138">
        <v>0.95</v>
      </c>
      <c r="BM255" s="133" t="s">
        <v>85</v>
      </c>
    </row>
    <row r="256" spans="56:65" x14ac:dyDescent="0.3">
      <c r="BD256" s="143" t="str">
        <f t="shared" si="123"/>
        <v>W36x232</v>
      </c>
      <c r="BE256">
        <v>36</v>
      </c>
      <c r="BF256" s="138">
        <v>232.00000000000003</v>
      </c>
      <c r="BG256" s="138">
        <v>37.119999999999997</v>
      </c>
      <c r="BH256" s="138">
        <v>0.87</v>
      </c>
      <c r="BI256" s="138">
        <v>12.12</v>
      </c>
      <c r="BJ256" s="138">
        <v>1.5700000000000003</v>
      </c>
      <c r="BK256" s="138">
        <v>0.75000000000000011</v>
      </c>
      <c r="BM256" s="133" t="s">
        <v>85</v>
      </c>
    </row>
    <row r="257" spans="56:65" x14ac:dyDescent="0.3">
      <c r="BD257" s="143" t="str">
        <f t="shared" si="123"/>
        <v>W36x245</v>
      </c>
      <c r="BE257">
        <v>36</v>
      </c>
      <c r="BF257" s="138">
        <v>245</v>
      </c>
      <c r="BG257" s="138">
        <v>36.08</v>
      </c>
      <c r="BH257" s="138">
        <v>0.8</v>
      </c>
      <c r="BI257" s="138">
        <v>16.510000000000002</v>
      </c>
      <c r="BJ257" s="138">
        <v>1.35</v>
      </c>
      <c r="BK257" s="138">
        <v>0.95</v>
      </c>
      <c r="BM257" s="133" t="s">
        <v>85</v>
      </c>
    </row>
    <row r="258" spans="56:65" x14ac:dyDescent="0.3">
      <c r="BD258" s="143" t="str">
        <f t="shared" si="123"/>
        <v>W36x256</v>
      </c>
      <c r="BE258">
        <v>36</v>
      </c>
      <c r="BF258" s="138">
        <v>256</v>
      </c>
      <c r="BG258" s="138">
        <v>37.43</v>
      </c>
      <c r="BH258" s="138">
        <v>0.96</v>
      </c>
      <c r="BI258" s="138">
        <v>12.215</v>
      </c>
      <c r="BJ258" s="138">
        <v>1.7299999999999998</v>
      </c>
      <c r="BK258" s="138">
        <v>0.75000000000000011</v>
      </c>
      <c r="BM258" s="133" t="s">
        <v>85</v>
      </c>
    </row>
    <row r="259" spans="56:65" x14ac:dyDescent="0.3">
      <c r="BD259" s="143" t="str">
        <f t="shared" si="123"/>
        <v>W36x260</v>
      </c>
      <c r="BE259">
        <v>36</v>
      </c>
      <c r="BF259" s="138">
        <v>260</v>
      </c>
      <c r="BG259" s="138">
        <v>36.26</v>
      </c>
      <c r="BH259" s="138">
        <v>0.84</v>
      </c>
      <c r="BI259" s="138">
        <v>16.55</v>
      </c>
      <c r="BJ259" s="138">
        <v>1.44</v>
      </c>
      <c r="BK259" s="138">
        <v>0.95</v>
      </c>
      <c r="BM259" s="133" t="s">
        <v>85</v>
      </c>
    </row>
    <row r="260" spans="56:65" x14ac:dyDescent="0.3">
      <c r="BD260" s="143" t="str">
        <f t="shared" ref="BD260:BD298" si="124">CONCATENATE("W",BE260,"x",BF260)</f>
        <v>W36x280</v>
      </c>
      <c r="BE260">
        <v>36</v>
      </c>
      <c r="BF260" s="138">
        <v>280</v>
      </c>
      <c r="BG260" s="138">
        <v>36.520000000000003</v>
      </c>
      <c r="BH260" s="138">
        <v>0.88500000000000001</v>
      </c>
      <c r="BI260" s="138">
        <v>16.594999999999999</v>
      </c>
      <c r="BJ260" s="138">
        <v>1.5700000000000003</v>
      </c>
      <c r="BK260" s="138">
        <v>0.95</v>
      </c>
      <c r="BM260" s="133" t="s">
        <v>85</v>
      </c>
    </row>
    <row r="261" spans="56:65" x14ac:dyDescent="0.3">
      <c r="BD261" s="143" t="str">
        <f t="shared" si="124"/>
        <v>W36x300</v>
      </c>
      <c r="BE261">
        <v>36</v>
      </c>
      <c r="BF261" s="138">
        <v>300</v>
      </c>
      <c r="BG261" s="138">
        <v>36.74</v>
      </c>
      <c r="BH261" s="138">
        <v>0.94499999999999984</v>
      </c>
      <c r="BI261" s="138">
        <v>16.655000000000001</v>
      </c>
      <c r="BJ261" s="138">
        <v>1.68</v>
      </c>
      <c r="BK261" s="138">
        <v>0.95</v>
      </c>
      <c r="BM261" s="133" t="s">
        <v>85</v>
      </c>
    </row>
    <row r="262" spans="56:65" x14ac:dyDescent="0.3">
      <c r="BD262" s="143" t="str">
        <f t="shared" si="124"/>
        <v>W36x328</v>
      </c>
      <c r="BE262">
        <v>36</v>
      </c>
      <c r="BF262" s="138">
        <v>328</v>
      </c>
      <c r="BG262" s="138">
        <v>37.090000000000003</v>
      </c>
      <c r="BH262" s="138">
        <v>1.02</v>
      </c>
      <c r="BI262" s="138">
        <v>16.63</v>
      </c>
      <c r="BJ262" s="138">
        <v>1.8500000000000003</v>
      </c>
      <c r="BK262" s="138">
        <v>0.95</v>
      </c>
      <c r="BM262" s="133" t="s">
        <v>85</v>
      </c>
    </row>
    <row r="263" spans="56:65" x14ac:dyDescent="0.3">
      <c r="BD263" s="143" t="str">
        <f t="shared" si="124"/>
        <v>W36x359</v>
      </c>
      <c r="BE263">
        <v>36</v>
      </c>
      <c r="BF263" s="138">
        <v>358.99999999999994</v>
      </c>
      <c r="BG263" s="138">
        <v>37.4</v>
      </c>
      <c r="BH263" s="138">
        <v>1.1200000000000001</v>
      </c>
      <c r="BI263" s="138">
        <v>16.73</v>
      </c>
      <c r="BJ263" s="138">
        <v>2.0099999999999998</v>
      </c>
      <c r="BK263" s="138">
        <v>0.95</v>
      </c>
      <c r="BM263" s="133" t="s">
        <v>85</v>
      </c>
    </row>
    <row r="264" spans="56:65" x14ac:dyDescent="0.3">
      <c r="BD264" s="143" t="str">
        <f t="shared" si="124"/>
        <v>W36x393</v>
      </c>
      <c r="BE264">
        <v>36</v>
      </c>
      <c r="BF264" s="138">
        <v>392.99999999999994</v>
      </c>
      <c r="BG264" s="138">
        <v>37.799999999999997</v>
      </c>
      <c r="BH264" s="138">
        <v>1.22</v>
      </c>
      <c r="BI264" s="138">
        <v>16.829999999999998</v>
      </c>
      <c r="BJ264" s="138">
        <v>2.2000000000000002</v>
      </c>
      <c r="BK264" s="138">
        <v>0.94499999999999984</v>
      </c>
      <c r="BM264" s="133" t="s">
        <v>85</v>
      </c>
    </row>
    <row r="265" spans="56:65" x14ac:dyDescent="0.3">
      <c r="BD265" s="143" t="str">
        <f t="shared" si="124"/>
        <v>W36x439</v>
      </c>
      <c r="BE265">
        <v>36</v>
      </c>
      <c r="BF265" s="138">
        <v>438.99999999999994</v>
      </c>
      <c r="BG265" s="138">
        <v>38.26</v>
      </c>
      <c r="BH265" s="138">
        <v>1.3599999999999999</v>
      </c>
      <c r="BI265" s="138">
        <v>16.965</v>
      </c>
      <c r="BJ265" s="138">
        <v>2.44</v>
      </c>
      <c r="BK265" s="138">
        <v>0.94499999999999984</v>
      </c>
      <c r="BM265" s="133" t="s">
        <v>85</v>
      </c>
    </row>
    <row r="266" spans="56:65" x14ac:dyDescent="0.3">
      <c r="BD266" s="143" t="str">
        <f t="shared" si="124"/>
        <v>W36x485</v>
      </c>
      <c r="BE266">
        <v>36</v>
      </c>
      <c r="BF266" s="138">
        <v>485</v>
      </c>
      <c r="BG266" s="138">
        <v>38.74</v>
      </c>
      <c r="BH266" s="138">
        <v>1.5000000000000002</v>
      </c>
      <c r="BI266" s="138">
        <v>17.105</v>
      </c>
      <c r="BJ266" s="138">
        <v>2.68</v>
      </c>
      <c r="BK266" s="138">
        <v>0.94499999999999984</v>
      </c>
      <c r="BM266" s="133" t="s">
        <v>85</v>
      </c>
    </row>
    <row r="267" spans="56:65" x14ac:dyDescent="0.3">
      <c r="BD267" s="143" t="str">
        <f t="shared" si="124"/>
        <v>W36x527</v>
      </c>
      <c r="BE267">
        <v>36</v>
      </c>
      <c r="BF267" s="138">
        <v>527</v>
      </c>
      <c r="BG267" s="138">
        <v>39.21</v>
      </c>
      <c r="BH267" s="138">
        <v>1.61</v>
      </c>
      <c r="BI267" s="138">
        <v>17.22</v>
      </c>
      <c r="BJ267" s="138">
        <v>2.9100000000000006</v>
      </c>
      <c r="BK267" s="138">
        <v>0.94499999999999984</v>
      </c>
      <c r="BM267" s="133" t="s">
        <v>85</v>
      </c>
    </row>
    <row r="268" spans="56:65" x14ac:dyDescent="0.3">
      <c r="BD268" s="143" t="str">
        <f t="shared" si="124"/>
        <v>W36x588</v>
      </c>
      <c r="BE268">
        <v>36</v>
      </c>
      <c r="BF268" s="138">
        <v>588</v>
      </c>
      <c r="BG268" s="138">
        <v>39.840000000000011</v>
      </c>
      <c r="BH268" s="138">
        <v>1.79</v>
      </c>
      <c r="BI268" s="138">
        <v>17.399999999999999</v>
      </c>
      <c r="BJ268" s="138">
        <v>3.2300000000000004</v>
      </c>
      <c r="BK268" s="138">
        <v>0.94499999999999984</v>
      </c>
      <c r="BM268" s="133" t="s">
        <v>85</v>
      </c>
    </row>
    <row r="269" spans="56:65" x14ac:dyDescent="0.3">
      <c r="BD269" s="143" t="str">
        <f t="shared" si="124"/>
        <v>W36x650</v>
      </c>
      <c r="BE269">
        <v>36</v>
      </c>
      <c r="BF269" s="138">
        <v>649.99999999999989</v>
      </c>
      <c r="BG269" s="138">
        <v>40.47</v>
      </c>
      <c r="BH269" s="138">
        <v>1.97</v>
      </c>
      <c r="BI269" s="138">
        <v>17.574999999999999</v>
      </c>
      <c r="BJ269" s="138">
        <v>3.54</v>
      </c>
      <c r="BK269" s="138">
        <v>0.94499999999999984</v>
      </c>
      <c r="BM269" s="133" t="s">
        <v>85</v>
      </c>
    </row>
    <row r="270" spans="56:65" x14ac:dyDescent="0.3">
      <c r="BD270" s="143" t="str">
        <f t="shared" si="124"/>
        <v>W36x720</v>
      </c>
      <c r="BE270">
        <v>36</v>
      </c>
      <c r="BF270" s="138">
        <v>720</v>
      </c>
      <c r="BG270" s="138">
        <v>41.19</v>
      </c>
      <c r="BH270" s="138">
        <v>2.165</v>
      </c>
      <c r="BI270" s="138">
        <v>17.774999999999999</v>
      </c>
      <c r="BJ270" s="138">
        <v>3.9</v>
      </c>
      <c r="BK270" s="138">
        <v>0.94499999999999984</v>
      </c>
      <c r="BM270" s="133" t="s">
        <v>85</v>
      </c>
    </row>
    <row r="271" spans="56:65" x14ac:dyDescent="0.3">
      <c r="BD271" s="143" t="str">
        <f t="shared" si="124"/>
        <v>W36x798</v>
      </c>
      <c r="BE271">
        <v>36</v>
      </c>
      <c r="BF271" s="138">
        <v>797.99999999999989</v>
      </c>
      <c r="BG271" s="138">
        <v>41.970000000000006</v>
      </c>
      <c r="BH271" s="138">
        <v>2.38</v>
      </c>
      <c r="BI271" s="138">
        <v>17.989999999999998</v>
      </c>
      <c r="BJ271" s="138">
        <v>4.29</v>
      </c>
      <c r="BK271" s="138">
        <v>0.94499999999999984</v>
      </c>
      <c r="BM271" s="133" t="s">
        <v>85</v>
      </c>
    </row>
    <row r="272" spans="56:65" x14ac:dyDescent="0.3">
      <c r="BD272" s="143" t="str">
        <f t="shared" si="124"/>
        <v>W36x848</v>
      </c>
      <c r="BE272">
        <v>36</v>
      </c>
      <c r="BF272" s="138">
        <v>848.00000000000011</v>
      </c>
      <c r="BG272" s="138">
        <v>42.45</v>
      </c>
      <c r="BH272" s="138">
        <v>2.52</v>
      </c>
      <c r="BI272" s="138">
        <v>18.13</v>
      </c>
      <c r="BJ272" s="138">
        <v>4.53</v>
      </c>
      <c r="BK272" s="138">
        <v>0.94499999999999984</v>
      </c>
      <c r="BM272" s="133" t="s">
        <v>85</v>
      </c>
    </row>
    <row r="273" spans="56:65" x14ac:dyDescent="0.3">
      <c r="BD273" s="143" t="str">
        <f t="shared" si="124"/>
        <v>W40x149</v>
      </c>
      <c r="BE273">
        <v>40</v>
      </c>
      <c r="BF273" s="138">
        <v>149</v>
      </c>
      <c r="BG273" s="138">
        <v>38.200000000000003</v>
      </c>
      <c r="BH273" s="138">
        <v>0.63</v>
      </c>
      <c r="BI273" s="138">
        <v>11.81</v>
      </c>
      <c r="BJ273" s="138">
        <v>0.83000000000000007</v>
      </c>
      <c r="BK273" s="138">
        <v>1.18</v>
      </c>
      <c r="BM273" s="133" t="s">
        <v>85</v>
      </c>
    </row>
    <row r="274" spans="56:65" x14ac:dyDescent="0.3">
      <c r="BD274" s="143" t="str">
        <f t="shared" si="124"/>
        <v>W40x167</v>
      </c>
      <c r="BE274">
        <v>40</v>
      </c>
      <c r="BF274" s="138">
        <v>167</v>
      </c>
      <c r="BG274" s="138">
        <v>38.590000000000003</v>
      </c>
      <c r="BH274" s="138">
        <v>0.65</v>
      </c>
      <c r="BI274" s="138">
        <v>11.81</v>
      </c>
      <c r="BJ274" s="138">
        <v>1.0249999999999999</v>
      </c>
      <c r="BK274" s="138">
        <v>1.18</v>
      </c>
      <c r="BM274" s="133" t="s">
        <v>85</v>
      </c>
    </row>
    <row r="275" spans="56:65" x14ac:dyDescent="0.3">
      <c r="BD275" s="143" t="str">
        <f t="shared" si="124"/>
        <v>W40x183</v>
      </c>
      <c r="BE275">
        <v>40</v>
      </c>
      <c r="BF275" s="138">
        <v>183</v>
      </c>
      <c r="BG275" s="138">
        <v>38.979999999999997</v>
      </c>
      <c r="BH275" s="138">
        <v>0.65</v>
      </c>
      <c r="BI275" s="138">
        <v>11.81</v>
      </c>
      <c r="BJ275" s="138">
        <v>1.22</v>
      </c>
      <c r="BK275" s="138">
        <v>1.18</v>
      </c>
      <c r="BM275" s="133" t="s">
        <v>85</v>
      </c>
    </row>
    <row r="276" spans="56:65" x14ac:dyDescent="0.3">
      <c r="BD276" s="143" t="str">
        <f t="shared" si="124"/>
        <v>W40x192</v>
      </c>
      <c r="BE276">
        <v>40</v>
      </c>
      <c r="BF276" s="138">
        <v>192.00000000000003</v>
      </c>
      <c r="BG276" s="138">
        <v>38.200000000000003</v>
      </c>
      <c r="BH276" s="138">
        <v>0.71</v>
      </c>
      <c r="BI276" s="138">
        <v>17.71</v>
      </c>
      <c r="BJ276" s="138">
        <v>0.83000000000000007</v>
      </c>
      <c r="BK276" s="138">
        <v>1.18</v>
      </c>
      <c r="BM276" s="133" t="s">
        <v>85</v>
      </c>
    </row>
    <row r="277" spans="56:65" x14ac:dyDescent="0.3">
      <c r="BD277" s="143" t="str">
        <f t="shared" si="124"/>
        <v>W40x199</v>
      </c>
      <c r="BE277">
        <v>40</v>
      </c>
      <c r="BF277" s="138">
        <v>199</v>
      </c>
      <c r="BG277" s="138">
        <v>38.67</v>
      </c>
      <c r="BH277" s="138">
        <v>0.65</v>
      </c>
      <c r="BI277" s="138">
        <v>15.749999999999998</v>
      </c>
      <c r="BJ277" s="138">
        <v>1.0649999999999999</v>
      </c>
      <c r="BK277" s="138">
        <v>1.18</v>
      </c>
      <c r="BM277" s="133" t="s">
        <v>85</v>
      </c>
    </row>
    <row r="278" spans="56:65" x14ac:dyDescent="0.3">
      <c r="BD278" s="143" t="str">
        <f t="shared" si="124"/>
        <v>W40x215</v>
      </c>
      <c r="BE278">
        <v>40</v>
      </c>
      <c r="BF278" s="138">
        <v>214.99999999999997</v>
      </c>
      <c r="BG278" s="138">
        <v>38.979999999999997</v>
      </c>
      <c r="BH278" s="138">
        <v>0.65</v>
      </c>
      <c r="BI278" s="138">
        <v>15.749999999999998</v>
      </c>
      <c r="BJ278" s="138">
        <v>1.22</v>
      </c>
      <c r="BK278" s="138">
        <v>1.18</v>
      </c>
      <c r="BM278" s="133" t="s">
        <v>85</v>
      </c>
    </row>
    <row r="279" spans="56:65" x14ac:dyDescent="0.3">
      <c r="BD279" s="143" t="str">
        <f t="shared" si="124"/>
        <v>W40x221</v>
      </c>
      <c r="BE279">
        <v>40</v>
      </c>
      <c r="BF279" s="138">
        <v>221</v>
      </c>
      <c r="BG279" s="138">
        <v>38.67</v>
      </c>
      <c r="BH279" s="138">
        <v>0.71</v>
      </c>
      <c r="BI279" s="138">
        <v>17.71</v>
      </c>
      <c r="BJ279" s="138">
        <v>1.0649999999999999</v>
      </c>
      <c r="BK279" s="138">
        <v>1.18</v>
      </c>
      <c r="BM279" s="133" t="s">
        <v>85</v>
      </c>
    </row>
    <row r="280" spans="56:65" x14ac:dyDescent="0.3">
      <c r="BD280" s="143" t="str">
        <f t="shared" si="124"/>
        <v>W40x244</v>
      </c>
      <c r="BE280">
        <v>40</v>
      </c>
      <c r="BF280" s="138">
        <v>244</v>
      </c>
      <c r="BG280" s="138">
        <v>39.06</v>
      </c>
      <c r="BH280" s="138">
        <v>0.71</v>
      </c>
      <c r="BI280" s="138">
        <v>17.71</v>
      </c>
      <c r="BJ280" s="138">
        <v>1.26</v>
      </c>
      <c r="BK280" s="138">
        <v>1.18</v>
      </c>
      <c r="BM280" s="133" t="s">
        <v>85</v>
      </c>
    </row>
    <row r="281" spans="56:65" x14ac:dyDescent="0.3">
      <c r="BD281" s="143" t="str">
        <f t="shared" si="124"/>
        <v>W40x249</v>
      </c>
      <c r="BE281">
        <v>40</v>
      </c>
      <c r="BF281" s="138">
        <v>249.00000000000003</v>
      </c>
      <c r="BG281" s="138">
        <v>39.38000000000001</v>
      </c>
      <c r="BH281" s="138">
        <v>0.75000000000000011</v>
      </c>
      <c r="BI281" s="138">
        <v>15.749999999999998</v>
      </c>
      <c r="BJ281" s="138">
        <v>1.42</v>
      </c>
      <c r="BK281" s="138">
        <v>1.18</v>
      </c>
      <c r="BM281" s="133" t="s">
        <v>85</v>
      </c>
    </row>
    <row r="282" spans="56:65" x14ac:dyDescent="0.3">
      <c r="BD282" s="143" t="str">
        <f t="shared" si="124"/>
        <v>W40x268</v>
      </c>
      <c r="BE282">
        <v>40</v>
      </c>
      <c r="BF282" s="138">
        <v>268</v>
      </c>
      <c r="BG282" s="138">
        <v>39.369999999999997</v>
      </c>
      <c r="BH282" s="138">
        <v>0.75000000000000011</v>
      </c>
      <c r="BI282" s="138">
        <v>17.75</v>
      </c>
      <c r="BJ282" s="138">
        <v>1.415</v>
      </c>
      <c r="BK282" s="138">
        <v>1.18</v>
      </c>
      <c r="BM282" s="133" t="s">
        <v>85</v>
      </c>
    </row>
    <row r="283" spans="56:65" x14ac:dyDescent="0.3">
      <c r="BD283" s="143" t="str">
        <f t="shared" si="124"/>
        <v>W40x277</v>
      </c>
      <c r="BE283">
        <v>40</v>
      </c>
      <c r="BF283" s="138">
        <v>277</v>
      </c>
      <c r="BG283" s="138">
        <v>39.69</v>
      </c>
      <c r="BH283" s="138">
        <v>0.83000000000000007</v>
      </c>
      <c r="BI283" s="138">
        <v>15.83</v>
      </c>
      <c r="BJ283" s="138">
        <v>1.575</v>
      </c>
      <c r="BK283" s="138">
        <v>1.18</v>
      </c>
      <c r="BM283" s="133" t="s">
        <v>85</v>
      </c>
    </row>
    <row r="284" spans="56:65" x14ac:dyDescent="0.3">
      <c r="BD284" s="143" t="str">
        <f t="shared" si="124"/>
        <v>W40x297</v>
      </c>
      <c r="BE284">
        <v>40</v>
      </c>
      <c r="BF284" s="138">
        <v>297</v>
      </c>
      <c r="BG284" s="138">
        <v>39.840000000000011</v>
      </c>
      <c r="BH284" s="138">
        <v>0.93</v>
      </c>
      <c r="BI284" s="138">
        <v>15.824999999999999</v>
      </c>
      <c r="BJ284" s="138">
        <v>1.65</v>
      </c>
      <c r="BK284" s="138">
        <v>1.18</v>
      </c>
      <c r="BM284" s="133" t="s">
        <v>85</v>
      </c>
    </row>
    <row r="285" spans="56:65" x14ac:dyDescent="0.3">
      <c r="BD285" s="143" t="str">
        <f t="shared" si="124"/>
        <v>W40x298</v>
      </c>
      <c r="BE285">
        <v>40</v>
      </c>
      <c r="BF285" s="138">
        <v>298</v>
      </c>
      <c r="BG285" s="138">
        <v>39.69</v>
      </c>
      <c r="BH285" s="138">
        <v>0.83000000000000007</v>
      </c>
      <c r="BI285" s="138">
        <v>17.829999999999998</v>
      </c>
      <c r="BJ285" s="138">
        <v>1.575</v>
      </c>
      <c r="BK285" s="138">
        <v>1.18</v>
      </c>
      <c r="BM285" s="133" t="s">
        <v>85</v>
      </c>
    </row>
    <row r="286" spans="56:65" x14ac:dyDescent="0.3">
      <c r="BD286" s="143" t="str">
        <f t="shared" si="124"/>
        <v>W40x324</v>
      </c>
      <c r="BE286">
        <v>40</v>
      </c>
      <c r="BF286" s="138">
        <v>324</v>
      </c>
      <c r="BG286" s="138">
        <v>40.159999999999997</v>
      </c>
      <c r="BH286" s="138">
        <v>1</v>
      </c>
      <c r="BI286" s="138">
        <v>15.904999999999999</v>
      </c>
      <c r="BJ286" s="138">
        <v>1.81</v>
      </c>
      <c r="BK286" s="138">
        <v>1.18</v>
      </c>
      <c r="BM286" s="133" t="s">
        <v>85</v>
      </c>
    </row>
    <row r="287" spans="56:65" x14ac:dyDescent="0.3">
      <c r="BD287" s="143" t="str">
        <f t="shared" si="124"/>
        <v>W40x328</v>
      </c>
      <c r="BE287">
        <v>40</v>
      </c>
      <c r="BF287" s="138">
        <v>328</v>
      </c>
      <c r="BG287" s="138">
        <v>40</v>
      </c>
      <c r="BH287" s="138">
        <v>0.91</v>
      </c>
      <c r="BI287" s="138">
        <v>17.91</v>
      </c>
      <c r="BJ287" s="138">
        <v>1.7299999999999998</v>
      </c>
      <c r="BK287" s="138">
        <v>1.18</v>
      </c>
      <c r="BM287" s="133" t="s">
        <v>85</v>
      </c>
    </row>
    <row r="288" spans="56:65" x14ac:dyDescent="0.3">
      <c r="BD288" s="143" t="str">
        <f t="shared" si="124"/>
        <v>W40x362</v>
      </c>
      <c r="BE288">
        <v>40</v>
      </c>
      <c r="BF288" s="138">
        <v>361.99999999999994</v>
      </c>
      <c r="BG288" s="138">
        <v>40.549999999999997</v>
      </c>
      <c r="BH288" s="138">
        <v>1.1200000000000001</v>
      </c>
      <c r="BI288" s="138">
        <v>16.02</v>
      </c>
      <c r="BJ288" s="138">
        <v>2.0099999999999998</v>
      </c>
      <c r="BK288" s="138">
        <v>1.18</v>
      </c>
      <c r="BM288" s="133" t="s">
        <v>85</v>
      </c>
    </row>
    <row r="289" spans="56:65" x14ac:dyDescent="0.3">
      <c r="BD289" s="143" t="str">
        <f t="shared" si="124"/>
        <v>W40x397</v>
      </c>
      <c r="BE289">
        <v>40</v>
      </c>
      <c r="BF289" s="138">
        <v>397</v>
      </c>
      <c r="BG289" s="138">
        <v>40.950000000000003</v>
      </c>
      <c r="BH289" s="138">
        <v>1.22</v>
      </c>
      <c r="BI289" s="138">
        <v>16.12</v>
      </c>
      <c r="BJ289" s="138">
        <v>2.2000000000000002</v>
      </c>
      <c r="BK289" s="138">
        <v>1.18</v>
      </c>
      <c r="BM289" s="133" t="s">
        <v>85</v>
      </c>
    </row>
    <row r="290" spans="56:65" x14ac:dyDescent="0.3">
      <c r="BD290" s="143" t="str">
        <f t="shared" si="124"/>
        <v>W40x436</v>
      </c>
      <c r="BE290">
        <v>40</v>
      </c>
      <c r="BF290" s="138">
        <v>435.99999999999994</v>
      </c>
      <c r="BG290" s="138">
        <v>41.34</v>
      </c>
      <c r="BH290" s="138">
        <v>1.34</v>
      </c>
      <c r="BI290" s="138">
        <v>16.239999999999998</v>
      </c>
      <c r="BJ290" s="138">
        <v>2.4</v>
      </c>
      <c r="BK290" s="138">
        <v>1.18</v>
      </c>
      <c r="BM290" s="133" t="s">
        <v>85</v>
      </c>
    </row>
    <row r="291" spans="56:65" x14ac:dyDescent="0.3">
      <c r="BD291" s="143" t="str">
        <f t="shared" si="124"/>
        <v>W40x480</v>
      </c>
      <c r="BE291">
        <v>40</v>
      </c>
      <c r="BF291" s="138">
        <v>480</v>
      </c>
      <c r="BG291" s="138">
        <v>41.81</v>
      </c>
      <c r="BH291" s="138">
        <v>1.46</v>
      </c>
      <c r="BI291" s="138">
        <v>16.36</v>
      </c>
      <c r="BJ291" s="138">
        <v>2.64</v>
      </c>
      <c r="BK291" s="138">
        <v>1.18</v>
      </c>
      <c r="BM291" s="133" t="s">
        <v>85</v>
      </c>
    </row>
    <row r="292" spans="56:65" x14ac:dyDescent="0.3">
      <c r="BD292" s="143" t="str">
        <f t="shared" si="124"/>
        <v>W40x531</v>
      </c>
      <c r="BE292">
        <v>40</v>
      </c>
      <c r="BF292" s="138">
        <v>531</v>
      </c>
      <c r="BG292" s="138">
        <v>42.34</v>
      </c>
      <c r="BH292" s="138">
        <v>1.61</v>
      </c>
      <c r="BI292" s="138">
        <v>16.510000000000002</v>
      </c>
      <c r="BJ292" s="138">
        <v>2.9100000000000006</v>
      </c>
      <c r="BK292" s="138">
        <v>1.18</v>
      </c>
      <c r="BM292" s="133" t="s">
        <v>85</v>
      </c>
    </row>
    <row r="293" spans="56:65" x14ac:dyDescent="0.3">
      <c r="BD293" s="143" t="str">
        <f t="shared" si="124"/>
        <v>W40x593</v>
      </c>
      <c r="BE293">
        <v>40</v>
      </c>
      <c r="BF293" s="138">
        <v>593</v>
      </c>
      <c r="BG293" s="138">
        <v>42.99</v>
      </c>
      <c r="BH293" s="138">
        <v>1.79</v>
      </c>
      <c r="BI293" s="138">
        <v>16.690000000000001</v>
      </c>
      <c r="BJ293" s="138">
        <v>3.2300000000000004</v>
      </c>
      <c r="BK293" s="138">
        <v>1.18</v>
      </c>
      <c r="BM293" s="133" t="s">
        <v>85</v>
      </c>
    </row>
    <row r="294" spans="56:65" x14ac:dyDescent="0.3">
      <c r="BD294" s="143" t="str">
        <f t="shared" si="124"/>
        <v>W40x655</v>
      </c>
      <c r="BE294">
        <v>40</v>
      </c>
      <c r="BF294" s="138">
        <v>655</v>
      </c>
      <c r="BG294" s="138">
        <v>43.62</v>
      </c>
      <c r="BH294" s="138">
        <v>1.97</v>
      </c>
      <c r="BI294" s="138">
        <v>16.87</v>
      </c>
      <c r="BJ294" s="138">
        <v>3.54</v>
      </c>
      <c r="BK294" s="138">
        <v>1.18</v>
      </c>
      <c r="BM294" s="133" t="s">
        <v>85</v>
      </c>
    </row>
    <row r="295" spans="56:65" x14ac:dyDescent="0.3">
      <c r="BD295" s="143" t="str">
        <f t="shared" si="124"/>
        <v>W44x198</v>
      </c>
      <c r="BE295">
        <v>44</v>
      </c>
      <c r="BF295" s="138">
        <v>197.99999999999997</v>
      </c>
      <c r="BG295" s="138">
        <v>42.91</v>
      </c>
      <c r="BH295" s="138">
        <v>0.70899999999999996</v>
      </c>
      <c r="BI295" s="138">
        <v>11.811</v>
      </c>
      <c r="BJ295" s="138">
        <v>1.22</v>
      </c>
      <c r="BK295" s="138">
        <v>0.79</v>
      </c>
      <c r="BM295" s="133" t="s">
        <v>85</v>
      </c>
    </row>
    <row r="296" spans="56:65" x14ac:dyDescent="0.3">
      <c r="BD296" s="143" t="str">
        <f t="shared" si="124"/>
        <v>W44x224</v>
      </c>
      <c r="BE296">
        <v>44</v>
      </c>
      <c r="BF296" s="138">
        <v>224</v>
      </c>
      <c r="BG296" s="138">
        <v>43.31</v>
      </c>
      <c r="BH296" s="138">
        <v>0.78699999999999992</v>
      </c>
      <c r="BI296" s="138">
        <v>11.811</v>
      </c>
      <c r="BJ296" s="138">
        <v>1.4159999999999999</v>
      </c>
      <c r="BK296" s="138">
        <v>0.79</v>
      </c>
      <c r="BM296" s="133" t="s">
        <v>85</v>
      </c>
    </row>
    <row r="297" spans="56:65" x14ac:dyDescent="0.3">
      <c r="BD297" s="143" t="str">
        <f t="shared" si="124"/>
        <v>W44x248</v>
      </c>
      <c r="BE297">
        <v>44</v>
      </c>
      <c r="BF297" s="138">
        <v>248</v>
      </c>
      <c r="BG297" s="138">
        <v>43.62</v>
      </c>
      <c r="BH297" s="138">
        <v>0.86499999999999988</v>
      </c>
      <c r="BI297" s="138">
        <v>11.811</v>
      </c>
      <c r="BJ297" s="138">
        <v>1.575</v>
      </c>
      <c r="BK297" s="138">
        <v>0.79</v>
      </c>
      <c r="BM297" s="133" t="s">
        <v>85</v>
      </c>
    </row>
    <row r="298" spans="56:65" x14ac:dyDescent="0.3">
      <c r="BD298" s="143" t="str">
        <f t="shared" si="124"/>
        <v>W44x285</v>
      </c>
      <c r="BE298">
        <v>44</v>
      </c>
      <c r="BF298" s="138">
        <v>285</v>
      </c>
      <c r="BG298" s="138">
        <v>44.02</v>
      </c>
      <c r="BH298" s="138">
        <v>1.024</v>
      </c>
      <c r="BI298" s="138">
        <v>11.811</v>
      </c>
      <c r="BJ298" s="138">
        <v>1.772</v>
      </c>
      <c r="BK298" s="138">
        <v>0.79</v>
      </c>
      <c r="BM298" s="133" t="s">
        <v>85</v>
      </c>
    </row>
    <row r="299" spans="56:65" ht="15" thickBot="1" x14ac:dyDescent="0.35">
      <c r="BD299" s="129" t="s">
        <v>83</v>
      </c>
      <c r="BE299" s="96"/>
      <c r="BF299" s="96"/>
      <c r="BG299" s="96"/>
      <c r="BH299" s="96"/>
      <c r="BI299" s="96"/>
      <c r="BJ299" s="96"/>
      <c r="BK299" s="96"/>
      <c r="BL299" s="96"/>
      <c r="BM299" s="130"/>
    </row>
  </sheetData>
  <sortState xmlns:xlrd2="http://schemas.microsoft.com/office/spreadsheetml/2017/richdata2" ref="L5:AA36">
    <sortCondition descending="1" ref="O5:O36"/>
  </sortState>
  <mergeCells count="1">
    <mergeCell ref="CU2:CW2"/>
  </mergeCells>
  <dataValidations disablePrompts="1" count="92">
    <dataValidation allowBlank="1" showInputMessage="1" promptTitle="$prp@Syteline#" prompt="SS1435" sqref="BL3" xr:uid="{00000000-0002-0000-0100-000000000000}"/>
    <dataValidation allowBlank="1" showInputMessage="1" promptTitle="$prp@Syteline#" prompt="SS1361" sqref="X33" xr:uid="{00000000-0002-0000-0100-000001000000}"/>
    <dataValidation allowBlank="1" showInputMessage="1" promptTitle="$prp@Syteline#" sqref="X24 X21:X22 X19 X15:X17 X11:X13 X8:X9 X5:X6 BL5:BL112 BL294:BL298 BL292 BL288:BL290 BL281:BL282 BL277:BL279 BL274:BL275 BL256:BL272 BL248:BL254 BL245:BL246 BL195:BL243 BL184:BL193 BL161:BL182 BL114:BL159 X31:X32 CA24:CA38 CA21 CA18:CA19 CA12:CA16 CA4:CA10" xr:uid="{00000000-0002-0000-0100-000002000000}"/>
    <dataValidation allowBlank="1" showInputMessage="1" promptTitle="$prp@Syteline#" prompt="SS1365" sqref="X30" xr:uid="{00000000-0002-0000-0100-000003000000}"/>
    <dataValidation allowBlank="1" showInputMessage="1" promptTitle="$prp@Syteline#" prompt="SS1367" sqref="X29" xr:uid="{00000000-0002-0000-0100-000004000000}"/>
    <dataValidation allowBlank="1" showInputMessage="1" promptTitle="$prp@Syteline#" prompt="SS1370" sqref="X28" xr:uid="{00000000-0002-0000-0100-000005000000}"/>
    <dataValidation allowBlank="1" showInputMessage="1" promptTitle="$prp@Syteline#" prompt="SS1008" sqref="X27" xr:uid="{00000000-0002-0000-0100-000006000000}"/>
    <dataValidation allowBlank="1" showInputMessage="1" promptTitle="$prp@Syteline#" prompt="SS1376" sqref="X26" xr:uid="{00000000-0002-0000-0100-000007000000}"/>
    <dataValidation allowBlank="1" showInputMessage="1" promptTitle="$prp@Syteline#" prompt="SS1380" sqref="X25" xr:uid="{00000000-0002-0000-0100-000008000000}"/>
    <dataValidation allowBlank="1" showInputMessage="1" promptTitle="$prp@Syteline#" prompt="SS1377" sqref="X23" xr:uid="{00000000-0002-0000-0100-000009000000}"/>
    <dataValidation allowBlank="1" showInputMessage="1" promptTitle="$prp@Syteline#" prompt="SS1390" sqref="X20" xr:uid="{00000000-0002-0000-0100-00000A000000}"/>
    <dataValidation allowBlank="1" showInputMessage="1" promptTitle="$prp@Syteline#" prompt="SS1392" sqref="X18" xr:uid="{00000000-0002-0000-0100-00000B000000}"/>
    <dataValidation allowBlank="1" showInputMessage="1" promptTitle="$prp@Syteline#" prompt="SS1400" sqref="X14" xr:uid="{00000000-0002-0000-0100-00000C000000}"/>
    <dataValidation allowBlank="1" showInputMessage="1" promptTitle="$prp@Syteline#" prompt="SS1415" sqref="X10" xr:uid="{00000000-0002-0000-0100-00000D000000}"/>
    <dataValidation allowBlank="1" showInputMessage="1" promptTitle="$prp@Syteline#" prompt="SS1426" sqref="X7" xr:uid="{00000000-0002-0000-0100-00000E000000}"/>
    <dataValidation showInputMessage="1" showErrorMessage="1" errorTitle="SolidWorks Error:" error="The value you have entered is invalid.  Please enter a valid value before continuing." promptTitle="Weight@Sketch1" prompt="Enter a valid value for this parameter." sqref="W5:W33 AR4:AR34 BF3:BF298" xr:uid="{00000000-0002-0000-0100-00000F000000}"/>
    <dataValidation showInputMessage="1" showErrorMessage="1" errorTitle="SolidWorks Error:" error="The value you have entered is invalid.  Please enter a valid value before continuing." promptTitle="flange@Sketch1" prompt="Enter a valid value for this parameter." sqref="V5:V33" xr:uid="{00000000-0002-0000-0100-000010000000}"/>
    <dataValidation showInputMessage="1" showErrorMessage="1" errorTitle="SolidWorks Error:" error="The value you have entered is invalid.  Please enter a valid value before continuing." promptTitle="D2@Sketch1" prompt="Enter a valid value for this parameter." sqref="U5:U33" xr:uid="{00000000-0002-0000-0100-000011000000}"/>
    <dataValidation showInputMessage="1" showErrorMessage="1" errorTitle="SolidWorks Error:" error="The value you have entered is invalid.  Please enter a valid value before continuing." promptTitle="RA@Sketch1" prompt="Enter a valid value for this parameter." sqref="T5:T33 AX4:AX34" xr:uid="{00000000-0002-0000-0100-000012000000}"/>
    <dataValidation showInputMessage="1" showErrorMessage="1" errorTitle="SolidWorks Error:" error="The value you have entered is invalid.  Please enter a valid value before continuing." promptTitle="RI@Sketch1" prompt="Enter a valid value for this parameter." sqref="S5:S33 AW4:AW34" xr:uid="{00000000-0002-0000-0100-000013000000}"/>
    <dataValidation showInputMessage="1" showErrorMessage="1" errorTitle="SolidWorks Error:" error="The value you have entered is invalid.  Please enter a valid value before continuing." promptTitle="TF@Sketch1" prompt="Enter a valid value for this parameter." sqref="R5:R33 AV4:AV34" xr:uid="{00000000-0002-0000-0100-000014000000}"/>
    <dataValidation showInputMessage="1" showErrorMessage="1" errorTitle="SolidWorks Error:" error="The value you have entered is invalid.  Please enter a valid value before continuing." promptTitle="BF@Sketch1" prompt="Enter a valid value for this parameter." sqref="Q5:Q33 AU4:AU34" xr:uid="{00000000-0002-0000-0100-000015000000}"/>
    <dataValidation showInputMessage="1" showErrorMessage="1" errorTitle="SolidWorks Error:" error="The value you have entered is invalid.  Please enter a valid value before continuing." promptTitle="TW@Sketch1" prompt="Enter a valid value for this parameter." sqref="AT4:AT34 P5:P33" xr:uid="{00000000-0002-0000-0100-000016000000}"/>
    <dataValidation showInputMessage="1" showErrorMessage="1" errorTitle="SolidWorks Error:" error="The value you have entered is invalid.  Please enter a valid value before continuing." promptTitle="Depth@Sketch1" prompt="Enter a valid value for this parameter." sqref="O5:O33 BG3:BG298" xr:uid="{00000000-0002-0000-0100-000017000000}"/>
    <dataValidation showInputMessage="1" showErrorMessage="1" errorTitle="SolidWorks Error:" error="The value you have entered is invalid.  Please enter a valid value before continuing." promptTitle="D1@Sketch1" prompt="Enter a valid value for this parameter." sqref="AZ4:AZ34" xr:uid="{00000000-0002-0000-0100-000018000000}"/>
    <dataValidation showInputMessage="1" showErrorMessage="1" errorTitle="SolidWorks Error:" error="The value you have entered is invalid.  Please enter a valid value before continuing." promptTitle="D6@Sketch1" prompt="Enter a valid value for this parameter." sqref="AY4:AY34" xr:uid="{00000000-0002-0000-0100-000019000000}"/>
    <dataValidation showInputMessage="1" showErrorMessage="1" errorTitle="SolidWorks Error:" error="The value you have entered is invalid.  Please enter a valid value before continuing." promptTitle="DEPTH@Sketch1" prompt="Enter a valid value for this parameter." sqref="AS4:AS34" xr:uid="{00000000-0002-0000-0100-00001A000000}"/>
    <dataValidation showInputMessage="1" showErrorMessage="1" errorTitle="SolidWorks Error:" error="The value you have entered is invalid.  Please enter a valid value before continuing." promptTitle="Size@Sketch1" prompt="Enter a valid value for this parameter." sqref="AQ4:AQ34 BE3:BE298" xr:uid="{00000000-0002-0000-0100-00001B000000}"/>
    <dataValidation allowBlank="1" showInputMessage="1" promptTitle="$prp@Syteline#" prompt="SS1440" sqref="BL293" xr:uid="{00000000-0002-0000-0100-00001C000000}"/>
    <dataValidation allowBlank="1" showInputMessage="1" promptTitle="$prp@Syteline#" prompt="SS1446" sqref="BL291" xr:uid="{00000000-0002-0000-0100-00001D000000}"/>
    <dataValidation allowBlank="1" showInputMessage="1" promptTitle="$prp@Syteline#" prompt="SS1445" sqref="BL287" xr:uid="{00000000-0002-0000-0100-00001E000000}"/>
    <dataValidation allowBlank="1" showInputMessage="1" promptTitle="$prp@Syteline#" prompt="SS1450" sqref="BL286" xr:uid="{00000000-0002-0000-0100-00001F000000}"/>
    <dataValidation allowBlank="1" showInputMessage="1" promptTitle="$prp@Syteline#" prompt="SS1457" sqref="BL285" xr:uid="{00000000-0002-0000-0100-000020000000}"/>
    <dataValidation allowBlank="1" showInputMessage="1" promptTitle="$prp@Syteline#" prompt="SS1456" sqref="BL284" xr:uid="{00000000-0002-0000-0100-000021000000}"/>
    <dataValidation allowBlank="1" showInputMessage="1" promptTitle="$prp@Syteline#" prompt="SS1002" sqref="BL283" xr:uid="{00000000-0002-0000-0100-000022000000}"/>
    <dataValidation allowBlank="1" showInputMessage="1" promptTitle="$prp@Syteline#" prompt="SS1011" sqref="BL280" xr:uid="{00000000-0002-0000-0100-000023000000}"/>
    <dataValidation allowBlank="1" showInputMessage="1" promptTitle="$prp@Syteline#" prompt="SS1462" sqref="BL276" xr:uid="{00000000-0002-0000-0100-000024000000}"/>
    <dataValidation allowBlank="1" showInputMessage="1" promptTitle="$prp@Syteline#" prompt="SS1460" sqref="BL273" xr:uid="{00000000-0002-0000-0100-000025000000}"/>
    <dataValidation allowBlank="1" showInputMessage="1" promptTitle="$prp@Syteline#" prompt="SS1465" sqref="BL255" xr:uid="{00000000-0002-0000-0100-000026000000}"/>
    <dataValidation allowBlank="1" showInputMessage="1" promptTitle="$prp@Syteline#" prompt="SS1468" sqref="BL247" xr:uid="{00000000-0002-0000-0100-000027000000}"/>
    <dataValidation allowBlank="1" showInputMessage="1" promptTitle="$prp@Syteline#" prompt="SS1469" sqref="BL244" xr:uid="{00000000-0002-0000-0100-000028000000}"/>
    <dataValidation allowBlank="1" showInputMessage="1" promptTitle="$prp@Syteline#" prompt="SS1466" sqref="BL194" xr:uid="{00000000-0002-0000-0100-000029000000}"/>
    <dataValidation allowBlank="1" showInputMessage="1" promptTitle="$prp@Syteline#" prompt="SS1467" sqref="BL183" xr:uid="{00000000-0002-0000-0100-00002A000000}"/>
    <dataValidation allowBlank="1" showInputMessage="1" promptTitle="$prp@Syteline#" prompt="SS1498" sqref="BL160" xr:uid="{00000000-0002-0000-0100-00002B000000}"/>
    <dataValidation allowBlank="1" showInputMessage="1" promptTitle="$prp@Syteline#" prompt="SS1436" sqref="BL113" xr:uid="{00000000-0002-0000-0100-00002C000000}"/>
    <dataValidation showInputMessage="1" showErrorMessage="1" errorTitle="SolidWorks Error:" error="The value you have entered is invalid.  Please enter a valid value before continuing." promptTitle="Ri@Sketch1" prompt="Enter a valid value for this parameter." sqref="BK3:BK298" xr:uid="{00000000-0002-0000-0100-00002D000000}"/>
    <dataValidation showInputMessage="1" showErrorMessage="1" errorTitle="SolidWorks Error:" error="The value you have entered is invalid.  Please enter a valid value before continuing." promptTitle="Tf@Sketch1" prompt="Enter a valid value for this parameter." sqref="BJ3:BJ298" xr:uid="{00000000-0002-0000-0100-00002E000000}"/>
    <dataValidation showInputMessage="1" showErrorMessage="1" errorTitle="SolidWorks Error:" error="The value you have entered is invalid.  Please enter a valid value before continuing." promptTitle="Bf@Sketch1" prompt="Enter a valid value for this parameter." sqref="BI3:BI298" xr:uid="{00000000-0002-0000-0100-00002F000000}"/>
    <dataValidation showInputMessage="1" showErrorMessage="1" errorTitle="SolidWorks Error:" error="The value you have entered is invalid.  Please enter a valid value before continuing." promptTitle="Tw@Sketch1" prompt="Enter a valid value for this parameter." sqref="BH3:BH298" xr:uid="{00000000-0002-0000-0100-000030000000}"/>
    <dataValidation allowBlank="1" showInputMessage="1" promptTitle="$prp@AISC K VALUE" prompt="1.4375" sqref="Y5:Y7" xr:uid="{00000000-0002-0000-0100-000031000000}"/>
    <dataValidation allowBlank="1" showInputMessage="1" promptTitle="$prp@AISC K VALUE" prompt="1.1250" sqref="Y8:Y10" xr:uid="{00000000-0002-0000-0100-000032000000}"/>
    <dataValidation allowBlank="1" showInputMessage="1" promptTitle="$prp@AISC K VALUE" prompt="1.0000" sqref="Y11:Y17" xr:uid="{00000000-0002-0000-0100-000033000000}"/>
    <dataValidation allowBlank="1" showInputMessage="1" promptTitle="$prp@AISC K VALUE" prompt="0.9375" sqref="Y18:Y20" xr:uid="{00000000-0002-0000-0100-000034000000}"/>
    <dataValidation allowBlank="1" showInputMessage="1" promptTitle="$prp@AISC K VALUE" prompt="0.8750" sqref="Y21:Y23" xr:uid="{00000000-0002-0000-0100-000035000000}"/>
    <dataValidation allowBlank="1" showInputMessage="1" promptTitle="$prp@AISC K VALUE" prompt="0.8125" sqref="Y24:Y26" xr:uid="{00000000-0002-0000-0100-000036000000}"/>
    <dataValidation allowBlank="1" showInputMessage="1" promptTitle="$prp@AISC K VALUE" prompt="0.7500" sqref="Y27:Y30" xr:uid="{00000000-0002-0000-0100-000037000000}"/>
    <dataValidation allowBlank="1" showInputMessage="1" promptTitle="$prp@AISC K VALUE" prompt="0.6875" sqref="Y31:Y33" xr:uid="{00000000-0002-0000-0100-000038000000}"/>
    <dataValidation allowBlank="1" showInputMessage="1" promptTitle="$prp@AISC T VALUE" prompt="12.1250" sqref="Z5:Z7" xr:uid="{00000000-0002-0000-0100-000039000000}"/>
    <dataValidation allowBlank="1" showInputMessage="1" promptTitle="$prp@AISC T VALUE" prompt="9.7500" sqref="Z8:Z10" xr:uid="{00000000-0002-0000-0100-00003A000000}"/>
    <dataValidation allowBlank="1" showInputMessage="1" promptTitle="$prp@AISC T VALUE" prompt="8.0000" sqref="Z11:Z14" xr:uid="{00000000-0002-0000-0100-00003B000000}"/>
    <dataValidation allowBlank="1" showInputMessage="1" promptTitle="$prp@AISC T VALUE" prompt="7.0000" sqref="Z15:Z17" xr:uid="{00000000-0002-0000-0100-00003C000000}"/>
    <dataValidation allowBlank="1" showInputMessage="1" promptTitle="$prp@AISC T VALUE" prompt="6.1250" sqref="Z18:Z20" xr:uid="{00000000-0002-0000-0100-00003D000000}"/>
    <dataValidation allowBlank="1" showInputMessage="1" promptTitle="$prp@AISC T VALUE" prompt="5.2500" sqref="Z21:Z23" xr:uid="{00000000-0002-0000-0100-00003E000000}"/>
    <dataValidation allowBlank="1" showInputMessage="1" promptTitle="$prp@AISC T VALUE" prompt="4.3750" sqref="Z24:Z26" xr:uid="{00000000-0002-0000-0100-00003F000000}"/>
    <dataValidation allowBlank="1" showInputMessage="1" promptTitle="$prp@AISC T VALUE" prompt="3.5000" sqref="Z27:Z28" xr:uid="{00000000-0002-0000-0100-000040000000}"/>
    <dataValidation allowBlank="1" showInputMessage="1" promptTitle="$prp@AISC T VALUE" prompt="2.5000" sqref="Z29:Z30" xr:uid="{00000000-0002-0000-0100-000041000000}"/>
    <dataValidation allowBlank="1" showInputMessage="1" promptTitle="$prp@AISC T VALUE" prompt="1.6250" sqref="Z31:Z33" xr:uid="{00000000-0002-0000-0100-000042000000}"/>
    <dataValidation showInputMessage="1" showErrorMessage="1" errorTitle="SOLIDWORKS Error:" error="The value you have entered is invalid.  Please enter a valid value before continuing." promptTitle="Weight@Sketch1" prompt="Enter a valid value for this parameter." sqref="BP4:BP39" xr:uid="{00000000-0002-0000-0100-000043000000}"/>
    <dataValidation showInputMessage="1" showErrorMessage="1" errorTitle="SOLIDWORKS Error:" error="The value you have entered is invalid.  Please enter a valid value before continuing." promptTitle="Depth@Sketch1" prompt="Enter a valid value for this parameter." sqref="BQ4:BQ39" xr:uid="{00000000-0002-0000-0100-000044000000}"/>
    <dataValidation showInputMessage="1" showErrorMessage="1" errorTitle="SOLIDWORKS Error:" error="The value you have entered is invalid.  Please enter a valid value before continuing." promptTitle="TW@Sketch1" prompt="Enter a valid value for this parameter." sqref="BR4:BR39" xr:uid="{00000000-0002-0000-0100-000045000000}"/>
    <dataValidation showInputMessage="1" showErrorMessage="1" errorTitle="SOLIDWORKS Error:" error="The value you have entered is invalid.  Please enter a valid value before continuing." promptTitle="BF@Sketch1" prompt="Enter a valid value for this parameter." sqref="BS4:BS39" xr:uid="{00000000-0002-0000-0100-000046000000}"/>
    <dataValidation showInputMessage="1" showErrorMessage="1" errorTitle="SOLIDWORKS Error:" error="The value you have entered is invalid.  Please enter a valid value before continuing." promptTitle="TF@Sketch1" prompt="Enter a valid value for this parameter." sqref="BT4:BT39" xr:uid="{00000000-0002-0000-0100-000047000000}"/>
    <dataValidation showInputMessage="1" showErrorMessage="1" errorTitle="SOLIDWORKS Error:" error="The value you have entered is invalid.  Please enter a valid value before continuing." promptTitle="RI@Sketch1" prompt="Enter a valid value for this parameter." sqref="BU4:BU39" xr:uid="{00000000-0002-0000-0100-000048000000}"/>
    <dataValidation showInputMessage="1" showErrorMessage="1" errorTitle="SOLIDWORKS Error:" error="The value you have entered is invalid.  Please enter a valid value before continuing." promptTitle="RA@Sketch1" prompt="Enter a valid value for this parameter." sqref="BV4:BV39" xr:uid="{00000000-0002-0000-0100-000049000000}"/>
    <dataValidation showInputMessage="1" showErrorMessage="1" errorTitle="SOLIDWORKS Error:" error="The value you have entered is invalid.  Please enter a valid value before continuing." promptTitle="D2@Sketch1" prompt="Enter a valid value for this parameter." sqref="BW4:BW39" xr:uid="{00000000-0002-0000-0100-00004A000000}"/>
    <dataValidation allowBlank="1" showInputMessage="1" promptTitle="$prp@Syteline#" prompt="SS1589" sqref="CA11" xr:uid="{00000000-0002-0000-0100-00004B000000}"/>
    <dataValidation allowBlank="1" showInputMessage="1" promptTitle="$prp@Syteline#" prompt="SS1425" sqref="CA17" xr:uid="{00000000-0002-0000-0100-00004C000000}"/>
    <dataValidation allowBlank="1" showInputMessage="1" promptTitle="$prp@Syteline#" prompt="SS1208" sqref="CA20" xr:uid="{00000000-0002-0000-0100-00004D000000}"/>
    <dataValidation allowBlank="1" showInputMessage="1" promptTitle="$prp@Syteline#" prompt="SS1416" sqref="CA22" xr:uid="{00000000-0002-0000-0100-00004E000000}"/>
    <dataValidation allowBlank="1" showInputMessage="1" promptTitle="$prp@Syteline#" prompt="SS1420" sqref="CA23" xr:uid="{00000000-0002-0000-0100-00004F000000}"/>
    <dataValidation allowBlank="1" showInputMessage="1" promptTitle="$prp@Syteline#" prompt="SS1207" sqref="CA39" xr:uid="{00000000-0002-0000-0100-000050000000}"/>
    <dataValidation allowBlank="1" showInputMessage="1" promptTitle="$PRP@AISC K VALUE" prompt="1.4375" sqref="CB4:CB11" xr:uid="{00000000-0002-0000-0100-000051000000}"/>
    <dataValidation allowBlank="1" showInputMessage="1" promptTitle="$PRP@AISC K VALUE" prompt="1.3125" sqref="CB18:CB22 CB12:CB16" xr:uid="{00000000-0002-0000-0100-000052000000}"/>
    <dataValidation allowBlank="1" showInputMessage="1" promptTitle="$PRP@AISC K VALUE" prompt="0.75" sqref="CB23 CB17" xr:uid="{00000000-0002-0000-0100-000053000000}"/>
    <dataValidation allowBlank="1" showInputMessage="1" promptTitle="$PRP@AISC K VALUE" prompt="0.5625" sqref="CB24" xr:uid="{00000000-0002-0000-0100-000054000000}"/>
    <dataValidation allowBlank="1" showInputMessage="1" promptTitle="$PRP@AISC K VALUE" prompt="1.25" sqref="CB25" xr:uid="{00000000-0002-0000-0100-000055000000}"/>
    <dataValidation allowBlank="1" showInputMessage="1" promptTitle="$PRP@AISC K VALUE" prompt="2.25" sqref="CB26" xr:uid="{00000000-0002-0000-0100-000056000000}"/>
    <dataValidation allowBlank="1" showInputMessage="1" promptTitle="$PRP@AISC K VALUE" prompt="1.1875" sqref="CB27:CB28" xr:uid="{00000000-0002-0000-0100-000057000000}"/>
    <dataValidation allowBlank="1" showInputMessage="1" promptTitle="$PRP@AISC K VALUE" prompt="0.8125" sqref="CB31" xr:uid="{00000000-0002-0000-0100-000058000000}"/>
    <dataValidation allowBlank="1" showInputMessage="1" promptTitle="$PRP@AISC K VALUE" prompt="1.125" sqref="CB32:CB34 CB29:CB30" xr:uid="{00000000-0002-0000-0100-000059000000}"/>
    <dataValidation allowBlank="1" showInputMessage="1" promptTitle="$PRP@AISC K VALUE" prompt="1.0625" sqref="CB37:CB38 CB35" xr:uid="{00000000-0002-0000-0100-00005A000000}"/>
    <dataValidation allowBlank="1" showInputMessage="1" promptTitle="$PRP@AISC K VALUE" prompt="0.875" sqref="CB39 CB36" xr:uid="{00000000-0002-0000-0100-00005B000000}"/>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149</vt:i4>
      </vt:variant>
    </vt:vector>
  </HeadingPairs>
  <TitlesOfParts>
    <vt:vector size="151" baseType="lpstr">
      <vt:lpstr>Sheet1</vt:lpstr>
      <vt:lpstr>Data</vt:lpstr>
      <vt:lpstr>Backer_Bar_Thicker</vt:lpstr>
      <vt:lpstr>Backer_Bar_Thinner</vt:lpstr>
      <vt:lpstr>BB_IN_SF?</vt:lpstr>
      <vt:lpstr>BTS_Angle_State</vt:lpstr>
      <vt:lpstr>BTS_Bolt_on_Plate_State</vt:lpstr>
      <vt:lpstr>BTS_CChannel_State</vt:lpstr>
      <vt:lpstr>BTS_Con_Type</vt:lpstr>
      <vt:lpstr>BTS_List</vt:lpstr>
      <vt:lpstr>BTS_LL_Hammco_Table</vt:lpstr>
      <vt:lpstr>BTS_Loc\Qty_EH\VV\VI_0.625_Table</vt:lpstr>
      <vt:lpstr>BTS_Loc\Qty_EH\VV\VI_0.75_Table</vt:lpstr>
      <vt:lpstr>BTS_Loc\Qty_Horiz\TEMA\API_0.625_Table</vt:lpstr>
      <vt:lpstr>BTS_Loc\Qty_Horiz\TEMA\API_0.75_Table</vt:lpstr>
      <vt:lpstr>BTS_Loc\Qty_Horiz\TEMA\API_1.25_Table</vt:lpstr>
      <vt:lpstr>BTS_Loc\Qty_Horiz\TEMA\API_1.5_Table</vt:lpstr>
      <vt:lpstr>BTS_Loc\Qty_Horiz\TEMA\API_1_Table</vt:lpstr>
      <vt:lpstr>BTS_Loc\Qty_Horizontal_0.625_Table</vt:lpstr>
      <vt:lpstr>BTS_Loc\Qty_Horizontal_0.75_Table</vt:lpstr>
      <vt:lpstr>BTS_Loc\Qty_Horizontal_1.25_Table</vt:lpstr>
      <vt:lpstr>BTS_Loc\Qty_Horizontal_1.5_Table</vt:lpstr>
      <vt:lpstr>BTS_Loc\Qty_Horizontal_1_Table</vt:lpstr>
      <vt:lpstr>BTS_Location</vt:lpstr>
      <vt:lpstr>BTS_Move_State</vt:lpstr>
      <vt:lpstr>BTS_Offset</vt:lpstr>
      <vt:lpstr>BTS_Rod_State</vt:lpstr>
      <vt:lpstr>BTS_Size</vt:lpstr>
      <vt:lpstr>BTS_Spacing</vt:lpstr>
      <vt:lpstr>BTS_SSection_State</vt:lpstr>
      <vt:lpstr>BTS_Table</vt:lpstr>
      <vt:lpstr>BTS_Type</vt:lpstr>
      <vt:lpstr>BTS_WSection_State</vt:lpstr>
      <vt:lpstr>C_Channel_List</vt:lpstr>
      <vt:lpstr>C_Channel_Table</vt:lpstr>
      <vt:lpstr>End_Drill</vt:lpstr>
      <vt:lpstr>Family</vt:lpstr>
      <vt:lpstr>Fin_Dia</vt:lpstr>
      <vt:lpstr>Flat_Bar_Thk_List</vt:lpstr>
      <vt:lpstr>Front_Support_Bar_Type</vt:lpstr>
      <vt:lpstr>Gap</vt:lpstr>
      <vt:lpstr>Gap_w_crush</vt:lpstr>
      <vt:lpstr>HDR_and_SF_Gap</vt:lpstr>
      <vt:lpstr>HDR_Plate_Thk</vt:lpstr>
      <vt:lpstr>HDR_Plate_Thk_Rear</vt:lpstr>
      <vt:lpstr>HDR_Slide_Pad_Thk</vt:lpstr>
      <vt:lpstr>HDR_Slide_Pad_Thk_Rear</vt:lpstr>
      <vt:lpstr>HDR_Support_Size</vt:lpstr>
      <vt:lpstr>HDR_Support_table</vt:lpstr>
      <vt:lpstr>HDR_Support_Top_Con_Type</vt:lpstr>
      <vt:lpstr>HDR_Support_Top_Size</vt:lpstr>
      <vt:lpstr>HDR_Support_Top_Type</vt:lpstr>
      <vt:lpstr>HDR_Support_Type</vt:lpstr>
      <vt:lpstr>HDR_Support_Type_List</vt:lpstr>
      <vt:lpstr>HDR_Support_Type_Table</vt:lpstr>
      <vt:lpstr>HDR_Top_Slide_Pad_Thk</vt:lpstr>
      <vt:lpstr>HDR_Top_Slide_Pad_Thk_REAR</vt:lpstr>
      <vt:lpstr>HS_Angle_State?</vt:lpstr>
      <vt:lpstr>HS_Angle_Top_State?</vt:lpstr>
      <vt:lpstr>HS_Channel_State?</vt:lpstr>
      <vt:lpstr>HS_Channel_Top_State?</vt:lpstr>
      <vt:lpstr>K_Value_Table</vt:lpstr>
      <vt:lpstr>L_Angle_List</vt:lpstr>
      <vt:lpstr>L_Angle_Table</vt:lpstr>
      <vt:lpstr>LL_Location</vt:lpstr>
      <vt:lpstr>LL_State</vt:lpstr>
      <vt:lpstr>LL_Type</vt:lpstr>
      <vt:lpstr>LL_Type_Ref_Table</vt:lpstr>
      <vt:lpstr>Locking_Tab?</vt:lpstr>
      <vt:lpstr>Max_Spacing</vt:lpstr>
      <vt:lpstr>MC_Channel_List</vt:lpstr>
      <vt:lpstr>MC_Channel_Table</vt:lpstr>
      <vt:lpstr>Mid_Air_Seal?</vt:lpstr>
      <vt:lpstr>Mid_Air_Seal_Con_Type</vt:lpstr>
      <vt:lpstr>Offset_BTS?</vt:lpstr>
      <vt:lpstr>Offset_Center_BTS_List</vt:lpstr>
      <vt:lpstr>Offset_Center_BTS_Table</vt:lpstr>
      <vt:lpstr>Pitch</vt:lpstr>
      <vt:lpstr>Possible_TSS_Location</vt:lpstr>
      <vt:lpstr>Possible_TSS_Location_SS</vt:lpstr>
      <vt:lpstr>Possible_TSS_QTY</vt:lpstr>
      <vt:lpstr>Possible_TSS_QTY_SS</vt:lpstr>
      <vt:lpstr>ProductLine</vt:lpstr>
      <vt:lpstr>QTY_of_BTS</vt:lpstr>
      <vt:lpstr>Rear_Support_Bar_Type</vt:lpstr>
      <vt:lpstr>Row_Length</vt:lpstr>
      <vt:lpstr>Row_Length_SS</vt:lpstr>
      <vt:lpstr>S_Section_List</vt:lpstr>
      <vt:lpstr>S_Section_Table</vt:lpstr>
      <vt:lpstr>SF_Coating</vt:lpstr>
      <vt:lpstr>SF_Depth</vt:lpstr>
      <vt:lpstr>SF_Length</vt:lpstr>
      <vt:lpstr>SF_Lip</vt:lpstr>
      <vt:lpstr>SF_Ref_Table</vt:lpstr>
      <vt:lpstr>SF_Sizes_List</vt:lpstr>
      <vt:lpstr>SF_Slide_Pad_Thk</vt:lpstr>
      <vt:lpstr>SF_Slide_Pad_Thk_REAR</vt:lpstr>
      <vt:lpstr>SF_Thk</vt:lpstr>
      <vt:lpstr>SF_Toe</vt:lpstr>
      <vt:lpstr>SF_Web_THK</vt:lpstr>
      <vt:lpstr>SF_Width</vt:lpstr>
      <vt:lpstr>Shop_LL?</vt:lpstr>
      <vt:lpstr>Side_Frame_Size</vt:lpstr>
      <vt:lpstr>Slide_Pad</vt:lpstr>
      <vt:lpstr>Slide_Pad_List</vt:lpstr>
      <vt:lpstr>Slide_Pad_Rear</vt:lpstr>
      <vt:lpstr>Slide_Pad_Size_Table</vt:lpstr>
      <vt:lpstr>Slide_Pad_Table</vt:lpstr>
      <vt:lpstr>SS_1</vt:lpstr>
      <vt:lpstr>SSP?</vt:lpstr>
      <vt:lpstr>SSP_Inner_Dim</vt:lpstr>
      <vt:lpstr>SSP_Length</vt:lpstr>
      <vt:lpstr>SSP_Outer_Dim</vt:lpstr>
      <vt:lpstr>SSP_Seam_Dist_fm</vt:lpstr>
      <vt:lpstr>SSPanel_QTY</vt:lpstr>
      <vt:lpstr>SSPC?</vt:lpstr>
      <vt:lpstr>SSPC_Front_Dim</vt:lpstr>
      <vt:lpstr>SSPC_Opp?</vt:lpstr>
      <vt:lpstr>SSPC_Opp_Length</vt:lpstr>
      <vt:lpstr>SSPC_Rear_Dim</vt:lpstr>
      <vt:lpstr>SSPC_Seam_Dist</vt:lpstr>
      <vt:lpstr>SSS?</vt:lpstr>
      <vt:lpstr>SSS_Length_Match?</vt:lpstr>
      <vt:lpstr>TSS_Frame_State</vt:lpstr>
      <vt:lpstr>TSS_IN_SF?</vt:lpstr>
      <vt:lpstr>TSS_Location</vt:lpstr>
      <vt:lpstr>TSS_Location_SS</vt:lpstr>
      <vt:lpstr>TSS_QTY</vt:lpstr>
      <vt:lpstr>TSS_QTY_SS</vt:lpstr>
      <vt:lpstr>TSS_Spacing</vt:lpstr>
      <vt:lpstr>TSS_Spacing_SS</vt:lpstr>
      <vt:lpstr>TSS_State</vt:lpstr>
      <vt:lpstr>TTS_Bracket_State</vt:lpstr>
      <vt:lpstr>TTS_List</vt:lpstr>
      <vt:lpstr>TTS_Table</vt:lpstr>
      <vt:lpstr>TTS_Type</vt:lpstr>
      <vt:lpstr>Tube_Dia</vt:lpstr>
      <vt:lpstr>Tube_Length</vt:lpstr>
      <vt:lpstr>Tube_Projection</vt:lpstr>
      <vt:lpstr>Tube_QTY_between_TSS</vt:lpstr>
      <vt:lpstr>Tube_QTY_between_TSS_SS</vt:lpstr>
      <vt:lpstr>Tube_QTY_in_Row</vt:lpstr>
      <vt:lpstr>Tube_QTY_in_Row_SS</vt:lpstr>
      <vt:lpstr>Tube_Slope_Angle</vt:lpstr>
      <vt:lpstr>Tube_Support_Strip_Spacing</vt:lpstr>
      <vt:lpstr>Unit_Type</vt:lpstr>
      <vt:lpstr>Valid_Section_Weight</vt:lpstr>
      <vt:lpstr>Vertical_Pitch</vt:lpstr>
      <vt:lpstr>W_Section_List</vt:lpstr>
      <vt:lpstr>W_Section_Table</vt:lpstr>
      <vt:lpstr>Wiggle_Strip_Thk</vt:lpstr>
    </vt:vector>
  </TitlesOfParts>
  <Company>Harsco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Stietz</dc:creator>
  <cp:lastModifiedBy>Tietz, Steven</cp:lastModifiedBy>
  <dcterms:created xsi:type="dcterms:W3CDTF">2014-07-14T17:54:15Z</dcterms:created>
  <dcterms:modified xsi:type="dcterms:W3CDTF">2025-10-06T04:55:39Z</dcterms:modified>
</cp:coreProperties>
</file>