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xr:revisionPtr revIDLastSave="0" documentId="8_{F0EC3557-D64C-4175-8175-FEB0B4F8DA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ata" sheetId="2" state="hidden" r:id="rId2"/>
  </sheets>
  <definedNames>
    <definedName name="Family">Sheet1!$A$4</definedName>
    <definedName name="L_Angle_List">Data!$G$15:$G$163</definedName>
    <definedName name="L_Angle_Table">Data!$G$15:$O$163</definedName>
    <definedName name="ProductLine">Sheet1!$B$5</definedName>
    <definedName name="TTS">Data!$B$4:$Z$11</definedName>
    <definedName name="TTS_List">Data!$B$4:$B$11</definedName>
    <definedName name="TTS_Table_Ref">Data!$B$15:$C$22</definedName>
    <definedName name="TTS_Type">Sheet1!$C$5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V10" i="2" s="1"/>
  <c r="O10" i="2"/>
  <c r="N10" i="2"/>
  <c r="M10" i="2"/>
  <c r="H10" i="2"/>
  <c r="K10" i="2" s="1"/>
  <c r="G10" i="2"/>
  <c r="C10" i="2"/>
  <c r="F10" i="2" s="1"/>
  <c r="V9" i="2"/>
  <c r="U9" i="2"/>
  <c r="R9" i="2"/>
  <c r="T9" i="2" s="1"/>
  <c r="O9" i="2"/>
  <c r="N9" i="2"/>
  <c r="M9" i="2"/>
  <c r="L9" i="2"/>
  <c r="H9" i="2"/>
  <c r="K9" i="2" s="1"/>
  <c r="G9" i="2"/>
  <c r="C9" i="2"/>
  <c r="F9" i="2" s="1"/>
  <c r="V8" i="2"/>
  <c r="AH12" i="1" s="1"/>
  <c r="U8" i="2"/>
  <c r="T8" i="2"/>
  <c r="R8" i="2"/>
  <c r="S8" i="2" s="1"/>
  <c r="O8" i="2"/>
  <c r="N8" i="2"/>
  <c r="V12" i="1" s="1"/>
  <c r="M8" i="2"/>
  <c r="U13" i="1" s="1"/>
  <c r="L8" i="2"/>
  <c r="H8" i="2"/>
  <c r="P9" i="1" s="1"/>
  <c r="G8" i="2"/>
  <c r="C8" i="2"/>
  <c r="F8" i="2" s="1"/>
  <c r="V7" i="2"/>
  <c r="U7" i="2"/>
  <c r="R7" i="2"/>
  <c r="T7" i="2" s="1"/>
  <c r="O7" i="2"/>
  <c r="N7" i="2"/>
  <c r="M7" i="2"/>
  <c r="L7" i="2"/>
  <c r="H7" i="2"/>
  <c r="K7" i="2" s="1"/>
  <c r="G7" i="2"/>
  <c r="C7" i="2"/>
  <c r="F7" i="2" s="1"/>
  <c r="V6" i="2"/>
  <c r="U6" i="2"/>
  <c r="T6" i="2"/>
  <c r="R6" i="2"/>
  <c r="S6" i="2" s="1"/>
  <c r="O6" i="2"/>
  <c r="N6" i="2"/>
  <c r="M6" i="2"/>
  <c r="L6" i="2"/>
  <c r="H6" i="2"/>
  <c r="K6" i="2" s="1"/>
  <c r="G6" i="2"/>
  <c r="F6" i="2"/>
  <c r="C6" i="2"/>
  <c r="E6" i="2" s="1"/>
  <c r="V5" i="2"/>
  <c r="U5" i="2"/>
  <c r="R5" i="2"/>
  <c r="T5" i="2" s="1"/>
  <c r="N5" i="2"/>
  <c r="M5" i="2"/>
  <c r="L5" i="2"/>
  <c r="H5" i="2"/>
  <c r="K5" i="2" s="1"/>
  <c r="G5" i="2"/>
  <c r="F5" i="2"/>
  <c r="E5" i="2"/>
  <c r="D5" i="2"/>
  <c r="U4" i="2"/>
  <c r="T4" i="2"/>
  <c r="S4" i="2"/>
  <c r="R4" i="2"/>
  <c r="V4" i="2" s="1"/>
  <c r="L4" i="2"/>
  <c r="O4" i="2" s="1"/>
  <c r="K4" i="2"/>
  <c r="H4" i="2"/>
  <c r="J4" i="2" s="1"/>
  <c r="G4" i="2"/>
  <c r="F4" i="2"/>
  <c r="E4" i="2"/>
  <c r="D4" i="2"/>
  <c r="C4" i="2"/>
  <c r="BA14" i="1"/>
  <c r="AY14" i="1"/>
  <c r="AG14" i="1"/>
  <c r="AF14" i="1"/>
  <c r="AD14" i="1"/>
  <c r="AC14" i="1"/>
  <c r="W14" i="1"/>
  <c r="T14" i="1"/>
  <c r="O14" i="1"/>
  <c r="K14" i="1"/>
  <c r="I14" i="1"/>
  <c r="H14" i="1"/>
  <c r="G14" i="1"/>
  <c r="F14" i="1"/>
  <c r="E14" i="1"/>
  <c r="D14" i="1"/>
  <c r="BA13" i="1"/>
  <c r="AY13" i="1"/>
  <c r="AH13" i="1"/>
  <c r="AG13" i="1"/>
  <c r="AF13" i="1"/>
  <c r="AD13" i="1"/>
  <c r="AC13" i="1"/>
  <c r="W13" i="1"/>
  <c r="V13" i="1"/>
  <c r="T13" i="1"/>
  <c r="O13" i="1"/>
  <c r="K13" i="1"/>
  <c r="I13" i="1"/>
  <c r="H13" i="1"/>
  <c r="G13" i="1"/>
  <c r="F13" i="1"/>
  <c r="E13" i="1"/>
  <c r="D13" i="1"/>
  <c r="BA12" i="1"/>
  <c r="AY12" i="1"/>
  <c r="AG12" i="1"/>
  <c r="AF12" i="1"/>
  <c r="AD12" i="1"/>
  <c r="AC12" i="1"/>
  <c r="W12" i="1"/>
  <c r="T12" i="1"/>
  <c r="O12" i="1"/>
  <c r="K12" i="1"/>
  <c r="I12" i="1"/>
  <c r="H12" i="1"/>
  <c r="G12" i="1"/>
  <c r="F12" i="1"/>
  <c r="E12" i="1"/>
  <c r="D12" i="1"/>
  <c r="BA11" i="1"/>
  <c r="AY11" i="1"/>
  <c r="AG11" i="1"/>
  <c r="AF11" i="1"/>
  <c r="AD11" i="1"/>
  <c r="AC11" i="1"/>
  <c r="W11" i="1"/>
  <c r="T11" i="1"/>
  <c r="O11" i="1"/>
  <c r="K11" i="1"/>
  <c r="I11" i="1"/>
  <c r="H11" i="1"/>
  <c r="G11" i="1"/>
  <c r="F11" i="1"/>
  <c r="E11" i="1"/>
  <c r="D11" i="1"/>
  <c r="BA10" i="1"/>
  <c r="AY10" i="1"/>
  <c r="AG10" i="1"/>
  <c r="AF10" i="1"/>
  <c r="AD10" i="1"/>
  <c r="AC10" i="1"/>
  <c r="W10" i="1"/>
  <c r="V10" i="1"/>
  <c r="U10" i="1"/>
  <c r="T10" i="1"/>
  <c r="P10" i="1"/>
  <c r="O10" i="1"/>
  <c r="K10" i="1"/>
  <c r="I10" i="1"/>
  <c r="H10" i="1"/>
  <c r="G10" i="1"/>
  <c r="F10" i="1"/>
  <c r="E10" i="1"/>
  <c r="D10" i="1"/>
  <c r="BA9" i="1"/>
  <c r="AY9" i="1"/>
  <c r="AG9" i="1"/>
  <c r="AF9" i="1"/>
  <c r="AD9" i="1"/>
  <c r="AC9" i="1"/>
  <c r="W9" i="1"/>
  <c r="T9" i="1"/>
  <c r="O9" i="1"/>
  <c r="K9" i="1"/>
  <c r="I9" i="1"/>
  <c r="H9" i="1"/>
  <c r="G9" i="1"/>
  <c r="F9" i="1"/>
  <c r="E9" i="1"/>
  <c r="D9" i="1"/>
  <c r="BA8" i="1"/>
  <c r="AY8" i="1"/>
  <c r="AG8" i="1"/>
  <c r="AF8" i="1"/>
  <c r="AD8" i="1"/>
  <c r="AC8" i="1"/>
  <c r="W8" i="1"/>
  <c r="T8" i="1"/>
  <c r="O8" i="1"/>
  <c r="K8" i="1"/>
  <c r="I8" i="1"/>
  <c r="H8" i="1"/>
  <c r="G8" i="1"/>
  <c r="F8" i="1"/>
  <c r="E8" i="1"/>
  <c r="D8" i="1"/>
  <c r="BA7" i="1"/>
  <c r="AY7" i="1"/>
  <c r="AH7" i="1"/>
  <c r="AG7" i="1"/>
  <c r="AF7" i="1"/>
  <c r="AD7" i="1"/>
  <c r="AC7" i="1"/>
  <c r="W7" i="1"/>
  <c r="V7" i="1"/>
  <c r="T7" i="1"/>
  <c r="O7" i="1"/>
  <c r="K7" i="1"/>
  <c r="I7" i="1"/>
  <c r="H7" i="1"/>
  <c r="G7" i="1"/>
  <c r="F7" i="1"/>
  <c r="E7" i="1"/>
  <c r="D7" i="1"/>
  <c r="BA6" i="1"/>
  <c r="AY6" i="1"/>
  <c r="AG6" i="1"/>
  <c r="AF6" i="1"/>
  <c r="AD6" i="1"/>
  <c r="AC6" i="1"/>
  <c r="W6" i="1"/>
  <c r="T6" i="1"/>
  <c r="O6" i="1"/>
  <c r="K6" i="1"/>
  <c r="I6" i="1"/>
  <c r="H6" i="1"/>
  <c r="G6" i="1"/>
  <c r="F6" i="1"/>
  <c r="E6" i="1"/>
  <c r="D6" i="1"/>
  <c r="AS5" i="1"/>
  <c r="AS13" i="1" s="1"/>
  <c r="AR5" i="1"/>
  <c r="AR13" i="1" s="1"/>
  <c r="AQ5" i="1"/>
  <c r="AQ14" i="1" s="1"/>
  <c r="AP5" i="1"/>
  <c r="AP14" i="1" s="1"/>
  <c r="AO5" i="1"/>
  <c r="AO9" i="1" s="1"/>
  <c r="AN5" i="1"/>
  <c r="AN9" i="1" s="1"/>
  <c r="J5" i="1"/>
  <c r="J12" i="1" s="1"/>
  <c r="C5" i="1"/>
  <c r="B5" i="1"/>
  <c r="B10" i="1" s="1"/>
  <c r="A2" i="1"/>
  <c r="C2" i="1" s="1"/>
  <c r="BB5" i="1" l="1"/>
  <c r="J7" i="1"/>
  <c r="A7" i="1" s="1"/>
  <c r="J13" i="1"/>
  <c r="A13" i="1" s="1"/>
  <c r="AE14" i="1"/>
  <c r="AE8" i="1"/>
  <c r="AE13" i="1"/>
  <c r="AE7" i="1"/>
  <c r="AE12" i="1"/>
  <c r="AE6" i="1"/>
  <c r="AE11" i="1"/>
  <c r="AE10" i="1"/>
  <c r="AE9" i="1"/>
  <c r="X12" i="1"/>
  <c r="Y12" i="1" s="1"/>
  <c r="A12" i="1"/>
  <c r="N10" i="1"/>
  <c r="N8" i="1"/>
  <c r="N11" i="1"/>
  <c r="N9" i="1"/>
  <c r="N14" i="1"/>
  <c r="N13" i="1"/>
  <c r="N7" i="1"/>
  <c r="N12" i="1"/>
  <c r="N6" i="1"/>
  <c r="BC5" i="1"/>
  <c r="U8" i="1"/>
  <c r="AS8" i="1"/>
  <c r="AQ9" i="1"/>
  <c r="AO10" i="1"/>
  <c r="B11" i="1"/>
  <c r="U14" i="1"/>
  <c r="AS14" i="1"/>
  <c r="I6" i="2"/>
  <c r="I8" i="2"/>
  <c r="I10" i="2"/>
  <c r="X7" i="1"/>
  <c r="Y7" i="1" s="1"/>
  <c r="J8" i="1"/>
  <c r="V8" i="1"/>
  <c r="AH8" i="1"/>
  <c r="AR9" i="1"/>
  <c r="AP10" i="1"/>
  <c r="P11" i="1"/>
  <c r="AN11" i="1"/>
  <c r="X13" i="1"/>
  <c r="Y13" i="1" s="1"/>
  <c r="J14" i="1"/>
  <c r="V14" i="1"/>
  <c r="AH14" i="1"/>
  <c r="J6" i="2"/>
  <c r="D7" i="2"/>
  <c r="J8" i="2"/>
  <c r="D9" i="2"/>
  <c r="J10" i="2"/>
  <c r="B6" i="1"/>
  <c r="U9" i="1"/>
  <c r="AS9" i="1"/>
  <c r="AQ10" i="1"/>
  <c r="AO11" i="1"/>
  <c r="B12" i="1"/>
  <c r="I4" i="2"/>
  <c r="S5" i="2"/>
  <c r="E7" i="2"/>
  <c r="S7" i="2"/>
  <c r="K8" i="2"/>
  <c r="E9" i="2"/>
  <c r="S9" i="2"/>
  <c r="P6" i="1"/>
  <c r="AN6" i="1"/>
  <c r="J9" i="1"/>
  <c r="V9" i="1"/>
  <c r="AH9" i="1"/>
  <c r="AR10" i="1"/>
  <c r="AP11" i="1"/>
  <c r="P12" i="1"/>
  <c r="AN12" i="1"/>
  <c r="AO6" i="1"/>
  <c r="AG5" i="1"/>
  <c r="AH5" i="1"/>
  <c r="B7" i="1"/>
  <c r="W5" i="1"/>
  <c r="AQ6" i="1"/>
  <c r="AO7" i="1"/>
  <c r="B8" i="1"/>
  <c r="U11" i="1"/>
  <c r="AS11" i="1"/>
  <c r="AQ12" i="1"/>
  <c r="AO13" i="1"/>
  <c r="B14" i="1"/>
  <c r="M4" i="2"/>
  <c r="I7" i="2"/>
  <c r="I9" i="2"/>
  <c r="AR8" i="1"/>
  <c r="AP9" i="1"/>
  <c r="AN10" i="1"/>
  <c r="AP6" i="1"/>
  <c r="AH10" i="1"/>
  <c r="L5" i="1"/>
  <c r="X5" i="1"/>
  <c r="AX5" i="1"/>
  <c r="AR6" i="1"/>
  <c r="AP7" i="1"/>
  <c r="P8" i="1"/>
  <c r="AN8" i="1"/>
  <c r="J11" i="1"/>
  <c r="V11" i="1"/>
  <c r="AH11" i="1"/>
  <c r="AR12" i="1"/>
  <c r="AP13" i="1"/>
  <c r="P14" i="1"/>
  <c r="AN14" i="1"/>
  <c r="B16" i="1"/>
  <c r="N4" i="2"/>
  <c r="I5" i="2"/>
  <c r="D6" i="2"/>
  <c r="J7" i="2"/>
  <c r="D8" i="2"/>
  <c r="J9" i="2"/>
  <c r="D10" i="2"/>
  <c r="S10" i="2"/>
  <c r="AA5" i="1"/>
  <c r="P5" i="1"/>
  <c r="AR14" i="1"/>
  <c r="Q5" i="1"/>
  <c r="AE5" i="1"/>
  <c r="S5" i="1"/>
  <c r="AF5" i="1"/>
  <c r="T5" i="1"/>
  <c r="U5" i="1"/>
  <c r="AO12" i="1"/>
  <c r="B13" i="1"/>
  <c r="AI5" i="1"/>
  <c r="P7" i="1"/>
  <c r="J10" i="1"/>
  <c r="AR11" i="1"/>
  <c r="AP12" i="1"/>
  <c r="P13" i="1"/>
  <c r="AN13" i="1"/>
  <c r="K5" i="1"/>
  <c r="M5" i="1"/>
  <c r="Y5" i="1"/>
  <c r="AY5" i="1"/>
  <c r="AZ5" i="1" s="1"/>
  <c r="U6" i="1"/>
  <c r="AS6" i="1"/>
  <c r="AQ7" i="1"/>
  <c r="AO8" i="1"/>
  <c r="B9" i="1"/>
  <c r="U12" i="1"/>
  <c r="AS12" i="1"/>
  <c r="AQ13" i="1"/>
  <c r="AO14" i="1"/>
  <c r="J5" i="2"/>
  <c r="E8" i="2"/>
  <c r="E10" i="2"/>
  <c r="T10" i="2"/>
  <c r="O5" i="1"/>
  <c r="B2" i="1"/>
  <c r="AD5" i="1"/>
  <c r="R5" i="1"/>
  <c r="BC4" i="1"/>
  <c r="AS10" i="1"/>
  <c r="AQ11" i="1"/>
  <c r="V5" i="1"/>
  <c r="AN7" i="1"/>
  <c r="N5" i="1"/>
  <c r="J6" i="1"/>
  <c r="V6" i="1"/>
  <c r="AH6" i="1"/>
  <c r="AR7" i="1"/>
  <c r="AP8" i="1"/>
  <c r="U10" i="2"/>
  <c r="BA5" i="1"/>
  <c r="U7" i="1"/>
  <c r="AS7" i="1"/>
  <c r="AQ8" i="1"/>
  <c r="R14" i="1" l="1"/>
  <c r="R8" i="1"/>
  <c r="R13" i="1"/>
  <c r="R7" i="1"/>
  <c r="R12" i="1"/>
  <c r="R6" i="1"/>
  <c r="R9" i="1"/>
  <c r="R11" i="1"/>
  <c r="R10" i="1"/>
  <c r="A8" i="1"/>
  <c r="X8" i="1"/>
  <c r="Y8" i="1" s="1"/>
  <c r="AX11" i="1"/>
  <c r="AX10" i="1"/>
  <c r="AX14" i="1"/>
  <c r="AX9" i="1"/>
  <c r="AX8" i="1"/>
  <c r="AX13" i="1"/>
  <c r="AX7" i="1"/>
  <c r="AX12" i="1"/>
  <c r="AX6" i="1"/>
  <c r="AA10" i="1"/>
  <c r="Z5" i="1"/>
  <c r="AB5" i="1"/>
  <c r="AA9" i="1"/>
  <c r="AA13" i="1"/>
  <c r="Z4" i="1"/>
  <c r="AA14" i="1"/>
  <c r="AA8" i="1"/>
  <c r="AA7" i="1"/>
  <c r="AA12" i="1"/>
  <c r="AA6" i="1"/>
  <c r="AA11" i="1"/>
  <c r="A14" i="1"/>
  <c r="X14" i="1"/>
  <c r="Y14" i="1" s="1"/>
  <c r="AV5" i="1"/>
  <c r="AU5" i="1"/>
  <c r="X9" i="1"/>
  <c r="Y9" i="1" s="1"/>
  <c r="A9" i="1"/>
  <c r="S14" i="1"/>
  <c r="S8" i="1"/>
  <c r="S13" i="1"/>
  <c r="S7" i="1"/>
  <c r="S11" i="1"/>
  <c r="S6" i="1"/>
  <c r="S12" i="1"/>
  <c r="S10" i="1"/>
  <c r="S9" i="1"/>
  <c r="M11" i="1"/>
  <c r="M10" i="1"/>
  <c r="M14" i="1"/>
  <c r="M9" i="1"/>
  <c r="M8" i="1"/>
  <c r="M13" i="1"/>
  <c r="M7" i="1"/>
  <c r="M12" i="1"/>
  <c r="M6" i="1"/>
  <c r="L11" i="1"/>
  <c r="L9" i="1"/>
  <c r="L12" i="1"/>
  <c r="L10" i="1"/>
  <c r="L6" i="1"/>
  <c r="L14" i="1"/>
  <c r="L8" i="1"/>
  <c r="L13" i="1"/>
  <c r="L7" i="1"/>
  <c r="X11" i="1"/>
  <c r="Y11" i="1" s="1"/>
  <c r="A11" i="1"/>
  <c r="Q9" i="1"/>
  <c r="Q14" i="1"/>
  <c r="Q8" i="1"/>
  <c r="Q6" i="1"/>
  <c r="Q7" i="1"/>
  <c r="Q13" i="1"/>
  <c r="Q12" i="1"/>
  <c r="Q11" i="1"/>
  <c r="Q10" i="1"/>
  <c r="A10" i="1"/>
  <c r="X10" i="1"/>
  <c r="Y10" i="1" s="1"/>
  <c r="AI12" i="1"/>
  <c r="AI6" i="1"/>
  <c r="AI11" i="1"/>
  <c r="AJ5" i="1"/>
  <c r="AI10" i="1"/>
  <c r="AI9" i="1"/>
  <c r="AI14" i="1"/>
  <c r="AI8" i="1"/>
  <c r="AI13" i="1"/>
  <c r="AI7" i="1"/>
  <c r="X6" i="1"/>
  <c r="Y6" i="1" s="1"/>
  <c r="A6" i="1"/>
  <c r="AW5" i="1" l="1"/>
  <c r="BH5" i="1"/>
  <c r="AT5" i="1"/>
  <c r="AJ11" i="1"/>
  <c r="AM5" i="1"/>
  <c r="AJ12" i="1"/>
  <c r="AL5" i="1"/>
  <c r="AJ10" i="1"/>
  <c r="AK5" i="1"/>
  <c r="AJ9" i="1"/>
  <c r="AJ6" i="1"/>
  <c r="AJ14" i="1"/>
  <c r="AJ8" i="1"/>
  <c r="AJ13" i="1"/>
  <c r="AJ7" i="1"/>
  <c r="Z10" i="1"/>
  <c r="Z14" i="1"/>
  <c r="Z8" i="1"/>
  <c r="Z9" i="1"/>
  <c r="Z11" i="1"/>
  <c r="Z13" i="1"/>
  <c r="Z7" i="1"/>
  <c r="Z12" i="1"/>
  <c r="Z6" i="1"/>
  <c r="AB9" i="1"/>
  <c r="AB10" i="1"/>
  <c r="AB13" i="1"/>
  <c r="AB14" i="1"/>
  <c r="AB8" i="1"/>
  <c r="AB7" i="1"/>
  <c r="AB12" i="1"/>
  <c r="AB6" i="1"/>
  <c r="AB11" i="1"/>
  <c r="AV11" i="1"/>
  <c r="AV9" i="1"/>
  <c r="AV10" i="1"/>
  <c r="AV12" i="1"/>
  <c r="AV6" i="1"/>
  <c r="AV14" i="1"/>
  <c r="AV8" i="1"/>
  <c r="AV13" i="1"/>
  <c r="AV7" i="1"/>
  <c r="AU12" i="1"/>
  <c r="AU6" i="1"/>
  <c r="AU11" i="1"/>
  <c r="AU9" i="1"/>
  <c r="AU10" i="1"/>
  <c r="AU14" i="1"/>
  <c r="AU8" i="1"/>
  <c r="AU13" i="1"/>
  <c r="AU7" i="1"/>
  <c r="AT12" i="1"/>
  <c r="AT6" i="1"/>
  <c r="AT10" i="1"/>
  <c r="AT13" i="1"/>
  <c r="AT7" i="1"/>
  <c r="AT11" i="1"/>
  <c r="AT9" i="1"/>
  <c r="AT14" i="1"/>
  <c r="AT8" i="1"/>
  <c r="BH12" i="1" l="1"/>
  <c r="BH9" i="1"/>
  <c r="BH10" i="1"/>
  <c r="BH11" i="1"/>
  <c r="BH7" i="1"/>
  <c r="BH13" i="1"/>
  <c r="BH14" i="1"/>
  <c r="BH6" i="1"/>
  <c r="BH8" i="1"/>
  <c r="AW7" i="1"/>
  <c r="AW6" i="1"/>
  <c r="AW13" i="1"/>
  <c r="AW8" i="1"/>
  <c r="AW14" i="1"/>
  <c r="AW9" i="1"/>
  <c r="AW10" i="1"/>
  <c r="AW11" i="1"/>
  <c r="AW12" i="1"/>
  <c r="AK11" i="1"/>
  <c r="AK14" i="1"/>
  <c r="AK10" i="1"/>
  <c r="AK9" i="1"/>
  <c r="AK8" i="1"/>
  <c r="AK13" i="1"/>
  <c r="AK7" i="1"/>
  <c r="AK12" i="1"/>
  <c r="AK6" i="1"/>
  <c r="AL10" i="1"/>
  <c r="AL8" i="1"/>
  <c r="AL11" i="1"/>
  <c r="AL9" i="1"/>
  <c r="AL14" i="1"/>
  <c r="AL13" i="1"/>
  <c r="AL7" i="1"/>
  <c r="AL12" i="1"/>
  <c r="AL6" i="1"/>
  <c r="AM10" i="1"/>
  <c r="AM13" i="1"/>
  <c r="AM9" i="1"/>
  <c r="AM14" i="1"/>
  <c r="AM8" i="1"/>
  <c r="AM7" i="1"/>
  <c r="AM12" i="1"/>
  <c r="AM6" i="1"/>
  <c r="AM11" i="1"/>
</calcChain>
</file>

<file path=xl/sharedStrings.xml><?xml version="1.0" encoding="utf-8"?>
<sst xmlns="http://schemas.openxmlformats.org/spreadsheetml/2006/main" count="593" uniqueCount="307">
  <si>
    <t>Bolt on Bar</t>
  </si>
  <si>
    <t>Weld on</t>
  </si>
  <si>
    <t>Bolt on Angle</t>
  </si>
  <si>
    <t>Bolt on Bar w Spacer</t>
  </si>
  <si>
    <t>Bolt on Angle (Broke)</t>
  </si>
  <si>
    <t>$STATE@Bolt on Angle Option</t>
  </si>
  <si>
    <t>$STATE@Bolt on Angle (Broke) Option</t>
  </si>
  <si>
    <t>$STATE@Bolt on Bar Option</t>
  </si>
  <si>
    <t>$STATE@Bolt on Bar</t>
  </si>
  <si>
    <t>$STATE@Bolt on Bar Hole</t>
  </si>
  <si>
    <t>$STATE@Bolt on Bar Trim</t>
  </si>
  <si>
    <t>$STATE@Bolt on Angle</t>
  </si>
  <si>
    <t>$STATE@Bolt on Angle Hole</t>
  </si>
  <si>
    <t>$STATE@Spacer Bar</t>
  </si>
  <si>
    <t>$STATE@Bolt on Angle (Broke)</t>
  </si>
  <si>
    <t>$STATE@Bolt on Angle (Broke) Mirror</t>
  </si>
  <si>
    <t>$STATE@Bolt on Angle (Broke) Trim</t>
  </si>
  <si>
    <t>$STATE@Bolt on Angle (Broke) Hole</t>
  </si>
  <si>
    <t>AXC materials:SA-36</t>
  </si>
  <si>
    <t>&lt;- section number</t>
  </si>
  <si>
    <t>$PRP@PartNo</t>
  </si>
  <si>
    <t>$STATE@Bolt on Angle Trim2</t>
  </si>
  <si>
    <t>$STATE@Weld on Trim</t>
  </si>
  <si>
    <t>$STATE@Spacer Bar Options</t>
  </si>
  <si>
    <t>$STATE@TTS Move</t>
  </si>
  <si>
    <t>U</t>
  </si>
  <si>
    <t>S</t>
  </si>
  <si>
    <t>$STATE@Spacer Bar Move (weld on)</t>
  </si>
  <si>
    <t>Weld on w Spacer</t>
  </si>
  <si>
    <t>Angle Ref@Slope</t>
  </si>
  <si>
    <t>Rise Ref@Slope</t>
  </si>
  <si>
    <t>Which header is sloped</t>
  </si>
  <si>
    <t>$User_Notes</t>
  </si>
  <si>
    <t>Offset@TTS Layout</t>
  </si>
  <si>
    <t>TTS QTY Ref@Side Frame Ref</t>
  </si>
  <si>
    <t>Bolt on Bar Option</t>
  </si>
  <si>
    <t>Bolt on Bar Hole</t>
  </si>
  <si>
    <t>Bolt on Bar Trim</t>
  </si>
  <si>
    <t>Weld on Trim</t>
  </si>
  <si>
    <t>Bolt on Angle Option</t>
  </si>
  <si>
    <t>Bolt on Angle Trim2</t>
  </si>
  <si>
    <t>Bolt on Angle Hole</t>
  </si>
  <si>
    <t>Spacer Bar Options</t>
  </si>
  <si>
    <t>Spacer Bar</t>
  </si>
  <si>
    <t>TTS Move</t>
  </si>
  <si>
    <t>Spacer Bar Move (weld on)</t>
  </si>
  <si>
    <t>TTS Layout Offset</t>
  </si>
  <si>
    <t>Bolt on Angle (Broke) Option</t>
  </si>
  <si>
    <t>Bolt on Angle (Broke) Mirror</t>
  </si>
  <si>
    <t>Bolt on Angle (Broke) Trim</t>
  </si>
  <si>
    <t>Bolt on Angle (Broke) Hole</t>
  </si>
  <si>
    <t>MATERIAL</t>
  </si>
  <si>
    <t>Angle Ref of Slope</t>
  </si>
  <si>
    <t>Rise Ref of Slope</t>
  </si>
  <si>
    <t>TTS QTY Ref</t>
  </si>
  <si>
    <t>Default</t>
  </si>
  <si>
    <t>End of List</t>
  </si>
  <si>
    <t>End of Row</t>
  </si>
  <si>
    <t>TTS</t>
  </si>
  <si>
    <t>Config Description</t>
  </si>
  <si>
    <t>Use on MC Channel ONLY!</t>
  </si>
  <si>
    <t>$Description</t>
  </si>
  <si>
    <t>Note</t>
  </si>
  <si>
    <t xml:space="preserve"> </t>
  </si>
  <si>
    <t>BOM Description</t>
  </si>
  <si>
    <t>TOP TUBE SUPPORT, BOLT ON</t>
  </si>
  <si>
    <t>TOP TUBE SUPPORT, WELDED</t>
  </si>
  <si>
    <t>$Prp@Description</t>
  </si>
  <si>
    <t>Hole offset 
(from end of Angle or Bar)</t>
  </si>
  <si>
    <t>TTS Type Ref@Side Frame Ref</t>
  </si>
  <si>
    <t>TTS Type Ref</t>
  </si>
  <si>
    <t>TTS_Table_Ref</t>
  </si>
  <si>
    <t>SectionNo</t>
  </si>
  <si>
    <t>Part No</t>
  </si>
  <si>
    <t>$PRP@SectionNo</t>
  </si>
  <si>
    <t>Properties</t>
  </si>
  <si>
    <t>$PRP@JobNumber</t>
  </si>
  <si>
    <t>Job Number</t>
  </si>
  <si>
    <t>Bolt on Angle (Hammco)</t>
  </si>
  <si>
    <t>TTS (Hammco)</t>
  </si>
  <si>
    <t>TTS (AXC)</t>
  </si>
  <si>
    <t>$STATE@TTS</t>
  </si>
  <si>
    <t>$STATE@TTS (Hammco)</t>
  </si>
  <si>
    <t>TTS (Hammco) bolt hole</t>
  </si>
  <si>
    <t>$STATE@TTS (Hammco) Holes</t>
  </si>
  <si>
    <t>Hammco</t>
  </si>
  <si>
    <t>$STATE@TTS Layout (Hammco)</t>
  </si>
  <si>
    <t>$STATE@Hammco Option</t>
  </si>
  <si>
    <t>Hammco option</t>
  </si>
  <si>
    <t>Layout Sketch</t>
  </si>
  <si>
    <t>Reference values</t>
  </si>
  <si>
    <t>Product line</t>
  </si>
  <si>
    <t>Angle Size</t>
  </si>
  <si>
    <t>H_leg@Sketch113</t>
  </si>
  <si>
    <t>V_leg@Sketch113</t>
  </si>
  <si>
    <t>Thickness@Sketch113</t>
  </si>
  <si>
    <t>Angle Hleg</t>
  </si>
  <si>
    <t>Angle Vleg</t>
  </si>
  <si>
    <t>Angle Thickness</t>
  </si>
  <si>
    <t>L_Angle_Table</t>
  </si>
  <si>
    <t>H_leg@Sketch1</t>
  </si>
  <si>
    <t>V_leg@Sketch1</t>
  </si>
  <si>
    <t>Thickness@Sketch1</t>
  </si>
  <si>
    <t>Radius_1@Sketch1</t>
  </si>
  <si>
    <t>Radius_2@Sketch1</t>
  </si>
  <si>
    <t>Flat_wid@Sketch1</t>
  </si>
  <si>
    <t>$Prp@Syteline#</t>
  </si>
  <si>
    <t>L1x1x0.125</t>
  </si>
  <si>
    <t>SS1205</t>
  </si>
  <si>
    <t>End Of Row</t>
  </si>
  <si>
    <t>L1.125x1.125x0.125</t>
  </si>
  <si>
    <t>L1.25x1.25x0.1875</t>
  </si>
  <si>
    <t>SS1210</t>
  </si>
  <si>
    <t>L1.25x1.25x0.25</t>
  </si>
  <si>
    <t>L1.5x1.5x0.1875</t>
  </si>
  <si>
    <t>SS1215</t>
  </si>
  <si>
    <t>L1.5x1.5x0.25</t>
  </si>
  <si>
    <t>L1.75x1.75x0.1875</t>
  </si>
  <si>
    <t>L1.75x1.75x0.25</t>
  </si>
  <si>
    <t>L2x2x0.125</t>
  </si>
  <si>
    <t>L2x2x0.1875</t>
  </si>
  <si>
    <t>SS1225</t>
  </si>
  <si>
    <t>L2x2x0.25</t>
  </si>
  <si>
    <t>SS1230</t>
  </si>
  <si>
    <t>L2x2x0.3125</t>
  </si>
  <si>
    <t>SS1227</t>
  </si>
  <si>
    <t>L2x2x0.375</t>
  </si>
  <si>
    <t>L2x2.5x0.1875</t>
  </si>
  <si>
    <t>SS1235</t>
  </si>
  <si>
    <t>L2x2.5x0.25</t>
  </si>
  <si>
    <t>SS1240</t>
  </si>
  <si>
    <t>L2x2.5x0.3125</t>
  </si>
  <si>
    <t>L2x2.5x0.375</t>
  </si>
  <si>
    <t>L2x3x0.1875</t>
  </si>
  <si>
    <t>SS1266</t>
  </si>
  <si>
    <t>L2x3x0.25</t>
  </si>
  <si>
    <t>SS1265</t>
  </si>
  <si>
    <t>L2x3x0.3125</t>
  </si>
  <si>
    <t>L2x3x0.375</t>
  </si>
  <si>
    <t>SS1270</t>
  </si>
  <si>
    <t>L2x3x0.4375</t>
  </si>
  <si>
    <t>L2x3x0.5</t>
  </si>
  <si>
    <t>L2.5x2.5x0.1875</t>
  </si>
  <si>
    <t>SS1245</t>
  </si>
  <si>
    <t>L2.5x2.5x0.25</t>
  </si>
  <si>
    <t>SS1244</t>
  </si>
  <si>
    <t>L2.5x2.5x0.3125</t>
  </si>
  <si>
    <t>L2.5x2.5x0.375</t>
  </si>
  <si>
    <t>L2.5x2.5x0.5</t>
  </si>
  <si>
    <t>L2.5x3x0.1875</t>
  </si>
  <si>
    <t>L2.5x3x0.25</t>
  </si>
  <si>
    <t>SS1282</t>
  </si>
  <si>
    <t>L2.5x3x0.3125</t>
  </si>
  <si>
    <t>L2.5x3x0.375</t>
  </si>
  <si>
    <t>L2.5x3x0.4375</t>
  </si>
  <si>
    <t>L2.5x3x0.5</t>
  </si>
  <si>
    <t>L2.5x3.5x0.25</t>
  </si>
  <si>
    <t>SS1285</t>
  </si>
  <si>
    <t>L2.5x3.5x0.3125</t>
  </si>
  <si>
    <t>L2.5x3.5x0.375</t>
  </si>
  <si>
    <t>L2.5x3.5x0.4375</t>
  </si>
  <si>
    <t>L2.5x3.5x0.5</t>
  </si>
  <si>
    <t>L3x3x0.1875</t>
  </si>
  <si>
    <t>SS1275</t>
  </si>
  <si>
    <t>L3x3x0.25</t>
  </si>
  <si>
    <t>SS1281</t>
  </si>
  <si>
    <t>L3x3x0.3125</t>
  </si>
  <si>
    <t>L3x3x0.375</t>
  </si>
  <si>
    <t>SS1271</t>
  </si>
  <si>
    <t>L3x3x0.4375</t>
  </si>
  <si>
    <t>L3x3x0.5</t>
  </si>
  <si>
    <t>L3x3.5x0.25</t>
  </si>
  <si>
    <t>SS1290</t>
  </si>
  <si>
    <t>L3x3.5x0.3125</t>
  </si>
  <si>
    <t>L3x3.5x0.375</t>
  </si>
  <si>
    <t>L3x3.5x0.4375</t>
  </si>
  <si>
    <t>L3x3.5x0.5</t>
  </si>
  <si>
    <t>L3x4x0.25</t>
  </si>
  <si>
    <t>SS1300</t>
  </si>
  <si>
    <t>L3x4x0.3125</t>
  </si>
  <si>
    <t>SS1302</t>
  </si>
  <si>
    <t>L3x4x0.375</t>
  </si>
  <si>
    <t>SS1303</t>
  </si>
  <si>
    <t>L3x4x0.4375</t>
  </si>
  <si>
    <t>L3x4x0.5</t>
  </si>
  <si>
    <t>L3x4x0.625</t>
  </si>
  <si>
    <t>L3x5x0.25</t>
  </si>
  <si>
    <t>SS1352</t>
  </si>
  <si>
    <t>L3x5x0.3125</t>
  </si>
  <si>
    <t>L3x5x0.375</t>
  </si>
  <si>
    <t>SS1206</t>
  </si>
  <si>
    <t>L3x5x0.4375</t>
  </si>
  <si>
    <t>L3x5x0.5</t>
  </si>
  <si>
    <t>L3x5x0.625</t>
  </si>
  <si>
    <t>L3.5x3.5x0.25</t>
  </si>
  <si>
    <t>SS1295</t>
  </si>
  <si>
    <t>L3.5x3.5x0.3125</t>
  </si>
  <si>
    <t>L3.5x3.5x0.375</t>
  </si>
  <si>
    <t>L3.5x3.5x0.4375</t>
  </si>
  <si>
    <t>L3.5x3.5x0.5</t>
  </si>
  <si>
    <t>L3.5x4x0.25</t>
  </si>
  <si>
    <t>L3.5x4x0.3125</t>
  </si>
  <si>
    <t>L3.5x4x0.375</t>
  </si>
  <si>
    <t>L3.5x4x0.4375</t>
  </si>
  <si>
    <t>L3.5x4x0.5</t>
  </si>
  <si>
    <t>L3.5x4x0.625</t>
  </si>
  <si>
    <t>L3.5x5x0.25</t>
  </si>
  <si>
    <t>L3.5x5x0.3125</t>
  </si>
  <si>
    <t>L3.5x5x0.375</t>
  </si>
  <si>
    <t>L3.5x5x0.4375</t>
  </si>
  <si>
    <t>L3.5x5x0.5</t>
  </si>
  <si>
    <t>L3.5x5x0.625</t>
  </si>
  <si>
    <t>L3.5x5x0.75</t>
  </si>
  <si>
    <t>L3.5x6x0.3125</t>
  </si>
  <si>
    <t>SS1345</t>
  </si>
  <si>
    <t>L3.5x6x0.375</t>
  </si>
  <si>
    <t>L3.5x6x0.5</t>
  </si>
  <si>
    <t>L4x4x0.25</t>
  </si>
  <si>
    <t>SS1306</t>
  </si>
  <si>
    <t>L4x4x0.3125</t>
  </si>
  <si>
    <t>SS1315</t>
  </si>
  <si>
    <t>L4x4x0.375</t>
  </si>
  <si>
    <t>SS1307</t>
  </si>
  <si>
    <t>L4x4x0.4375</t>
  </si>
  <si>
    <t>L4x4x0.5</t>
  </si>
  <si>
    <t>SS1320</t>
  </si>
  <si>
    <t>L4x4x0.625</t>
  </si>
  <si>
    <t>L4x4x0.75</t>
  </si>
  <si>
    <t>L4x6x0.3125</t>
  </si>
  <si>
    <t>L4x6x0.375</t>
  </si>
  <si>
    <t>SS1272</t>
  </si>
  <si>
    <t>L4x6x0.4375</t>
  </si>
  <si>
    <t>L4x6x0.5</t>
  </si>
  <si>
    <t>SS1350</t>
  </si>
  <si>
    <t>L4x6x0.5625</t>
  </si>
  <si>
    <t>L4x6x0.625</t>
  </si>
  <si>
    <t>L4x6x0.75</t>
  </si>
  <si>
    <t>L4x6x0.875</t>
  </si>
  <si>
    <t>L4x7x0.375</t>
  </si>
  <si>
    <t>L4x7x0.5</t>
  </si>
  <si>
    <t>L4x7x0.625</t>
  </si>
  <si>
    <t>L4x7x0.75</t>
  </si>
  <si>
    <t>L4x8x0.5</t>
  </si>
  <si>
    <t>L4x8x0.5625</t>
  </si>
  <si>
    <t>L4x8x0.75</t>
  </si>
  <si>
    <t>L4x8x1</t>
  </si>
  <si>
    <t>L4x9x0.5</t>
  </si>
  <si>
    <t>L4x9x0.5625</t>
  </si>
  <si>
    <t>L4x9x0.625</t>
  </si>
  <si>
    <t>L5x5x0.3125</t>
  </si>
  <si>
    <t>L5x5x0.375</t>
  </si>
  <si>
    <t>L5x5x0.4375</t>
  </si>
  <si>
    <t>L5x5x0.5</t>
  </si>
  <si>
    <t>L5x5x0.625</t>
  </si>
  <si>
    <t>L5x5x0.75</t>
  </si>
  <si>
    <t>L5x5x0.875</t>
  </si>
  <si>
    <t>L6x6x0.3125</t>
  </si>
  <si>
    <t>SS1351</t>
  </si>
  <si>
    <t>L6x6x0.375</t>
  </si>
  <si>
    <t>L6x6x0.4375</t>
  </si>
  <si>
    <t>L6x6x0.5</t>
  </si>
  <si>
    <t>L6x6x0.5625</t>
  </si>
  <si>
    <t>L6x6x0.625</t>
  </si>
  <si>
    <t>L6x6x0.75</t>
  </si>
  <si>
    <t>L6x6x0.875</t>
  </si>
  <si>
    <t>L6x6x1</t>
  </si>
  <si>
    <t>L6x8x0.4375</t>
  </si>
  <si>
    <t>L6x8x0.5</t>
  </si>
  <si>
    <t>L6x8x0.5625</t>
  </si>
  <si>
    <t>L6x8x0.625</t>
  </si>
  <si>
    <t>L6x8x0.75</t>
  </si>
  <si>
    <t>L6x8x0.875</t>
  </si>
  <si>
    <t>L6x8x1</t>
  </si>
  <si>
    <t>L8x8x0.5</t>
  </si>
  <si>
    <t>L8x8x0.5625</t>
  </si>
  <si>
    <t>L8x8x0.625</t>
  </si>
  <si>
    <t>L8x8x0.75</t>
  </si>
  <si>
    <t>L8x8x0.875</t>
  </si>
  <si>
    <t>L8x8x1</t>
  </si>
  <si>
    <t>L8x8x1.125</t>
  </si>
  <si>
    <t>-----------------</t>
  </si>
  <si>
    <t>na</t>
  </si>
  <si>
    <t>Radius_1@Sketch113</t>
  </si>
  <si>
    <t>Radius_2@Sketch113</t>
  </si>
  <si>
    <t>Flat_wid@Sketch113</t>
  </si>
  <si>
    <t>Angle Radius</t>
  </si>
  <si>
    <t>Angle Flat Land</t>
  </si>
  <si>
    <t>==============</t>
  </si>
  <si>
    <t>Common listed above</t>
  </si>
  <si>
    <t>Type</t>
  </si>
  <si>
    <t>Design Table for: 000000_S03_TTS</t>
  </si>
  <si>
    <t>$State@Distance4@Hole Layout</t>
  </si>
  <si>
    <t>$State@Distance12@Hole Layout</t>
  </si>
  <si>
    <t>Dimension from outside of side frame</t>
  </si>
  <si>
    <t>Dimension from Inside of side frame (toe)</t>
  </si>
  <si>
    <t xml:space="preserve">Hole offset 
(from end of Angle / Bar
or from SF toe) </t>
  </si>
  <si>
    <t>Gap@Spacer Bar Layout</t>
  </si>
  <si>
    <t>Spacer Bar Layout Sketch</t>
  </si>
  <si>
    <t>BOM Length</t>
  </si>
  <si>
    <t>$Prp@NAME</t>
  </si>
  <si>
    <t>BOM NAME</t>
  </si>
  <si>
    <t>$LIBRARY:MATERIAL@000000_S03-TTS</t>
  </si>
  <si>
    <t>$PRP@SectionNumber</t>
  </si>
  <si>
    <t>SectionNumber</t>
  </si>
  <si>
    <t>Used On</t>
  </si>
  <si>
    <t>$PRP@USED ON</t>
  </si>
  <si>
    <t>$PRP@TYPE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</si>
</sst>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0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textRotation="90"/>
    </xf>
    <xf numFmtId="49" fontId="0" fillId="0" borderId="2" xfId="0" applyNumberFormat="1" applyBorder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horizontal="left"/>
    </xf>
    <xf numFmtId="0" fontId="0" fillId="5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 textRotation="90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 textRotation="90" wrapText="1"/>
    </xf>
    <xf numFmtId="0" fontId="2" fillId="6" borderId="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49" fontId="0" fillId="0" borderId="3" xfId="0" applyNumberFormat="1" applyBorder="1"/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 textRotation="90"/>
    </xf>
    <xf numFmtId="0" fontId="0" fillId="6" borderId="3" xfId="0" applyFill="1" applyBorder="1" applyAlignment="1">
      <alignment horizontal="center"/>
    </xf>
    <xf numFmtId="0" fontId="0" fillId="0" borderId="3" xfId="0" applyBorder="1"/>
    <xf numFmtId="49" fontId="0" fillId="0" borderId="3" xfId="0" applyNumberFormat="1" applyBorder="1" applyAlignment="1">
      <alignment horizontal="center" textRotation="90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textRotation="90"/>
    </xf>
    <xf numFmtId="0" fontId="0" fillId="0" borderId="0" xfId="0" quotePrefix="1"/>
    <xf numFmtId="49" fontId="5" fillId="7" borderId="0" xfId="0" applyNumberFormat="1" applyFont="1" applyFill="1"/>
    <xf numFmtId="0" fontId="5" fillId="7" borderId="0" xfId="0" applyFont="1" applyFill="1"/>
    <xf numFmtId="49" fontId="5" fillId="7" borderId="3" xfId="0" applyNumberFormat="1" applyFont="1" applyFill="1" applyBorder="1"/>
    <xf numFmtId="49" fontId="5" fillId="7" borderId="1" xfId="0" applyNumberFormat="1" applyFont="1" applyFill="1" applyBorder="1"/>
    <xf numFmtId="0" fontId="5" fillId="7" borderId="3" xfId="0" applyFont="1" applyFill="1" applyBorder="1"/>
    <xf numFmtId="0" fontId="0" fillId="0" borderId="0" xfId="0" applyAlignment="1">
      <alignment horizontal="center" vertical="center" textRotation="45"/>
    </xf>
    <xf numFmtId="0" fontId="0" fillId="5" borderId="0" xfId="0" applyFill="1" applyAlignment="1">
      <alignment horizontal="center" textRotation="90"/>
    </xf>
    <xf numFmtId="0" fontId="0" fillId="2" borderId="0" xfId="0" applyFill="1" applyAlignment="1">
      <alignment horizontal="center"/>
    </xf>
    <xf numFmtId="12" fontId="0" fillId="5" borderId="0" xfId="0" applyNumberFormat="1" applyFill="1" applyAlignment="1">
      <alignment horizontal="center" vertical="center" wrapText="1"/>
    </xf>
    <xf numFmtId="0" fontId="0" fillId="0" borderId="1" xfId="0" applyBorder="1" applyAlignment="1">
      <alignment horizontal="center" textRotation="90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3">
    <dxf>
      <font>
        <color theme="0" tint="-0.499984740745262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25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H1" sqref="BH1:BH1048576"/>
    </sheetView>
  </sheetViews>
  <sheetFormatPr defaultRowHeight="15" outlineLevelRow="1" x14ac:dyDescent="0.25"/>
  <cols>
    <col min="1" max="1" width="15.140625" style="1" customWidth="1"/>
    <col min="2" max="2" width="8.7109375" bestFit="1" customWidth="1"/>
    <col min="3" max="3" width="22.85546875" style="1" bestFit="1" customWidth="1"/>
    <col min="4" max="4" width="23.42578125" bestFit="1" customWidth="1"/>
    <col min="5" max="5" width="15.5703125" bestFit="1" customWidth="1"/>
    <col min="6" max="7" width="13.42578125" bestFit="1" customWidth="1"/>
    <col min="8" max="8" width="4" bestFit="1" customWidth="1"/>
    <col min="9" max="9" width="3.7109375" customWidth="1"/>
    <col min="11" max="11" width="6.28515625" style="1" customWidth="1"/>
    <col min="12" max="13" width="3.7109375" style="1" bestFit="1" customWidth="1"/>
    <col min="14" max="14" width="3.7109375" style="6" bestFit="1" customWidth="1"/>
    <col min="15" max="15" width="3.7109375" style="8" bestFit="1" customWidth="1"/>
    <col min="16" max="18" width="3.7109375" style="1" bestFit="1" customWidth="1"/>
    <col min="19" max="19" width="3.7109375" style="6" bestFit="1" customWidth="1"/>
    <col min="20" max="22" width="3.7109375" style="1" bestFit="1" customWidth="1"/>
    <col min="23" max="23" width="3.7109375" style="6" bestFit="1" customWidth="1"/>
    <col min="24" max="24" width="6" style="1" bestFit="1" customWidth="1"/>
    <col min="25" max="25" width="9" style="1" bestFit="1" customWidth="1"/>
    <col min="26" max="26" width="9.42578125" style="1" bestFit="1" customWidth="1"/>
    <col min="27" max="29" width="6.5703125" style="1" customWidth="1"/>
    <col min="30" max="34" width="3.7109375" style="1" bestFit="1" customWidth="1"/>
    <col min="35" max="36" width="3.7109375" style="25" bestFit="1" customWidth="1"/>
    <col min="37" max="39" width="3.7109375" style="1" bestFit="1" customWidth="1"/>
    <col min="40" max="41" width="4" style="1" customWidth="1"/>
    <col min="42" max="42" width="7" style="1" bestFit="1" customWidth="1"/>
    <col min="43" max="44" width="7" style="1" customWidth="1"/>
    <col min="45" max="45" width="7" style="6" customWidth="1"/>
    <col min="46" max="46" width="9.140625" style="29"/>
    <col min="49" max="49" width="5.85546875" bestFit="1" customWidth="1"/>
    <col min="51" max="51" width="27" style="1" customWidth="1"/>
    <col min="52" max="52" width="38.42578125" style="1" customWidth="1"/>
    <col min="53" max="53" width="27.28515625" style="1" bestFit="1" customWidth="1"/>
    <col min="54" max="54" width="27.28515625" style="1" customWidth="1"/>
    <col min="55" max="55" width="22.42578125" style="1" customWidth="1"/>
  </cols>
  <sheetData>
    <row r="1" spans="1:152" s="43" customFormat="1" x14ac:dyDescent="0.25">
      <c r="A1" s="42" t="s">
        <v>290</v>
      </c>
      <c r="C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4"/>
      <c r="AJ1" s="44"/>
      <c r="AK1" s="42"/>
      <c r="AL1" s="42"/>
      <c r="AM1" s="42"/>
      <c r="AN1" s="42"/>
      <c r="AO1" s="42"/>
      <c r="AP1" s="42"/>
      <c r="AQ1" s="42"/>
      <c r="AR1" s="42"/>
      <c r="AS1" s="45"/>
      <c r="AT1" s="46"/>
      <c r="AY1"/>
      <c r="BA1" s="42"/>
      <c r="BB1" s="42"/>
      <c r="BC1" s="42"/>
    </row>
    <row r="2" spans="1:152" ht="18.75" x14ac:dyDescent="0.3">
      <c r="A2" s="11" t="str">
        <f>UPPER(RIGHT($D$4,LEN($D$4)-FIND("@",$D$4,1)))</f>
        <v>000000_S03-TTS</v>
      </c>
      <c r="B2" t="str">
        <f>IF(ISNUMBER(LEFT($A$2,1)+0), "", LEFT($A$2,MIN(FIND({0,1,2,3,4,5,6,7,8,9},A2&amp;"0123456789"))-1))</f>
        <v/>
      </c>
      <c r="C2" s="9">
        <f>MID($A$2,FIND("_",$A$2,1)+2,2)+0</f>
        <v>3</v>
      </c>
      <c r="D2" s="10" t="s">
        <v>19</v>
      </c>
      <c r="F2" s="60" t="s">
        <v>90</v>
      </c>
      <c r="G2" s="61"/>
      <c r="H2" s="61"/>
      <c r="I2" s="61"/>
      <c r="J2" s="62"/>
      <c r="K2"/>
      <c r="L2"/>
      <c r="N2"/>
      <c r="O2"/>
      <c r="Q2"/>
      <c r="S2"/>
      <c r="W2" s="1"/>
      <c r="AG2"/>
      <c r="AH2"/>
      <c r="AI2" s="29"/>
      <c r="AJ2" s="57" t="s">
        <v>85</v>
      </c>
      <c r="AK2" s="58"/>
      <c r="AL2" s="58"/>
      <c r="AM2" s="58"/>
      <c r="AN2" s="58"/>
      <c r="AO2" s="58"/>
      <c r="AP2" s="58"/>
      <c r="AQ2" s="58"/>
      <c r="AR2" s="58"/>
      <c r="AS2" s="59"/>
      <c r="AT2" s="64" t="s">
        <v>75</v>
      </c>
      <c r="AU2" s="65"/>
      <c r="AV2" s="65"/>
      <c r="AW2" s="65"/>
      <c r="AX2" s="65"/>
      <c r="AY2" s="65"/>
      <c r="AZ2" s="65"/>
      <c r="BA2" s="65"/>
      <c r="BB2" s="65"/>
      <c r="BC2" s="65"/>
      <c r="BG2" s="1"/>
      <c r="BH2" s="65"/>
      <c r="BP2" s="1"/>
      <c r="BQ2" s="1"/>
      <c r="BR2" s="1"/>
      <c r="BS2" s="1"/>
      <c r="BT2" s="1"/>
      <c r="BU2" s="1"/>
      <c r="BW2" s="1"/>
      <c r="BX2" s="1"/>
      <c r="CA2" s="1"/>
      <c r="CB2" s="1"/>
      <c r="CR2" s="1"/>
      <c r="DT2" s="1"/>
      <c r="ET2" s="1"/>
      <c r="EU2" s="1"/>
      <c r="EV2" s="1"/>
    </row>
    <row r="3" spans="1:152" ht="205.5" x14ac:dyDescent="0.25">
      <c r="B3" s="3" t="s">
        <v>91</v>
      </c>
      <c r="C3" s="3" t="s">
        <v>289</v>
      </c>
      <c r="D3" s="3" t="s">
        <v>51</v>
      </c>
      <c r="E3" s="3" t="s">
        <v>92</v>
      </c>
      <c r="F3" s="27" t="s">
        <v>52</v>
      </c>
      <c r="G3" s="3" t="s">
        <v>53</v>
      </c>
      <c r="H3" s="3" t="s">
        <v>70</v>
      </c>
      <c r="I3" s="3" t="s">
        <v>54</v>
      </c>
      <c r="J3" s="51" t="s">
        <v>31</v>
      </c>
      <c r="K3" s="2" t="s">
        <v>35</v>
      </c>
      <c r="L3" s="2" t="s">
        <v>0</v>
      </c>
      <c r="M3" s="2" t="s">
        <v>36</v>
      </c>
      <c r="N3" s="7" t="s">
        <v>37</v>
      </c>
      <c r="O3" s="18" t="s">
        <v>38</v>
      </c>
      <c r="P3" s="2" t="s">
        <v>39</v>
      </c>
      <c r="Q3" s="2" t="s">
        <v>2</v>
      </c>
      <c r="R3" s="2" t="s">
        <v>40</v>
      </c>
      <c r="S3" s="7" t="s">
        <v>41</v>
      </c>
      <c r="T3" s="2" t="s">
        <v>42</v>
      </c>
      <c r="U3" s="2" t="s">
        <v>43</v>
      </c>
      <c r="V3" s="2" t="s">
        <v>44</v>
      </c>
      <c r="W3" s="7" t="s">
        <v>45</v>
      </c>
      <c r="X3" s="2" t="s">
        <v>46</v>
      </c>
      <c r="Y3" s="2" t="s">
        <v>297</v>
      </c>
      <c r="Z3" s="22" t="s">
        <v>295</v>
      </c>
      <c r="AA3" s="22" t="s">
        <v>293</v>
      </c>
      <c r="AB3" s="22" t="s">
        <v>294</v>
      </c>
      <c r="AC3" s="22"/>
      <c r="AD3" s="2" t="s">
        <v>47</v>
      </c>
      <c r="AE3" s="2" t="s">
        <v>4</v>
      </c>
      <c r="AF3" s="2" t="s">
        <v>48</v>
      </c>
      <c r="AG3" s="2" t="s">
        <v>49</v>
      </c>
      <c r="AH3" s="2" t="s">
        <v>50</v>
      </c>
      <c r="AI3" s="30" t="s">
        <v>80</v>
      </c>
      <c r="AJ3" s="27" t="s">
        <v>88</v>
      </c>
      <c r="AK3" s="2" t="s">
        <v>89</v>
      </c>
      <c r="AL3" s="2" t="s">
        <v>79</v>
      </c>
      <c r="AM3" s="2" t="s">
        <v>83</v>
      </c>
      <c r="AN3" s="2" t="s">
        <v>96</v>
      </c>
      <c r="AO3" s="2" t="s">
        <v>97</v>
      </c>
      <c r="AP3" s="2" t="s">
        <v>98</v>
      </c>
      <c r="AQ3" s="2" t="s">
        <v>285</v>
      </c>
      <c r="AR3" s="2" t="s">
        <v>285</v>
      </c>
      <c r="AS3" s="7" t="s">
        <v>286</v>
      </c>
      <c r="AT3" s="27" t="s">
        <v>72</v>
      </c>
      <c r="AU3" s="51" t="s">
        <v>303</v>
      </c>
      <c r="AV3" s="2" t="s">
        <v>73</v>
      </c>
      <c r="AW3" s="2" t="s">
        <v>289</v>
      </c>
      <c r="AX3" s="2" t="s">
        <v>77</v>
      </c>
      <c r="AY3" s="2" t="s">
        <v>62</v>
      </c>
      <c r="AZ3" s="2" t="s">
        <v>59</v>
      </c>
      <c r="BA3" s="2" t="s">
        <v>64</v>
      </c>
      <c r="BB3" s="2" t="s">
        <v>300</v>
      </c>
      <c r="BC3" s="2" t="s">
        <v>298</v>
      </c>
      <c r="BH3" s="2" t="s">
        <v>304</v>
      </c>
    </row>
    <row r="4" spans="1:152" s="3" customFormat="1" ht="223.5" hidden="1" customHeight="1" outlineLevel="1" x14ac:dyDescent="0.25">
      <c r="A4" s="2"/>
      <c r="B4" s="3" t="s">
        <v>32</v>
      </c>
      <c r="C4" s="2" t="s">
        <v>32</v>
      </c>
      <c r="D4" s="3" t="s">
        <v>301</v>
      </c>
      <c r="E4" s="3" t="s">
        <v>32</v>
      </c>
      <c r="F4" s="27" t="s">
        <v>29</v>
      </c>
      <c r="G4" s="3" t="s">
        <v>30</v>
      </c>
      <c r="H4" s="3" t="s">
        <v>69</v>
      </c>
      <c r="I4" s="3" t="s">
        <v>34</v>
      </c>
      <c r="J4" s="51" t="s">
        <v>32</v>
      </c>
      <c r="K4" s="2" t="s">
        <v>7</v>
      </c>
      <c r="L4" s="2" t="s">
        <v>8</v>
      </c>
      <c r="M4" s="2" t="s">
        <v>9</v>
      </c>
      <c r="N4" s="7" t="s">
        <v>10</v>
      </c>
      <c r="O4" s="7" t="s">
        <v>22</v>
      </c>
      <c r="P4" s="2" t="s">
        <v>5</v>
      </c>
      <c r="Q4" s="2" t="s">
        <v>11</v>
      </c>
      <c r="R4" s="2" t="s">
        <v>21</v>
      </c>
      <c r="S4" s="7" t="s">
        <v>12</v>
      </c>
      <c r="T4" s="2" t="s">
        <v>23</v>
      </c>
      <c r="U4" s="2" t="s">
        <v>13</v>
      </c>
      <c r="V4" s="2" t="s">
        <v>24</v>
      </c>
      <c r="W4" s="7" t="s">
        <v>27</v>
      </c>
      <c r="X4" s="2" t="s">
        <v>33</v>
      </c>
      <c r="Y4" s="2" t="s">
        <v>296</v>
      </c>
      <c r="Z4" s="48" t="str">
        <f>IF(AA5="U","D1@Hole Layout","D2@Hole Layout")</f>
        <v>D2@Hole Layout</v>
      </c>
      <c r="AA4" s="2" t="s">
        <v>291</v>
      </c>
      <c r="AB4" s="2" t="s">
        <v>292</v>
      </c>
      <c r="AC4" s="2" t="s">
        <v>32</v>
      </c>
      <c r="AD4" s="2" t="s">
        <v>6</v>
      </c>
      <c r="AE4" s="2" t="s">
        <v>14</v>
      </c>
      <c r="AF4" s="2" t="s">
        <v>15</v>
      </c>
      <c r="AG4" s="2" t="s">
        <v>16</v>
      </c>
      <c r="AH4" s="2" t="s">
        <v>17</v>
      </c>
      <c r="AI4" s="30" t="s">
        <v>81</v>
      </c>
      <c r="AJ4" s="27" t="s">
        <v>87</v>
      </c>
      <c r="AK4" s="2" t="s">
        <v>86</v>
      </c>
      <c r="AL4" s="2" t="s">
        <v>82</v>
      </c>
      <c r="AM4" s="2" t="s">
        <v>84</v>
      </c>
      <c r="AN4" s="2" t="s">
        <v>93</v>
      </c>
      <c r="AO4" s="2" t="s">
        <v>94</v>
      </c>
      <c r="AP4" s="2" t="s">
        <v>95</v>
      </c>
      <c r="AQ4" s="2" t="s">
        <v>282</v>
      </c>
      <c r="AR4" s="2" t="s">
        <v>283</v>
      </c>
      <c r="AS4" s="7" t="s">
        <v>284</v>
      </c>
      <c r="AT4" s="27" t="s">
        <v>74</v>
      </c>
      <c r="AU4" s="51" t="s">
        <v>302</v>
      </c>
      <c r="AV4" s="3" t="s">
        <v>20</v>
      </c>
      <c r="AW4" s="3" t="s">
        <v>306</v>
      </c>
      <c r="AX4" s="3" t="s">
        <v>76</v>
      </c>
      <c r="AY4" s="3" t="s">
        <v>32</v>
      </c>
      <c r="AZ4" s="2" t="s">
        <v>61</v>
      </c>
      <c r="BA4" s="2" t="s">
        <v>67</v>
      </c>
      <c r="BB4" s="2" t="s">
        <v>299</v>
      </c>
      <c r="BC4" s="48" t="str">
        <f>IF(ProductLine="AXC","$User_Notes","$Prp@LENGTH")</f>
        <v>$User_Notes</v>
      </c>
      <c r="BH4" s="3" t="s">
        <v>305</v>
      </c>
    </row>
    <row r="5" spans="1:152" s="39" customFormat="1" ht="27" customHeight="1" collapsed="1" x14ac:dyDescent="0.25">
      <c r="A5" s="31" t="s">
        <v>55</v>
      </c>
      <c r="B5" s="37" t="str">
        <f>IF(ROUND(H5,4)=1.5,"Hammco", "AXC")</f>
        <v>AXC</v>
      </c>
      <c r="C5" s="32" t="str">
        <f>VLOOKUP(ROUND(H5,4),TTS_Table_Ref,2,FALSE)</f>
        <v>Bolt on Angle</v>
      </c>
      <c r="D5" s="33" t="s">
        <v>18</v>
      </c>
      <c r="E5" s="33" t="s">
        <v>144</v>
      </c>
      <c r="F5" s="52">
        <v>360</v>
      </c>
      <c r="G5" s="53">
        <v>0</v>
      </c>
      <c r="H5" s="53">
        <v>0.99999999999999922</v>
      </c>
      <c r="I5" s="53">
        <v>15.999999999999998</v>
      </c>
      <c r="J5" s="54" t="str">
        <f>IF(OR(ROUND($F$5,0)=360,ROUND($F$5,2)=0),"None",IF($F$5&lt;90,"Rear","Front"))</f>
        <v>None</v>
      </c>
      <c r="K5" s="32" t="str">
        <f>VLOOKUP(TTS_Type,TTS,2,FALSE)</f>
        <v>S</v>
      </c>
      <c r="L5" s="32" t="str">
        <f>VLOOKUP(TTS_Type,TTS,3,FALSE)</f>
        <v>S</v>
      </c>
      <c r="M5" s="32" t="str">
        <f>VLOOKUP(TTS_Type,TTS,4,FALSE)</f>
        <v>S</v>
      </c>
      <c r="N5" s="34" t="str">
        <f>VLOOKUP(TTS_Type,TTS,5,FALSE)</f>
        <v>S</v>
      </c>
      <c r="O5" s="34" t="str">
        <f>VLOOKUP(TTS_Type,TTS,6,FALSE)</f>
        <v>S</v>
      </c>
      <c r="P5" s="32" t="str">
        <f>VLOOKUP(TTS_Type,TTS,7,FALSE)</f>
        <v>U</v>
      </c>
      <c r="Q5" s="32" t="str">
        <f>VLOOKUP(TTS_Type,TTS,8,FALSE)</f>
        <v>U</v>
      </c>
      <c r="R5" s="32" t="str">
        <f>VLOOKUP(TTS_Type,TTS,9,FALSE)</f>
        <v>U</v>
      </c>
      <c r="S5" s="34" t="str">
        <f>VLOOKUP(TTS_Type,TTS,10,FALSE)</f>
        <v>U</v>
      </c>
      <c r="T5" s="32" t="str">
        <f>VLOOKUP(TTS_Type,TTS,11,FALSE)</f>
        <v>S</v>
      </c>
      <c r="U5" s="32" t="str">
        <f>VLOOKUP(TTS_Type,TTS,12,FALSE)</f>
        <v>S</v>
      </c>
      <c r="V5" s="32" t="str">
        <f>VLOOKUP(TTS_Type,TTS,13,FALSE)</f>
        <v>S</v>
      </c>
      <c r="W5" s="34" t="str">
        <f>VLOOKUP(TTS_Type,TTS,14,FALSE)</f>
        <v>S</v>
      </c>
      <c r="X5" s="32">
        <f>VLOOKUP(TTS_Type,TTS,15,FALSE)</f>
        <v>0</v>
      </c>
      <c r="Y5" s="32">
        <f>IF(TTS_Type="Weld on w Spacer",0.125,0.000001)</f>
        <v>9.9999999999999995E-7</v>
      </c>
      <c r="Z5" s="32">
        <f>IF(AA5="U",VLOOKUP(TTS_Type,TTS,16,FALSE),0.625)</f>
        <v>0.625</v>
      </c>
      <c r="AA5" s="32" t="str">
        <f>IF(TTS_Type="Bolt on Angle","S","U")</f>
        <v>S</v>
      </c>
      <c r="AB5" s="32" t="str">
        <f>IF(AA5="S","U","S")</f>
        <v>U</v>
      </c>
      <c r="AC5" s="32"/>
      <c r="AD5" s="32" t="str">
        <f>VLOOKUP(TTS_Type,TTS,17,FALSE)</f>
        <v>S</v>
      </c>
      <c r="AE5" s="32" t="str">
        <f>VLOOKUP(TTS_Type,TTS,18,FALSE)</f>
        <v>S</v>
      </c>
      <c r="AF5" s="32" t="str">
        <f>VLOOKUP(TTS_Type,TTS,19,FALSE)</f>
        <v>S</v>
      </c>
      <c r="AG5" s="32" t="str">
        <f>VLOOKUP(TTS_Type,TTS,20,FALSE)</f>
        <v>S</v>
      </c>
      <c r="AH5" s="32" t="str">
        <f>VLOOKUP(TTS_Type,TTS,21,FALSE)</f>
        <v>S</v>
      </c>
      <c r="AI5" s="35" t="str">
        <f>IF(ProductLine="AXC","U","S")</f>
        <v>U</v>
      </c>
      <c r="AJ5" s="35" t="str">
        <f>IF(AI5="S","U","S")</f>
        <v>S</v>
      </c>
      <c r="AK5" s="36" t="str">
        <f t="shared" ref="AK5:AM5" si="0">$AJ5</f>
        <v>S</v>
      </c>
      <c r="AL5" s="36" t="str">
        <f t="shared" si="0"/>
        <v>S</v>
      </c>
      <c r="AM5" s="36" t="str">
        <f t="shared" si="0"/>
        <v>S</v>
      </c>
      <c r="AN5" s="36">
        <f>VLOOKUP($E5,L_Angle_Table,2,FALSE)</f>
        <v>2.5</v>
      </c>
      <c r="AO5" s="36">
        <f>VLOOKUP($E5,L_Angle_Table,3,FALSE)</f>
        <v>2.5</v>
      </c>
      <c r="AP5" s="36">
        <f>VLOOKUP($E5,L_Angle_Table,4,FALSE)</f>
        <v>0.25</v>
      </c>
      <c r="AQ5" s="36">
        <f>VLOOKUP($E5,L_Angle_Table,5,FALSE)</f>
        <v>0.18750000000000003</v>
      </c>
      <c r="AR5" s="36">
        <f>VLOOKUP($E5,L_Angle_Table,6,FALSE)</f>
        <v>0.18750000000000003</v>
      </c>
      <c r="AS5" s="36">
        <f>VLOOKUP($E5,L_Angle_Table,7,FALSE)</f>
        <v>6.2699999999999978E-2</v>
      </c>
      <c r="AT5" s="35" t="str">
        <f>CONCATENATE(".",AU5)</f>
        <v>.3</v>
      </c>
      <c r="AU5" s="34" t="str">
        <f>CONCATENATE($B$2,$C$2)</f>
        <v>3</v>
      </c>
      <c r="AV5" s="32" t="str">
        <f>CONCATENATE($B$2,$C$2,"-TTS")</f>
        <v>3-TTS</v>
      </c>
      <c r="AW5" s="32" t="str">
        <f>CONCATENATE($AU5,"-SEC")</f>
        <v>3-SEC</v>
      </c>
      <c r="AX5" s="32" t="str">
        <f>LEFT($A$2,FIND("_",$A$2,1)-1)</f>
        <v>000000</v>
      </c>
      <c r="AY5" s="32" t="str">
        <f>VLOOKUP(TTS_Type,TTS,23,FALSE)</f>
        <v>Use on MC Channel ONLY!</v>
      </c>
      <c r="AZ5" s="32" t="str">
        <f>CONCATENATE(C5," - ",AY5)</f>
        <v>Bolt on Angle - Use on MC Channel ONLY!</v>
      </c>
      <c r="BA5" s="38" t="str">
        <f>IF(ProductLine="Hammco",CONCATENATE("ANGLE, ",AN5," x ",AO5," x ",AP5),VLOOKUP(TTS_Type,TTS,22,FALSE))</f>
        <v>TOP TUBE SUPPORT, BOLT ON</v>
      </c>
      <c r="BB5" s="38" t="str">
        <f>IF(ProductLine="Hammco",VLOOKUP(TTS_Type,TTS,22,FALSE),"")</f>
        <v/>
      </c>
      <c r="BC5" s="50" t="str">
        <f>IF(ProductLine="hammco","""Length@TTS Layout (Hammco)@@"&amp;A5&amp;"@"&amp;A2&amp;".sldprt""","")</f>
        <v/>
      </c>
      <c r="BH5" s="32" t="str">
        <f>CONCATENATE($AU5,"-SEC")</f>
        <v>3-SEC</v>
      </c>
    </row>
    <row r="6" spans="1:152" x14ac:dyDescent="0.25">
      <c r="A6" t="str">
        <f>IF(AND(J6&lt;&gt;"None",ROUND(I6,0)&gt;=2,ProductLine="AXC"),"Bolt on Angle (Broke) 02","")</f>
        <v/>
      </c>
      <c r="B6" s="13" t="str">
        <f t="shared" ref="B6:B14" si="1">B$5</f>
        <v>AXC</v>
      </c>
      <c r="C6" s="12" t="s">
        <v>4</v>
      </c>
      <c r="D6" s="13" t="str">
        <f t="shared" ref="D6:D14" si="2">D$5</f>
        <v>AXC materials:SA-36</v>
      </c>
      <c r="E6" s="26" t="str">
        <f>$E$5</f>
        <v>L2.5x2.5x0.25</v>
      </c>
      <c r="F6" s="55">
        <f t="shared" ref="F6:J14" si="3">F$5</f>
        <v>360</v>
      </c>
      <c r="G6" s="13">
        <f t="shared" si="3"/>
        <v>0</v>
      </c>
      <c r="H6" s="13">
        <f t="shared" si="3"/>
        <v>0.99999999999999922</v>
      </c>
      <c r="I6" s="13">
        <f t="shared" si="3"/>
        <v>15.999999999999998</v>
      </c>
      <c r="J6" s="14" t="str">
        <f t="shared" si="3"/>
        <v>None</v>
      </c>
      <c r="K6" s="13" t="str">
        <f>Data!C$8</f>
        <v>S</v>
      </c>
      <c r="L6" s="13" t="str">
        <f>Data!D$8</f>
        <v>S</v>
      </c>
      <c r="M6" s="13" t="str">
        <f>Data!E$8</f>
        <v>S</v>
      </c>
      <c r="N6" s="13" t="str">
        <f>Data!F$8</f>
        <v>S</v>
      </c>
      <c r="O6" s="13" t="str">
        <f>Data!G$8</f>
        <v>S</v>
      </c>
      <c r="P6" s="13" t="str">
        <f>Data!H$8</f>
        <v>S</v>
      </c>
      <c r="Q6" s="13" t="str">
        <f>Data!I$8</f>
        <v>S</v>
      </c>
      <c r="R6" s="13" t="str">
        <f>Data!J$8</f>
        <v>S</v>
      </c>
      <c r="S6" s="13" t="str">
        <f>Data!K$8</f>
        <v>S</v>
      </c>
      <c r="T6" s="13" t="str">
        <f>Data!L$8</f>
        <v>S</v>
      </c>
      <c r="U6" s="13" t="str">
        <f>Data!M$8</f>
        <v>S</v>
      </c>
      <c r="V6" s="13" t="str">
        <f>Data!N$8</f>
        <v>S</v>
      </c>
      <c r="W6" s="14" t="str">
        <f>Data!O$8</f>
        <v>S</v>
      </c>
      <c r="X6" s="12">
        <f>IF(J6="Rear",Data!P$8+(1*G6),0.5+(ABS(I6-1)*G6))</f>
        <v>0.5</v>
      </c>
      <c r="Y6" s="36">
        <f t="shared" ref="Y6:Y14" si="4">X6</f>
        <v>0.5</v>
      </c>
      <c r="Z6" s="49">
        <f>$Z$5</f>
        <v>0.625</v>
      </c>
      <c r="AA6" s="49" t="str">
        <f>$AA$5</f>
        <v>S</v>
      </c>
      <c r="AB6" s="49" t="str">
        <f>$AB$5</f>
        <v>U</v>
      </c>
      <c r="AC6" s="13" t="str">
        <f>Data!T$8</f>
        <v>U</v>
      </c>
      <c r="AD6" s="13" t="str">
        <f>Data!R$8</f>
        <v>U</v>
      </c>
      <c r="AE6" s="13" t="str">
        <f>Data!S$8</f>
        <v>U</v>
      </c>
      <c r="AF6" s="13" t="str">
        <f>Data!T$8</f>
        <v>U</v>
      </c>
      <c r="AG6" s="13" t="str">
        <f>Data!U$8</f>
        <v>U</v>
      </c>
      <c r="AH6" s="13" t="str">
        <f>Data!V$8</f>
        <v>U</v>
      </c>
      <c r="AI6" s="23" t="str">
        <f>AI$5</f>
        <v>U</v>
      </c>
      <c r="AJ6" s="23" t="str">
        <f>AJ$5</f>
        <v>S</v>
      </c>
      <c r="AK6" s="24" t="str">
        <f>AK$5</f>
        <v>S</v>
      </c>
      <c r="AL6" s="24" t="str">
        <f t="shared" ref="AL6:AS14" si="5">AL$5</f>
        <v>S</v>
      </c>
      <c r="AM6" s="24" t="str">
        <f t="shared" si="5"/>
        <v>S</v>
      </c>
      <c r="AN6" s="24">
        <f t="shared" si="5"/>
        <v>2.5</v>
      </c>
      <c r="AO6" s="24">
        <f t="shared" si="5"/>
        <v>2.5</v>
      </c>
      <c r="AP6" s="24">
        <f t="shared" si="5"/>
        <v>0.25</v>
      </c>
      <c r="AQ6" s="24">
        <f t="shared" si="5"/>
        <v>0.18750000000000003</v>
      </c>
      <c r="AR6" s="24">
        <f t="shared" si="5"/>
        <v>0.18750000000000003</v>
      </c>
      <c r="AS6" s="24">
        <f t="shared" si="5"/>
        <v>6.2699999999999978E-2</v>
      </c>
      <c r="AT6" s="28" t="str">
        <f>$AT$5</f>
        <v>.3</v>
      </c>
      <c r="AU6" s="56" t="str">
        <f>$AU$5</f>
        <v>3</v>
      </c>
      <c r="AV6" s="26" t="str">
        <f t="shared" ref="AV6:AV14" si="6">$AV$5</f>
        <v>3-TTS</v>
      </c>
      <c r="AW6" s="26" t="str">
        <f>AW$5</f>
        <v>3-SEC</v>
      </c>
      <c r="AX6" s="26" t="str">
        <f>$AX$5</f>
        <v>000000</v>
      </c>
      <c r="AY6" s="13" t="str">
        <f>Data!X$8</f>
        <v xml:space="preserve"> </v>
      </c>
      <c r="AZ6" s="13"/>
      <c r="BA6" s="13" t="str">
        <f>Data!W$8</f>
        <v>TOP TUBE SUPPORT, BOLT ON</v>
      </c>
      <c r="BB6" s="13"/>
      <c r="BC6" s="13"/>
      <c r="BH6" s="26" t="str">
        <f>BH$5</f>
        <v>3-SEC</v>
      </c>
    </row>
    <row r="7" spans="1:152" x14ac:dyDescent="0.25">
      <c r="A7" t="str">
        <f>IF(AND(J7&lt;&gt;"None",ROUND(I7,0)&gt;=3,ProductLine="AXC"),"Bolt on Angle (Broke) 03","")</f>
        <v/>
      </c>
      <c r="B7" s="13" t="str">
        <f t="shared" si="1"/>
        <v>AXC</v>
      </c>
      <c r="C7" s="12" t="s">
        <v>4</v>
      </c>
      <c r="D7" s="13" t="str">
        <f t="shared" si="2"/>
        <v>AXC materials:SA-36</v>
      </c>
      <c r="E7" s="26" t="str">
        <f t="shared" ref="E7:E14" si="7">$E$5</f>
        <v>L2.5x2.5x0.25</v>
      </c>
      <c r="F7" s="55">
        <f t="shared" si="3"/>
        <v>360</v>
      </c>
      <c r="G7" s="13">
        <f t="shared" si="3"/>
        <v>0</v>
      </c>
      <c r="H7" s="13">
        <f t="shared" si="3"/>
        <v>0.99999999999999922</v>
      </c>
      <c r="I7" s="13">
        <f t="shared" si="3"/>
        <v>15.999999999999998</v>
      </c>
      <c r="J7" s="14" t="str">
        <f t="shared" si="3"/>
        <v>None</v>
      </c>
      <c r="K7" s="13" t="str">
        <f>Data!C$8</f>
        <v>S</v>
      </c>
      <c r="L7" s="13" t="str">
        <f>Data!D$8</f>
        <v>S</v>
      </c>
      <c r="M7" s="13" t="str">
        <f>Data!E$8</f>
        <v>S</v>
      </c>
      <c r="N7" s="13" t="str">
        <f>Data!F$8</f>
        <v>S</v>
      </c>
      <c r="O7" s="13" t="str">
        <f>Data!G$8</f>
        <v>S</v>
      </c>
      <c r="P7" s="13" t="str">
        <f>Data!H$8</f>
        <v>S</v>
      </c>
      <c r="Q7" s="13" t="str">
        <f>Data!I$8</f>
        <v>S</v>
      </c>
      <c r="R7" s="13" t="str">
        <f>Data!J$8</f>
        <v>S</v>
      </c>
      <c r="S7" s="13" t="str">
        <f>Data!K$8</f>
        <v>S</v>
      </c>
      <c r="T7" s="13" t="str">
        <f>Data!L$8</f>
        <v>S</v>
      </c>
      <c r="U7" s="13" t="str">
        <f>Data!M$8</f>
        <v>S</v>
      </c>
      <c r="V7" s="13" t="str">
        <f>Data!N$8</f>
        <v>S</v>
      </c>
      <c r="W7" s="14" t="str">
        <f>Data!O$8</f>
        <v>S</v>
      </c>
      <c r="X7" s="12">
        <f>IF(J7="Rear",Data!P$8+(2*G7),0.5+(ABS(I7-2)*G7))</f>
        <v>0.5</v>
      </c>
      <c r="Y7" s="36">
        <f t="shared" si="4"/>
        <v>0.5</v>
      </c>
      <c r="Z7" s="49">
        <f t="shared" ref="Z7:Z14" si="8">$Z$5</f>
        <v>0.625</v>
      </c>
      <c r="AA7" s="49" t="str">
        <f t="shared" ref="AA7:AA14" si="9">$AA$5</f>
        <v>S</v>
      </c>
      <c r="AB7" s="49" t="str">
        <f t="shared" ref="AB7:AB14" si="10">$AB$5</f>
        <v>U</v>
      </c>
      <c r="AC7" s="13" t="str">
        <f>Data!T$8</f>
        <v>U</v>
      </c>
      <c r="AD7" s="13" t="str">
        <f>Data!R$8</f>
        <v>U</v>
      </c>
      <c r="AE7" s="13" t="str">
        <f>Data!S$8</f>
        <v>U</v>
      </c>
      <c r="AF7" s="13" t="str">
        <f>Data!T$8</f>
        <v>U</v>
      </c>
      <c r="AG7" s="13" t="str">
        <f>Data!U$8</f>
        <v>U</v>
      </c>
      <c r="AH7" s="13" t="str">
        <f>Data!V$8</f>
        <v>U</v>
      </c>
      <c r="AI7" s="23" t="str">
        <f t="shared" ref="AI7:AI14" si="11">AI$5</f>
        <v>U</v>
      </c>
      <c r="AJ7" s="23" t="str">
        <f t="shared" ref="AJ7:AJ14" si="12">AJ$5</f>
        <v>S</v>
      </c>
      <c r="AK7" s="24" t="str">
        <f t="shared" ref="AK7:AK14" si="13">AK$5</f>
        <v>S</v>
      </c>
      <c r="AL7" s="24" t="str">
        <f t="shared" si="5"/>
        <v>S</v>
      </c>
      <c r="AM7" s="24" t="str">
        <f t="shared" si="5"/>
        <v>S</v>
      </c>
      <c r="AN7" s="24">
        <f t="shared" si="5"/>
        <v>2.5</v>
      </c>
      <c r="AO7" s="24">
        <f t="shared" si="5"/>
        <v>2.5</v>
      </c>
      <c r="AP7" s="24">
        <f t="shared" si="5"/>
        <v>0.25</v>
      </c>
      <c r="AQ7" s="24">
        <f t="shared" si="5"/>
        <v>0.18750000000000003</v>
      </c>
      <c r="AR7" s="24">
        <f t="shared" si="5"/>
        <v>0.18750000000000003</v>
      </c>
      <c r="AS7" s="24">
        <f t="shared" si="5"/>
        <v>6.2699999999999978E-2</v>
      </c>
      <c r="AT7" s="28" t="str">
        <f t="shared" ref="AT7:AT14" si="14">$AT$5</f>
        <v>.3</v>
      </c>
      <c r="AU7" s="56" t="str">
        <f t="shared" ref="AU7:AU14" si="15">$AU$5</f>
        <v>3</v>
      </c>
      <c r="AV7" s="26" t="str">
        <f t="shared" si="6"/>
        <v>3-TTS</v>
      </c>
      <c r="AW7" s="26" t="str">
        <f t="shared" ref="AW7:AW14" si="16">AW$5</f>
        <v>3-SEC</v>
      </c>
      <c r="AX7" s="26" t="str">
        <f t="shared" ref="AX7:AX14" si="17">$AX$5</f>
        <v>000000</v>
      </c>
      <c r="AY7" s="13" t="str">
        <f>Data!X$8</f>
        <v xml:space="preserve"> </v>
      </c>
      <c r="AZ7" s="13"/>
      <c r="BA7" s="13" t="str">
        <f>Data!W$8</f>
        <v>TOP TUBE SUPPORT, BOLT ON</v>
      </c>
      <c r="BB7" s="13"/>
      <c r="BC7" s="13"/>
      <c r="BH7" s="26" t="str">
        <f>BH$5</f>
        <v>3-SEC</v>
      </c>
    </row>
    <row r="8" spans="1:152" x14ac:dyDescent="0.25">
      <c r="A8" t="str">
        <f>IF(AND(J8&lt;&gt;"None",ROUND(I8,0)&gt;=4,ProductLine="AXC"),"Bolt on Angle (Broke) 04","")</f>
        <v/>
      </c>
      <c r="B8" s="13" t="str">
        <f t="shared" si="1"/>
        <v>AXC</v>
      </c>
      <c r="C8" s="12" t="s">
        <v>4</v>
      </c>
      <c r="D8" s="13" t="str">
        <f t="shared" si="2"/>
        <v>AXC materials:SA-36</v>
      </c>
      <c r="E8" s="26" t="str">
        <f t="shared" si="7"/>
        <v>L2.5x2.5x0.25</v>
      </c>
      <c r="F8" s="55">
        <f t="shared" si="3"/>
        <v>360</v>
      </c>
      <c r="G8" s="13">
        <f t="shared" si="3"/>
        <v>0</v>
      </c>
      <c r="H8" s="13">
        <f t="shared" si="3"/>
        <v>0.99999999999999922</v>
      </c>
      <c r="I8" s="13">
        <f t="shared" si="3"/>
        <v>15.999999999999998</v>
      </c>
      <c r="J8" s="14" t="str">
        <f t="shared" si="3"/>
        <v>None</v>
      </c>
      <c r="K8" s="13" t="str">
        <f>Data!C$8</f>
        <v>S</v>
      </c>
      <c r="L8" s="13" t="str">
        <f>Data!D$8</f>
        <v>S</v>
      </c>
      <c r="M8" s="13" t="str">
        <f>Data!E$8</f>
        <v>S</v>
      </c>
      <c r="N8" s="13" t="str">
        <f>Data!F$8</f>
        <v>S</v>
      </c>
      <c r="O8" s="13" t="str">
        <f>Data!G$8</f>
        <v>S</v>
      </c>
      <c r="P8" s="13" t="str">
        <f>Data!H$8</f>
        <v>S</v>
      </c>
      <c r="Q8" s="13" t="str">
        <f>Data!I$8</f>
        <v>S</v>
      </c>
      <c r="R8" s="13" t="str">
        <f>Data!J$8</f>
        <v>S</v>
      </c>
      <c r="S8" s="13" t="str">
        <f>Data!K$8</f>
        <v>S</v>
      </c>
      <c r="T8" s="13" t="str">
        <f>Data!L$8</f>
        <v>S</v>
      </c>
      <c r="U8" s="13" t="str">
        <f>Data!M$8</f>
        <v>S</v>
      </c>
      <c r="V8" s="13" t="str">
        <f>Data!N$8</f>
        <v>S</v>
      </c>
      <c r="W8" s="14" t="str">
        <f>Data!O$8</f>
        <v>S</v>
      </c>
      <c r="X8" s="12">
        <f>IF(J8="Rear",Data!P$8+(3*G8),0.5+(ABS(I8-3)*G8))</f>
        <v>0.5</v>
      </c>
      <c r="Y8" s="36">
        <f t="shared" si="4"/>
        <v>0.5</v>
      </c>
      <c r="Z8" s="49">
        <f t="shared" si="8"/>
        <v>0.625</v>
      </c>
      <c r="AA8" s="49" t="str">
        <f t="shared" si="9"/>
        <v>S</v>
      </c>
      <c r="AB8" s="49" t="str">
        <f t="shared" si="10"/>
        <v>U</v>
      </c>
      <c r="AC8" s="13" t="str">
        <f>Data!T$8</f>
        <v>U</v>
      </c>
      <c r="AD8" s="13" t="str">
        <f>Data!R$8</f>
        <v>U</v>
      </c>
      <c r="AE8" s="13" t="str">
        <f>Data!S$8</f>
        <v>U</v>
      </c>
      <c r="AF8" s="13" t="str">
        <f>Data!T$8</f>
        <v>U</v>
      </c>
      <c r="AG8" s="13" t="str">
        <f>Data!U$8</f>
        <v>U</v>
      </c>
      <c r="AH8" s="13" t="str">
        <f>Data!V$8</f>
        <v>U</v>
      </c>
      <c r="AI8" s="23" t="str">
        <f t="shared" si="11"/>
        <v>U</v>
      </c>
      <c r="AJ8" s="23" t="str">
        <f t="shared" si="12"/>
        <v>S</v>
      </c>
      <c r="AK8" s="24" t="str">
        <f t="shared" si="13"/>
        <v>S</v>
      </c>
      <c r="AL8" s="24" t="str">
        <f t="shared" si="5"/>
        <v>S</v>
      </c>
      <c r="AM8" s="24" t="str">
        <f t="shared" si="5"/>
        <v>S</v>
      </c>
      <c r="AN8" s="24">
        <f t="shared" si="5"/>
        <v>2.5</v>
      </c>
      <c r="AO8" s="24">
        <f t="shared" si="5"/>
        <v>2.5</v>
      </c>
      <c r="AP8" s="24">
        <f t="shared" si="5"/>
        <v>0.25</v>
      </c>
      <c r="AQ8" s="24">
        <f t="shared" si="5"/>
        <v>0.18750000000000003</v>
      </c>
      <c r="AR8" s="24">
        <f t="shared" si="5"/>
        <v>0.18750000000000003</v>
      </c>
      <c r="AS8" s="24">
        <f t="shared" si="5"/>
        <v>6.2699999999999978E-2</v>
      </c>
      <c r="AT8" s="28" t="str">
        <f t="shared" si="14"/>
        <v>.3</v>
      </c>
      <c r="AU8" s="56" t="str">
        <f t="shared" si="15"/>
        <v>3</v>
      </c>
      <c r="AV8" s="26" t="str">
        <f t="shared" si="6"/>
        <v>3-TTS</v>
      </c>
      <c r="AW8" s="26" t="str">
        <f t="shared" si="16"/>
        <v>3-SEC</v>
      </c>
      <c r="AX8" s="26" t="str">
        <f t="shared" si="17"/>
        <v>000000</v>
      </c>
      <c r="AY8" s="13" t="str">
        <f>Data!X$8</f>
        <v xml:space="preserve"> </v>
      </c>
      <c r="AZ8" s="13"/>
      <c r="BA8" s="13" t="str">
        <f>Data!W$8</f>
        <v>TOP TUBE SUPPORT, BOLT ON</v>
      </c>
      <c r="BB8" s="13"/>
      <c r="BC8" s="13"/>
      <c r="BH8" s="26" t="str">
        <f>BH$5</f>
        <v>3-SEC</v>
      </c>
    </row>
    <row r="9" spans="1:152" x14ac:dyDescent="0.25">
      <c r="A9" t="str">
        <f>IF(AND(J9&lt;&gt;"None",ROUND(I9,0)&gt;=5,ProductLine="AXC"),"Bolt on Angle (Broke) 05","")</f>
        <v/>
      </c>
      <c r="B9" s="13" t="str">
        <f t="shared" si="1"/>
        <v>AXC</v>
      </c>
      <c r="C9" s="12" t="s">
        <v>4</v>
      </c>
      <c r="D9" s="13" t="str">
        <f t="shared" si="2"/>
        <v>AXC materials:SA-36</v>
      </c>
      <c r="E9" s="26" t="str">
        <f t="shared" si="7"/>
        <v>L2.5x2.5x0.25</v>
      </c>
      <c r="F9" s="55">
        <f t="shared" si="3"/>
        <v>360</v>
      </c>
      <c r="G9" s="13">
        <f t="shared" si="3"/>
        <v>0</v>
      </c>
      <c r="H9" s="13">
        <f t="shared" si="3"/>
        <v>0.99999999999999922</v>
      </c>
      <c r="I9" s="13">
        <f t="shared" si="3"/>
        <v>15.999999999999998</v>
      </c>
      <c r="J9" s="14" t="str">
        <f t="shared" si="3"/>
        <v>None</v>
      </c>
      <c r="K9" s="13" t="str">
        <f>Data!C$8</f>
        <v>S</v>
      </c>
      <c r="L9" s="13" t="str">
        <f>Data!D$8</f>
        <v>S</v>
      </c>
      <c r="M9" s="13" t="str">
        <f>Data!E$8</f>
        <v>S</v>
      </c>
      <c r="N9" s="13" t="str">
        <f>Data!F$8</f>
        <v>S</v>
      </c>
      <c r="O9" s="13" t="str">
        <f>Data!G$8</f>
        <v>S</v>
      </c>
      <c r="P9" s="13" t="str">
        <f>Data!H$8</f>
        <v>S</v>
      </c>
      <c r="Q9" s="13" t="str">
        <f>Data!I$8</f>
        <v>S</v>
      </c>
      <c r="R9" s="13" t="str">
        <f>Data!J$8</f>
        <v>S</v>
      </c>
      <c r="S9" s="13" t="str">
        <f>Data!K$8</f>
        <v>S</v>
      </c>
      <c r="T9" s="13" t="str">
        <f>Data!L$8</f>
        <v>S</v>
      </c>
      <c r="U9" s="13" t="str">
        <f>Data!M$8</f>
        <v>S</v>
      </c>
      <c r="V9" s="13" t="str">
        <f>Data!N$8</f>
        <v>S</v>
      </c>
      <c r="W9" s="14" t="str">
        <f>Data!O$8</f>
        <v>S</v>
      </c>
      <c r="X9" s="12">
        <f>IF(J9="Rear",Data!P$8+(4*G9),0.5+(ABS(I9-4)*G9))</f>
        <v>0.5</v>
      </c>
      <c r="Y9" s="36">
        <f t="shared" si="4"/>
        <v>0.5</v>
      </c>
      <c r="Z9" s="49">
        <f t="shared" si="8"/>
        <v>0.625</v>
      </c>
      <c r="AA9" s="49" t="str">
        <f t="shared" si="9"/>
        <v>S</v>
      </c>
      <c r="AB9" s="49" t="str">
        <f t="shared" si="10"/>
        <v>U</v>
      </c>
      <c r="AC9" s="13" t="str">
        <f>Data!T$8</f>
        <v>U</v>
      </c>
      <c r="AD9" s="13" t="str">
        <f>Data!R$8</f>
        <v>U</v>
      </c>
      <c r="AE9" s="13" t="str">
        <f>Data!S$8</f>
        <v>U</v>
      </c>
      <c r="AF9" s="13" t="str">
        <f>Data!T$8</f>
        <v>U</v>
      </c>
      <c r="AG9" s="13" t="str">
        <f>Data!U$8</f>
        <v>U</v>
      </c>
      <c r="AH9" s="13" t="str">
        <f>Data!V$8</f>
        <v>U</v>
      </c>
      <c r="AI9" s="23" t="str">
        <f t="shared" si="11"/>
        <v>U</v>
      </c>
      <c r="AJ9" s="23" t="str">
        <f t="shared" si="12"/>
        <v>S</v>
      </c>
      <c r="AK9" s="24" t="str">
        <f t="shared" si="13"/>
        <v>S</v>
      </c>
      <c r="AL9" s="24" t="str">
        <f t="shared" si="5"/>
        <v>S</v>
      </c>
      <c r="AM9" s="24" t="str">
        <f t="shared" si="5"/>
        <v>S</v>
      </c>
      <c r="AN9" s="24">
        <f t="shared" si="5"/>
        <v>2.5</v>
      </c>
      <c r="AO9" s="24">
        <f t="shared" si="5"/>
        <v>2.5</v>
      </c>
      <c r="AP9" s="24">
        <f t="shared" si="5"/>
        <v>0.25</v>
      </c>
      <c r="AQ9" s="24">
        <f t="shared" si="5"/>
        <v>0.18750000000000003</v>
      </c>
      <c r="AR9" s="24">
        <f t="shared" si="5"/>
        <v>0.18750000000000003</v>
      </c>
      <c r="AS9" s="24">
        <f t="shared" si="5"/>
        <v>6.2699999999999978E-2</v>
      </c>
      <c r="AT9" s="28" t="str">
        <f t="shared" si="14"/>
        <v>.3</v>
      </c>
      <c r="AU9" s="56" t="str">
        <f t="shared" si="15"/>
        <v>3</v>
      </c>
      <c r="AV9" s="26" t="str">
        <f t="shared" si="6"/>
        <v>3-TTS</v>
      </c>
      <c r="AW9" s="26" t="str">
        <f t="shared" si="16"/>
        <v>3-SEC</v>
      </c>
      <c r="AX9" s="26" t="str">
        <f t="shared" si="17"/>
        <v>000000</v>
      </c>
      <c r="AY9" s="13" t="str">
        <f>Data!X$8</f>
        <v xml:space="preserve"> </v>
      </c>
      <c r="AZ9" s="13"/>
      <c r="BA9" s="13" t="str">
        <f>Data!W$8</f>
        <v>TOP TUBE SUPPORT, BOLT ON</v>
      </c>
      <c r="BB9" s="13"/>
      <c r="BC9" s="13"/>
      <c r="BH9" s="26" t="str">
        <f>BH$5</f>
        <v>3-SEC</v>
      </c>
    </row>
    <row r="10" spans="1:152" x14ac:dyDescent="0.25">
      <c r="A10" t="str">
        <f>IF(AND(J10&lt;&gt;"None",ROUND(I10,0)&gt;=6,ProductLine="AXC"),"Bolt on Angle (Broke) 06","")</f>
        <v/>
      </c>
      <c r="B10" s="13" t="str">
        <f t="shared" si="1"/>
        <v>AXC</v>
      </c>
      <c r="C10" s="12" t="s">
        <v>4</v>
      </c>
      <c r="D10" s="13" t="str">
        <f t="shared" si="2"/>
        <v>AXC materials:SA-36</v>
      </c>
      <c r="E10" s="26" t="str">
        <f t="shared" si="7"/>
        <v>L2.5x2.5x0.25</v>
      </c>
      <c r="F10" s="55">
        <f t="shared" si="3"/>
        <v>360</v>
      </c>
      <c r="G10" s="13">
        <f t="shared" si="3"/>
        <v>0</v>
      </c>
      <c r="H10" s="13">
        <f t="shared" si="3"/>
        <v>0.99999999999999922</v>
      </c>
      <c r="I10" s="13">
        <f t="shared" si="3"/>
        <v>15.999999999999998</v>
      </c>
      <c r="J10" s="14" t="str">
        <f t="shared" si="3"/>
        <v>None</v>
      </c>
      <c r="K10" s="13" t="str">
        <f>Data!C$8</f>
        <v>S</v>
      </c>
      <c r="L10" s="13" t="str">
        <f>Data!D$8</f>
        <v>S</v>
      </c>
      <c r="M10" s="13" t="str">
        <f>Data!E$8</f>
        <v>S</v>
      </c>
      <c r="N10" s="13" t="str">
        <f>Data!F$8</f>
        <v>S</v>
      </c>
      <c r="O10" s="13" t="str">
        <f>Data!G$8</f>
        <v>S</v>
      </c>
      <c r="P10" s="13" t="str">
        <f>Data!H$8</f>
        <v>S</v>
      </c>
      <c r="Q10" s="13" t="str">
        <f>Data!I$8</f>
        <v>S</v>
      </c>
      <c r="R10" s="13" t="str">
        <f>Data!J$8</f>
        <v>S</v>
      </c>
      <c r="S10" s="13" t="str">
        <f>Data!K$8</f>
        <v>S</v>
      </c>
      <c r="T10" s="13" t="str">
        <f>Data!L$8</f>
        <v>S</v>
      </c>
      <c r="U10" s="13" t="str">
        <f>Data!M$8</f>
        <v>S</v>
      </c>
      <c r="V10" s="13" t="str">
        <f>Data!N$8</f>
        <v>S</v>
      </c>
      <c r="W10" s="14" t="str">
        <f>Data!O$8</f>
        <v>S</v>
      </c>
      <c r="X10" s="12">
        <f>IF(J10="Rear",Data!P$8+(5*G10),0.5+(ABS(I10-5)*G10))</f>
        <v>0.5</v>
      </c>
      <c r="Y10" s="36">
        <f t="shared" si="4"/>
        <v>0.5</v>
      </c>
      <c r="Z10" s="49">
        <f t="shared" si="8"/>
        <v>0.625</v>
      </c>
      <c r="AA10" s="49" t="str">
        <f t="shared" si="9"/>
        <v>S</v>
      </c>
      <c r="AB10" s="49" t="str">
        <f t="shared" si="10"/>
        <v>U</v>
      </c>
      <c r="AC10" s="13" t="str">
        <f>Data!T$8</f>
        <v>U</v>
      </c>
      <c r="AD10" s="13" t="str">
        <f>Data!R$8</f>
        <v>U</v>
      </c>
      <c r="AE10" s="13" t="str">
        <f>Data!S$8</f>
        <v>U</v>
      </c>
      <c r="AF10" s="13" t="str">
        <f>Data!T$8</f>
        <v>U</v>
      </c>
      <c r="AG10" s="13" t="str">
        <f>Data!U$8</f>
        <v>U</v>
      </c>
      <c r="AH10" s="13" t="str">
        <f>Data!V$8</f>
        <v>U</v>
      </c>
      <c r="AI10" s="23" t="str">
        <f t="shared" si="11"/>
        <v>U</v>
      </c>
      <c r="AJ10" s="23" t="str">
        <f t="shared" si="12"/>
        <v>S</v>
      </c>
      <c r="AK10" s="24" t="str">
        <f t="shared" si="13"/>
        <v>S</v>
      </c>
      <c r="AL10" s="24" t="str">
        <f t="shared" si="5"/>
        <v>S</v>
      </c>
      <c r="AM10" s="24" t="str">
        <f t="shared" si="5"/>
        <v>S</v>
      </c>
      <c r="AN10" s="24">
        <f t="shared" si="5"/>
        <v>2.5</v>
      </c>
      <c r="AO10" s="24">
        <f t="shared" si="5"/>
        <v>2.5</v>
      </c>
      <c r="AP10" s="24">
        <f t="shared" si="5"/>
        <v>0.25</v>
      </c>
      <c r="AQ10" s="24">
        <f t="shared" si="5"/>
        <v>0.18750000000000003</v>
      </c>
      <c r="AR10" s="24">
        <f t="shared" si="5"/>
        <v>0.18750000000000003</v>
      </c>
      <c r="AS10" s="24">
        <f t="shared" si="5"/>
        <v>6.2699999999999978E-2</v>
      </c>
      <c r="AT10" s="28" t="str">
        <f t="shared" si="14"/>
        <v>.3</v>
      </c>
      <c r="AU10" s="56" t="str">
        <f t="shared" si="15"/>
        <v>3</v>
      </c>
      <c r="AV10" s="26" t="str">
        <f t="shared" si="6"/>
        <v>3-TTS</v>
      </c>
      <c r="AW10" s="26" t="str">
        <f t="shared" si="16"/>
        <v>3-SEC</v>
      </c>
      <c r="AX10" s="26" t="str">
        <f t="shared" si="17"/>
        <v>000000</v>
      </c>
      <c r="AY10" s="13" t="str">
        <f>Data!X$8</f>
        <v xml:space="preserve"> </v>
      </c>
      <c r="AZ10" s="13"/>
      <c r="BA10" s="13" t="str">
        <f>Data!W$8</f>
        <v>TOP TUBE SUPPORT, BOLT ON</v>
      </c>
      <c r="BB10" s="13"/>
      <c r="BC10" s="13"/>
      <c r="BH10" s="26" t="str">
        <f>BH$5</f>
        <v>3-SEC</v>
      </c>
    </row>
    <row r="11" spans="1:152" x14ac:dyDescent="0.25">
      <c r="A11" t="str">
        <f>IF(AND(J11&lt;&gt;"None",ROUND(I11,0)&gt;=7,ProductLine="AXC"),"Bolt on Angle (Broke) 07","")</f>
        <v/>
      </c>
      <c r="B11" s="13" t="str">
        <f t="shared" si="1"/>
        <v>AXC</v>
      </c>
      <c r="C11" s="12" t="s">
        <v>4</v>
      </c>
      <c r="D11" s="13" t="str">
        <f t="shared" si="2"/>
        <v>AXC materials:SA-36</v>
      </c>
      <c r="E11" s="26" t="str">
        <f t="shared" si="7"/>
        <v>L2.5x2.5x0.25</v>
      </c>
      <c r="F11" s="55">
        <f t="shared" si="3"/>
        <v>360</v>
      </c>
      <c r="G11" s="13">
        <f t="shared" si="3"/>
        <v>0</v>
      </c>
      <c r="H11" s="13">
        <f t="shared" si="3"/>
        <v>0.99999999999999922</v>
      </c>
      <c r="I11" s="13">
        <f t="shared" si="3"/>
        <v>15.999999999999998</v>
      </c>
      <c r="J11" s="14" t="str">
        <f t="shared" si="3"/>
        <v>None</v>
      </c>
      <c r="K11" s="13" t="str">
        <f>Data!C$8</f>
        <v>S</v>
      </c>
      <c r="L11" s="13" t="str">
        <f>Data!D$8</f>
        <v>S</v>
      </c>
      <c r="M11" s="13" t="str">
        <f>Data!E$8</f>
        <v>S</v>
      </c>
      <c r="N11" s="13" t="str">
        <f>Data!F$8</f>
        <v>S</v>
      </c>
      <c r="O11" s="13" t="str">
        <f>Data!G$8</f>
        <v>S</v>
      </c>
      <c r="P11" s="13" t="str">
        <f>Data!H$8</f>
        <v>S</v>
      </c>
      <c r="Q11" s="13" t="str">
        <f>Data!I$8</f>
        <v>S</v>
      </c>
      <c r="R11" s="13" t="str">
        <f>Data!J$8</f>
        <v>S</v>
      </c>
      <c r="S11" s="13" t="str">
        <f>Data!K$8</f>
        <v>S</v>
      </c>
      <c r="T11" s="13" t="str">
        <f>Data!L$8</f>
        <v>S</v>
      </c>
      <c r="U11" s="13" t="str">
        <f>Data!M$8</f>
        <v>S</v>
      </c>
      <c r="V11" s="13" t="str">
        <f>Data!N$8</f>
        <v>S</v>
      </c>
      <c r="W11" s="14" t="str">
        <f>Data!O$8</f>
        <v>S</v>
      </c>
      <c r="X11" s="12">
        <f>IF(J11="Rear",Data!P$8+(6*G11),0.5+(ABS(I11-6)*G11))</f>
        <v>0.5</v>
      </c>
      <c r="Y11" s="36">
        <f t="shared" si="4"/>
        <v>0.5</v>
      </c>
      <c r="Z11" s="49">
        <f t="shared" si="8"/>
        <v>0.625</v>
      </c>
      <c r="AA11" s="49" t="str">
        <f t="shared" si="9"/>
        <v>S</v>
      </c>
      <c r="AB11" s="49" t="str">
        <f t="shared" si="10"/>
        <v>U</v>
      </c>
      <c r="AC11" s="13" t="str">
        <f>Data!T$8</f>
        <v>U</v>
      </c>
      <c r="AD11" s="13" t="str">
        <f>Data!R$8</f>
        <v>U</v>
      </c>
      <c r="AE11" s="13" t="str">
        <f>Data!S$8</f>
        <v>U</v>
      </c>
      <c r="AF11" s="13" t="str">
        <f>Data!T$8</f>
        <v>U</v>
      </c>
      <c r="AG11" s="13" t="str">
        <f>Data!U$8</f>
        <v>U</v>
      </c>
      <c r="AH11" s="13" t="str">
        <f>Data!V$8</f>
        <v>U</v>
      </c>
      <c r="AI11" s="23" t="str">
        <f t="shared" si="11"/>
        <v>U</v>
      </c>
      <c r="AJ11" s="23" t="str">
        <f t="shared" si="12"/>
        <v>S</v>
      </c>
      <c r="AK11" s="24" t="str">
        <f t="shared" si="13"/>
        <v>S</v>
      </c>
      <c r="AL11" s="24" t="str">
        <f t="shared" si="5"/>
        <v>S</v>
      </c>
      <c r="AM11" s="24" t="str">
        <f t="shared" si="5"/>
        <v>S</v>
      </c>
      <c r="AN11" s="24">
        <f t="shared" si="5"/>
        <v>2.5</v>
      </c>
      <c r="AO11" s="24">
        <f t="shared" si="5"/>
        <v>2.5</v>
      </c>
      <c r="AP11" s="24">
        <f t="shared" si="5"/>
        <v>0.25</v>
      </c>
      <c r="AQ11" s="24">
        <f t="shared" si="5"/>
        <v>0.18750000000000003</v>
      </c>
      <c r="AR11" s="24">
        <f t="shared" si="5"/>
        <v>0.18750000000000003</v>
      </c>
      <c r="AS11" s="24">
        <f t="shared" si="5"/>
        <v>6.2699999999999978E-2</v>
      </c>
      <c r="AT11" s="28" t="str">
        <f t="shared" si="14"/>
        <v>.3</v>
      </c>
      <c r="AU11" s="56" t="str">
        <f t="shared" si="15"/>
        <v>3</v>
      </c>
      <c r="AV11" s="26" t="str">
        <f t="shared" si="6"/>
        <v>3-TTS</v>
      </c>
      <c r="AW11" s="26" t="str">
        <f t="shared" si="16"/>
        <v>3-SEC</v>
      </c>
      <c r="AX11" s="26" t="str">
        <f t="shared" si="17"/>
        <v>000000</v>
      </c>
      <c r="AY11" s="13" t="str">
        <f>Data!X$8</f>
        <v xml:space="preserve"> </v>
      </c>
      <c r="AZ11" s="13"/>
      <c r="BA11" s="13" t="str">
        <f>Data!W$8</f>
        <v>TOP TUBE SUPPORT, BOLT ON</v>
      </c>
      <c r="BB11" s="13"/>
      <c r="BC11" s="13"/>
      <c r="BH11" s="26" t="str">
        <f>BH$5</f>
        <v>3-SEC</v>
      </c>
    </row>
    <row r="12" spans="1:152" x14ac:dyDescent="0.25">
      <c r="A12" t="str">
        <f>IF(AND(J12&lt;&gt;"None",ROUND(I12,0)&gt;=8,ProductLine="AXC"),"Bolt on Angle (Broke) 08","")</f>
        <v/>
      </c>
      <c r="B12" s="13" t="str">
        <f t="shared" si="1"/>
        <v>AXC</v>
      </c>
      <c r="C12" s="12" t="s">
        <v>4</v>
      </c>
      <c r="D12" s="13" t="str">
        <f t="shared" si="2"/>
        <v>AXC materials:SA-36</v>
      </c>
      <c r="E12" s="26" t="str">
        <f t="shared" si="7"/>
        <v>L2.5x2.5x0.25</v>
      </c>
      <c r="F12" s="55">
        <f t="shared" si="3"/>
        <v>360</v>
      </c>
      <c r="G12" s="13">
        <f t="shared" si="3"/>
        <v>0</v>
      </c>
      <c r="H12" s="13">
        <f t="shared" si="3"/>
        <v>0.99999999999999922</v>
      </c>
      <c r="I12" s="13">
        <f t="shared" si="3"/>
        <v>15.999999999999998</v>
      </c>
      <c r="J12" s="14" t="str">
        <f t="shared" si="3"/>
        <v>None</v>
      </c>
      <c r="K12" s="13" t="str">
        <f>Data!C$8</f>
        <v>S</v>
      </c>
      <c r="L12" s="13" t="str">
        <f>Data!D$8</f>
        <v>S</v>
      </c>
      <c r="M12" s="13" t="str">
        <f>Data!E$8</f>
        <v>S</v>
      </c>
      <c r="N12" s="13" t="str">
        <f>Data!F$8</f>
        <v>S</v>
      </c>
      <c r="O12" s="13" t="str">
        <f>Data!G$8</f>
        <v>S</v>
      </c>
      <c r="P12" s="13" t="str">
        <f>Data!H$8</f>
        <v>S</v>
      </c>
      <c r="Q12" s="13" t="str">
        <f>Data!I$8</f>
        <v>S</v>
      </c>
      <c r="R12" s="13" t="str">
        <f>Data!J$8</f>
        <v>S</v>
      </c>
      <c r="S12" s="13" t="str">
        <f>Data!K$8</f>
        <v>S</v>
      </c>
      <c r="T12" s="13" t="str">
        <f>Data!L$8</f>
        <v>S</v>
      </c>
      <c r="U12" s="13" t="str">
        <f>Data!M$8</f>
        <v>S</v>
      </c>
      <c r="V12" s="13" t="str">
        <f>Data!N$8</f>
        <v>S</v>
      </c>
      <c r="W12" s="14" t="str">
        <f>Data!O$8</f>
        <v>S</v>
      </c>
      <c r="X12" s="12">
        <f>IF(J12="Rear",Data!P$8+(7*G12),0.5+(ABS(I12-7)*G12))</f>
        <v>0.5</v>
      </c>
      <c r="Y12" s="36">
        <f t="shared" si="4"/>
        <v>0.5</v>
      </c>
      <c r="Z12" s="49">
        <f t="shared" si="8"/>
        <v>0.625</v>
      </c>
      <c r="AA12" s="49" t="str">
        <f t="shared" si="9"/>
        <v>S</v>
      </c>
      <c r="AB12" s="49" t="str">
        <f t="shared" si="10"/>
        <v>U</v>
      </c>
      <c r="AC12" s="13" t="str">
        <f>Data!T$8</f>
        <v>U</v>
      </c>
      <c r="AD12" s="13" t="str">
        <f>Data!R$8</f>
        <v>U</v>
      </c>
      <c r="AE12" s="13" t="str">
        <f>Data!S$8</f>
        <v>U</v>
      </c>
      <c r="AF12" s="13" t="str">
        <f>Data!T$8</f>
        <v>U</v>
      </c>
      <c r="AG12" s="13" t="str">
        <f>Data!U$8</f>
        <v>U</v>
      </c>
      <c r="AH12" s="13" t="str">
        <f>Data!V$8</f>
        <v>U</v>
      </c>
      <c r="AI12" s="23" t="str">
        <f t="shared" si="11"/>
        <v>U</v>
      </c>
      <c r="AJ12" s="23" t="str">
        <f t="shared" si="12"/>
        <v>S</v>
      </c>
      <c r="AK12" s="24" t="str">
        <f t="shared" si="13"/>
        <v>S</v>
      </c>
      <c r="AL12" s="24" t="str">
        <f t="shared" si="5"/>
        <v>S</v>
      </c>
      <c r="AM12" s="24" t="str">
        <f t="shared" si="5"/>
        <v>S</v>
      </c>
      <c r="AN12" s="24">
        <f t="shared" si="5"/>
        <v>2.5</v>
      </c>
      <c r="AO12" s="24">
        <f t="shared" si="5"/>
        <v>2.5</v>
      </c>
      <c r="AP12" s="24">
        <f t="shared" si="5"/>
        <v>0.25</v>
      </c>
      <c r="AQ12" s="24">
        <f t="shared" si="5"/>
        <v>0.18750000000000003</v>
      </c>
      <c r="AR12" s="24">
        <f t="shared" si="5"/>
        <v>0.18750000000000003</v>
      </c>
      <c r="AS12" s="24">
        <f t="shared" si="5"/>
        <v>6.2699999999999978E-2</v>
      </c>
      <c r="AT12" s="28" t="str">
        <f t="shared" si="14"/>
        <v>.3</v>
      </c>
      <c r="AU12" s="56" t="str">
        <f t="shared" si="15"/>
        <v>3</v>
      </c>
      <c r="AV12" s="26" t="str">
        <f t="shared" si="6"/>
        <v>3-TTS</v>
      </c>
      <c r="AW12" s="26" t="str">
        <f t="shared" si="16"/>
        <v>3-SEC</v>
      </c>
      <c r="AX12" s="26" t="str">
        <f t="shared" si="17"/>
        <v>000000</v>
      </c>
      <c r="AY12" s="13" t="str">
        <f>Data!X$8</f>
        <v xml:space="preserve"> </v>
      </c>
      <c r="AZ12" s="13"/>
      <c r="BA12" s="13" t="str">
        <f>Data!W$8</f>
        <v>TOP TUBE SUPPORT, BOLT ON</v>
      </c>
      <c r="BB12" s="13"/>
      <c r="BC12" s="13"/>
      <c r="BH12" s="26" t="str">
        <f>BH$5</f>
        <v>3-SEC</v>
      </c>
    </row>
    <row r="13" spans="1:152" x14ac:dyDescent="0.25">
      <c r="A13" t="str">
        <f>IF(AND(J13&lt;&gt;"None",ROUND(I13,0)&gt;=9,ProductLine="AXC"),"Bolt on Angle (Broke) 09","")</f>
        <v/>
      </c>
      <c r="B13" s="13" t="str">
        <f t="shared" si="1"/>
        <v>AXC</v>
      </c>
      <c r="C13" s="12" t="s">
        <v>4</v>
      </c>
      <c r="D13" s="13" t="str">
        <f t="shared" si="2"/>
        <v>AXC materials:SA-36</v>
      </c>
      <c r="E13" s="26" t="str">
        <f t="shared" si="7"/>
        <v>L2.5x2.5x0.25</v>
      </c>
      <c r="F13" s="55">
        <f t="shared" si="3"/>
        <v>360</v>
      </c>
      <c r="G13" s="13">
        <f t="shared" si="3"/>
        <v>0</v>
      </c>
      <c r="H13" s="13">
        <f t="shared" si="3"/>
        <v>0.99999999999999922</v>
      </c>
      <c r="I13" s="13">
        <f t="shared" si="3"/>
        <v>15.999999999999998</v>
      </c>
      <c r="J13" s="14" t="str">
        <f t="shared" si="3"/>
        <v>None</v>
      </c>
      <c r="K13" s="13" t="str">
        <f>Data!C$8</f>
        <v>S</v>
      </c>
      <c r="L13" s="13" t="str">
        <f>Data!D$8</f>
        <v>S</v>
      </c>
      <c r="M13" s="13" t="str">
        <f>Data!E$8</f>
        <v>S</v>
      </c>
      <c r="N13" s="13" t="str">
        <f>Data!F$8</f>
        <v>S</v>
      </c>
      <c r="O13" s="13" t="str">
        <f>Data!G$8</f>
        <v>S</v>
      </c>
      <c r="P13" s="13" t="str">
        <f>Data!H$8</f>
        <v>S</v>
      </c>
      <c r="Q13" s="13" t="str">
        <f>Data!I$8</f>
        <v>S</v>
      </c>
      <c r="R13" s="13" t="str">
        <f>Data!J$8</f>
        <v>S</v>
      </c>
      <c r="S13" s="13" t="str">
        <f>Data!K$8</f>
        <v>S</v>
      </c>
      <c r="T13" s="13" t="str">
        <f>Data!L$8</f>
        <v>S</v>
      </c>
      <c r="U13" s="13" t="str">
        <f>Data!M$8</f>
        <v>S</v>
      </c>
      <c r="V13" s="13" t="str">
        <f>Data!N$8</f>
        <v>S</v>
      </c>
      <c r="W13" s="14" t="str">
        <f>Data!O$8</f>
        <v>S</v>
      </c>
      <c r="X13" s="12">
        <f>IF(J13="Rear",Data!P$8+(8*G13),0.5+(ABS(I13-8)*G13))</f>
        <v>0.5</v>
      </c>
      <c r="Y13" s="36">
        <f t="shared" si="4"/>
        <v>0.5</v>
      </c>
      <c r="Z13" s="49">
        <f t="shared" si="8"/>
        <v>0.625</v>
      </c>
      <c r="AA13" s="49" t="str">
        <f t="shared" si="9"/>
        <v>S</v>
      </c>
      <c r="AB13" s="49" t="str">
        <f t="shared" si="10"/>
        <v>U</v>
      </c>
      <c r="AC13" s="13" t="str">
        <f>Data!T$8</f>
        <v>U</v>
      </c>
      <c r="AD13" s="13" t="str">
        <f>Data!R$8</f>
        <v>U</v>
      </c>
      <c r="AE13" s="13" t="str">
        <f>Data!S$8</f>
        <v>U</v>
      </c>
      <c r="AF13" s="13" t="str">
        <f>Data!T$8</f>
        <v>U</v>
      </c>
      <c r="AG13" s="13" t="str">
        <f>Data!U$8</f>
        <v>U</v>
      </c>
      <c r="AH13" s="13" t="str">
        <f>Data!V$8</f>
        <v>U</v>
      </c>
      <c r="AI13" s="23" t="str">
        <f t="shared" si="11"/>
        <v>U</v>
      </c>
      <c r="AJ13" s="23" t="str">
        <f t="shared" si="12"/>
        <v>S</v>
      </c>
      <c r="AK13" s="24" t="str">
        <f t="shared" si="13"/>
        <v>S</v>
      </c>
      <c r="AL13" s="24" t="str">
        <f t="shared" si="5"/>
        <v>S</v>
      </c>
      <c r="AM13" s="24" t="str">
        <f t="shared" si="5"/>
        <v>S</v>
      </c>
      <c r="AN13" s="24">
        <f t="shared" si="5"/>
        <v>2.5</v>
      </c>
      <c r="AO13" s="24">
        <f t="shared" si="5"/>
        <v>2.5</v>
      </c>
      <c r="AP13" s="24">
        <f t="shared" si="5"/>
        <v>0.25</v>
      </c>
      <c r="AQ13" s="24">
        <f t="shared" si="5"/>
        <v>0.18750000000000003</v>
      </c>
      <c r="AR13" s="24">
        <f t="shared" si="5"/>
        <v>0.18750000000000003</v>
      </c>
      <c r="AS13" s="24">
        <f t="shared" si="5"/>
        <v>6.2699999999999978E-2</v>
      </c>
      <c r="AT13" s="28" t="str">
        <f t="shared" si="14"/>
        <v>.3</v>
      </c>
      <c r="AU13" s="56" t="str">
        <f t="shared" si="15"/>
        <v>3</v>
      </c>
      <c r="AV13" s="26" t="str">
        <f t="shared" si="6"/>
        <v>3-TTS</v>
      </c>
      <c r="AW13" s="26" t="str">
        <f t="shared" si="16"/>
        <v>3-SEC</v>
      </c>
      <c r="AX13" s="26" t="str">
        <f t="shared" si="17"/>
        <v>000000</v>
      </c>
      <c r="AY13" s="13" t="str">
        <f>Data!X$8</f>
        <v xml:space="preserve"> </v>
      </c>
      <c r="AZ13" s="13"/>
      <c r="BA13" s="13" t="str">
        <f>Data!W$8</f>
        <v>TOP TUBE SUPPORT, BOLT ON</v>
      </c>
      <c r="BB13" s="13"/>
      <c r="BC13" s="13"/>
      <c r="BH13" s="26" t="str">
        <f>BH$5</f>
        <v>3-SEC</v>
      </c>
    </row>
    <row r="14" spans="1:152" x14ac:dyDescent="0.25">
      <c r="A14" t="str">
        <f>IF(AND(J14&lt;&gt;"None",ROUND(I14,0)&gt;=10,ProductLine="AXC"),"Bolt on Angle (Broke) 10","")</f>
        <v/>
      </c>
      <c r="B14" s="13" t="str">
        <f t="shared" si="1"/>
        <v>AXC</v>
      </c>
      <c r="C14" s="12" t="s">
        <v>4</v>
      </c>
      <c r="D14" s="13" t="str">
        <f t="shared" si="2"/>
        <v>AXC materials:SA-36</v>
      </c>
      <c r="E14" s="26" t="str">
        <f t="shared" si="7"/>
        <v>L2.5x2.5x0.25</v>
      </c>
      <c r="F14" s="55">
        <f t="shared" si="3"/>
        <v>360</v>
      </c>
      <c r="G14" s="13">
        <f t="shared" si="3"/>
        <v>0</v>
      </c>
      <c r="H14" s="13">
        <f t="shared" si="3"/>
        <v>0.99999999999999922</v>
      </c>
      <c r="I14" s="13">
        <f t="shared" si="3"/>
        <v>15.999999999999998</v>
      </c>
      <c r="J14" s="14" t="str">
        <f t="shared" si="3"/>
        <v>None</v>
      </c>
      <c r="K14" s="13" t="str">
        <f>Data!C$8</f>
        <v>S</v>
      </c>
      <c r="L14" s="13" t="str">
        <f>Data!D$8</f>
        <v>S</v>
      </c>
      <c r="M14" s="13" t="str">
        <f>Data!E$8</f>
        <v>S</v>
      </c>
      <c r="N14" s="13" t="str">
        <f>Data!F$8</f>
        <v>S</v>
      </c>
      <c r="O14" s="13" t="str">
        <f>Data!G$8</f>
        <v>S</v>
      </c>
      <c r="P14" s="13" t="str">
        <f>Data!H$8</f>
        <v>S</v>
      </c>
      <c r="Q14" s="13" t="str">
        <f>Data!I$8</f>
        <v>S</v>
      </c>
      <c r="R14" s="13" t="str">
        <f>Data!J$8</f>
        <v>S</v>
      </c>
      <c r="S14" s="13" t="str">
        <f>Data!K$8</f>
        <v>S</v>
      </c>
      <c r="T14" s="13" t="str">
        <f>Data!L$8</f>
        <v>S</v>
      </c>
      <c r="U14" s="13" t="str">
        <f>Data!M$8</f>
        <v>S</v>
      </c>
      <c r="V14" s="13" t="str">
        <f>Data!N$8</f>
        <v>S</v>
      </c>
      <c r="W14" s="14" t="str">
        <f>Data!O$8</f>
        <v>S</v>
      </c>
      <c r="X14" s="12">
        <f>IF(J14="Rear",Data!P$8+(9*G14),0.5+(ABS(I14-9)*G14))</f>
        <v>0.5</v>
      </c>
      <c r="Y14" s="36">
        <f t="shared" si="4"/>
        <v>0.5</v>
      </c>
      <c r="Z14" s="49">
        <f t="shared" si="8"/>
        <v>0.625</v>
      </c>
      <c r="AA14" s="49" t="str">
        <f t="shared" si="9"/>
        <v>S</v>
      </c>
      <c r="AB14" s="49" t="str">
        <f t="shared" si="10"/>
        <v>U</v>
      </c>
      <c r="AC14" s="13" t="str">
        <f>Data!T$8</f>
        <v>U</v>
      </c>
      <c r="AD14" s="13" t="str">
        <f>Data!R$8</f>
        <v>U</v>
      </c>
      <c r="AE14" s="13" t="str">
        <f>Data!S$8</f>
        <v>U</v>
      </c>
      <c r="AF14" s="13" t="str">
        <f>Data!T$8</f>
        <v>U</v>
      </c>
      <c r="AG14" s="13" t="str">
        <f>Data!U$8</f>
        <v>U</v>
      </c>
      <c r="AH14" s="13" t="str">
        <f>Data!V$8</f>
        <v>U</v>
      </c>
      <c r="AI14" s="23" t="str">
        <f t="shared" si="11"/>
        <v>U</v>
      </c>
      <c r="AJ14" s="23" t="str">
        <f t="shared" si="12"/>
        <v>S</v>
      </c>
      <c r="AK14" s="24" t="str">
        <f t="shared" si="13"/>
        <v>S</v>
      </c>
      <c r="AL14" s="24" t="str">
        <f t="shared" si="5"/>
        <v>S</v>
      </c>
      <c r="AM14" s="24" t="str">
        <f t="shared" si="5"/>
        <v>S</v>
      </c>
      <c r="AN14" s="24">
        <f t="shared" si="5"/>
        <v>2.5</v>
      </c>
      <c r="AO14" s="24">
        <f t="shared" si="5"/>
        <v>2.5</v>
      </c>
      <c r="AP14" s="24">
        <f t="shared" si="5"/>
        <v>0.25</v>
      </c>
      <c r="AQ14" s="24">
        <f t="shared" si="5"/>
        <v>0.18750000000000003</v>
      </c>
      <c r="AR14" s="24">
        <f t="shared" si="5"/>
        <v>0.18750000000000003</v>
      </c>
      <c r="AS14" s="24">
        <f t="shared" si="5"/>
        <v>6.2699999999999978E-2</v>
      </c>
      <c r="AT14" s="28" t="str">
        <f t="shared" si="14"/>
        <v>.3</v>
      </c>
      <c r="AU14" s="56" t="str">
        <f t="shared" si="15"/>
        <v>3</v>
      </c>
      <c r="AV14" s="26" t="str">
        <f t="shared" si="6"/>
        <v>3-TTS</v>
      </c>
      <c r="AW14" s="26" t="str">
        <f t="shared" si="16"/>
        <v>3-SEC</v>
      </c>
      <c r="AX14" s="26" t="str">
        <f t="shared" si="17"/>
        <v>000000</v>
      </c>
      <c r="AY14" s="13" t="str">
        <f>Data!X$8</f>
        <v xml:space="preserve"> </v>
      </c>
      <c r="AZ14" s="13"/>
      <c r="BA14" s="13" t="str">
        <f>Data!W$8</f>
        <v>TOP TUBE SUPPORT, BOLT ON</v>
      </c>
      <c r="BB14" s="13"/>
      <c r="BC14" s="13"/>
      <c r="BH14" s="26" t="str">
        <f>BH$5</f>
        <v>3-SEC</v>
      </c>
    </row>
    <row r="15" spans="1:152" s="3" customFormat="1" x14ac:dyDescent="0.25">
      <c r="A15" s="2"/>
      <c r="C15" s="2"/>
      <c r="K15" s="2"/>
      <c r="L15" s="2"/>
      <c r="M15" s="2"/>
      <c r="N15" s="7"/>
      <c r="O15" s="7"/>
      <c r="P15" s="2"/>
      <c r="Q15" s="2"/>
      <c r="R15" s="2"/>
      <c r="S15" s="7"/>
      <c r="T15" s="2"/>
      <c r="U15" s="2"/>
      <c r="V15" s="2"/>
      <c r="W15" s="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5"/>
      <c r="AJ15" s="30"/>
      <c r="AK15" s="1"/>
      <c r="AL15" s="1"/>
      <c r="AM15" s="1"/>
      <c r="AN15" s="1"/>
      <c r="AO15" s="1"/>
      <c r="AP15" s="1"/>
      <c r="AQ15" s="1"/>
      <c r="AR15" s="1"/>
      <c r="AS15" s="6"/>
      <c r="AT15" s="27"/>
      <c r="AY15" s="20"/>
      <c r="AZ15" s="2"/>
    </row>
    <row r="16" spans="1:152" ht="14.25" customHeight="1" x14ac:dyDescent="0.25">
      <c r="B16" s="63" t="str">
        <f>IF(ProductLine="Hammco", "For Hammco jobs remmber to right click on the cut list item folder &amp; click ''Exclude from cut list''","")</f>
        <v/>
      </c>
      <c r="C16" s="63"/>
      <c r="BA16"/>
      <c r="BB16"/>
      <c r="BC16"/>
    </row>
    <row r="17" spans="2:30" x14ac:dyDescent="0.25">
      <c r="B17" s="63"/>
      <c r="C17" s="63"/>
    </row>
    <row r="18" spans="2:30" x14ac:dyDescent="0.25">
      <c r="B18" s="63"/>
      <c r="C18" s="63"/>
    </row>
    <row r="19" spans="2:30" x14ac:dyDescent="0.25">
      <c r="B19" s="63"/>
      <c r="C19" s="63"/>
    </row>
    <row r="20" spans="2:30" x14ac:dyDescent="0.25">
      <c r="C20"/>
    </row>
    <row r="21" spans="2:30" x14ac:dyDescent="0.25">
      <c r="C21"/>
    </row>
    <row r="22" spans="2:30" x14ac:dyDescent="0.25">
      <c r="AD22" s="4"/>
    </row>
    <row r="23" spans="2:30" x14ac:dyDescent="0.25">
      <c r="AD23" s="4"/>
    </row>
    <row r="24" spans="2:30" x14ac:dyDescent="0.25">
      <c r="AD24" s="4"/>
    </row>
    <row r="25" spans="2:30" x14ac:dyDescent="0.25">
      <c r="AD25" s="4"/>
    </row>
  </sheetData>
  <mergeCells count="3">
    <mergeCell ref="AJ2:AS2"/>
    <mergeCell ref="F2:J2"/>
    <mergeCell ref="B16:C19"/>
  </mergeCells>
  <conditionalFormatting sqref="B16">
    <cfRule type="expression" dxfId="2" priority="1">
      <formula>$B$16&lt;&gt;""</formula>
    </cfRule>
  </conditionalFormatting>
  <conditionalFormatting sqref="E3:E5">
    <cfRule type="expression" dxfId="1" priority="4">
      <formula>$B$5="AXC"</formula>
    </cfRule>
  </conditionalFormatting>
  <conditionalFormatting sqref="E6:E14">
    <cfRule type="expression" dxfId="0" priority="5">
      <formula>$B$5="AXC"</formula>
    </cfRule>
  </conditionalFormatting>
  <dataValidations count="12">
    <dataValidation showInputMessage="1" showErrorMessage="1" errorTitle="SOLIDWORKS Error:" error="The value you have entered is invalid.  Please enter a valid value before continuing." promptTitle="Angle Ref@Slope" prompt="Enter a valid value for this parameter." sqref="F5" xr:uid="{00000000-0002-0000-0000-000000000000}"/>
    <dataValidation showInputMessage="1" showErrorMessage="1" errorTitle="SOLIDWORKS Error:" error="The value you have entered is invalid.  Please enter a valid value before continuing." promptTitle="Rise Ref@Slope" prompt="Enter a valid value for this parameter." sqref="G5" xr:uid="{00000000-0002-0000-0000-000001000000}"/>
    <dataValidation allowBlank="1" promptTitle="$LIBRARY:MATERIAL@000000_S01c_TT" prompt="Select a material to apply to this configuration. A valid material entry follows the form 'Library:Material'" sqref="D5" xr:uid="{00000000-0002-0000-0000-000003000000}"/>
    <dataValidation type="list" allowBlank="1" showInputMessage="1" sqref="C5" xr:uid="{00000000-0002-0000-0000-000004000000}">
      <formula1>TTS_List</formula1>
    </dataValidation>
    <dataValidation allowBlank="1" sqref="C6:C14" xr:uid="{00000000-0002-0000-0000-000005000000}"/>
    <dataValidation showInputMessage="1" showErrorMessage="1" errorTitle="SOLIDWORKS Error:" error="The value you have entered is invalid.  Please enter a valid value before continuing." promptTitle="TTS Type Ref@Side Frame Ref" prompt="Enter a valid value for this parameter." sqref="H5" xr:uid="{00000000-0002-0000-0000-000006000000}"/>
    <dataValidation type="list" allowBlank="1" promptTitle="$LIBRARY:MATERIAL@000000_S01c_TT" prompt="Select a material to apply to this configuration. A valid material entry follows the form 'Library:Material'" sqref="E5" xr:uid="{00000000-0002-0000-0000-000007000000}">
      <formula1>L_Angle_List</formula1>
    </dataValidation>
    <dataValidation showInputMessage="1" showErrorMessage="1" errorTitle="SOLIDWORKS Error:" error="The value you have entered is invalid.  Please enter a valid value before continuing." promptTitle="H_leg@Sketch113" prompt="Enter a valid value for this parameter." sqref="AN5:AS5" xr:uid="{00000000-0002-0000-0000-000008000000}"/>
    <dataValidation showInputMessage="1" showErrorMessage="1" errorTitle="SOLIDWORKS Error:" error="The value you have entered is invalid.  Please enter a valid value before continuing." promptTitle="TTS QTY Ref@Side Frame Ref" prompt="Enter a valid value for this parameter." sqref="I5" xr:uid="{00000000-0002-0000-0000-000009000000}"/>
    <dataValidation allowBlank="1" showInputMessage="1" promptTitle="$Prp@Length" prompt="&quot;Length@TTS Layout (Hammco)@@Default@000000_S03_TTS.SLDPRT&quot;" sqref="BC5" xr:uid="{00000000-0002-0000-0000-00000A000000}"/>
    <dataValidation errorTitle="SOLIDWORKS Error:" error="The value you have entered is invalid.  Please enter a valid value before continuing." promptTitle="TTS QTY Ref@Side Frame Ref" prompt="Enter a valid value for this parameter." sqref="B5" xr:uid="{00000000-0002-0000-0000-00000B000000}"/>
    <dataValidation allowBlank="1" promptTitle="$PRP@PartNo" prompt="1-2X-TTS" sqref="AV5 AW5 BH5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D163"/>
  <sheetViews>
    <sheetView workbookViewId="0">
      <selection activeCell="C21" sqref="C21"/>
    </sheetView>
  </sheetViews>
  <sheetFormatPr defaultRowHeight="15" x14ac:dyDescent="0.25"/>
  <cols>
    <col min="2" max="2" width="22.85546875" bestFit="1" customWidth="1"/>
    <col min="3" max="6" width="9.42578125" bestFit="1" customWidth="1"/>
    <col min="7" max="7" width="20" bestFit="1" customWidth="1"/>
    <col min="8" max="14" width="10" bestFit="1" customWidth="1"/>
    <col min="15" max="15" width="11.140625" bestFit="1" customWidth="1"/>
    <col min="16" max="17" width="10" bestFit="1" customWidth="1"/>
    <col min="18" max="22" width="9.42578125" bestFit="1" customWidth="1"/>
    <col min="23" max="23" width="31.7109375" customWidth="1"/>
    <col min="24" max="24" width="23.42578125" bestFit="1" customWidth="1"/>
    <col min="25" max="25" width="10" bestFit="1" customWidth="1"/>
    <col min="26" max="26" width="10.42578125" style="20" bestFit="1" customWidth="1"/>
    <col min="27" max="27" width="9"/>
  </cols>
  <sheetData>
    <row r="2" spans="2:30" s="20" customFormat="1" x14ac:dyDescent="0.25"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  <c r="V2" s="20">
        <v>21</v>
      </c>
      <c r="W2" s="20">
        <v>22</v>
      </c>
      <c r="X2" s="20">
        <v>23</v>
      </c>
      <c r="Y2" s="20">
        <v>24</v>
      </c>
      <c r="Z2" s="20">
        <v>25</v>
      </c>
    </row>
    <row r="3" spans="2:30" ht="141.75" x14ac:dyDescent="0.25">
      <c r="B3" s="47" t="s">
        <v>58</v>
      </c>
      <c r="C3" s="2" t="s">
        <v>35</v>
      </c>
      <c r="D3" s="2" t="s">
        <v>0</v>
      </c>
      <c r="E3" s="2" t="s">
        <v>36</v>
      </c>
      <c r="F3" s="7" t="s">
        <v>37</v>
      </c>
      <c r="G3" s="18" t="s">
        <v>38</v>
      </c>
      <c r="H3" s="2" t="s">
        <v>39</v>
      </c>
      <c r="I3" s="2" t="s">
        <v>2</v>
      </c>
      <c r="J3" s="2" t="s">
        <v>40</v>
      </c>
      <c r="K3" s="7" t="s">
        <v>41</v>
      </c>
      <c r="L3" s="2" t="s">
        <v>42</v>
      </c>
      <c r="M3" s="2" t="s">
        <v>43</v>
      </c>
      <c r="N3" s="2" t="s">
        <v>44</v>
      </c>
      <c r="O3" s="7" t="s">
        <v>45</v>
      </c>
      <c r="P3" s="2" t="s">
        <v>46</v>
      </c>
      <c r="Q3" s="22" t="s">
        <v>68</v>
      </c>
      <c r="R3" s="2" t="s">
        <v>47</v>
      </c>
      <c r="S3" s="2" t="s">
        <v>4</v>
      </c>
      <c r="T3" s="2" t="s">
        <v>48</v>
      </c>
      <c r="U3" s="2" t="s">
        <v>49</v>
      </c>
      <c r="V3" s="2" t="s">
        <v>50</v>
      </c>
      <c r="W3" s="2" t="s">
        <v>64</v>
      </c>
      <c r="X3" s="2" t="s">
        <v>59</v>
      </c>
      <c r="Y3" s="2" t="s">
        <v>80</v>
      </c>
      <c r="Z3" s="2"/>
      <c r="AA3" s="2"/>
    </row>
    <row r="4" spans="2:30" x14ac:dyDescent="0.25">
      <c r="B4" t="s">
        <v>0</v>
      </c>
      <c r="C4" s="5" t="str">
        <f>"U"</f>
        <v>U</v>
      </c>
      <c r="D4" s="13" t="str">
        <f t="shared" ref="D4:F10" si="0">$C4</f>
        <v>U</v>
      </c>
      <c r="E4" s="13" t="str">
        <f t="shared" si="0"/>
        <v>U</v>
      </c>
      <c r="F4" s="14" t="str">
        <f t="shared" si="0"/>
        <v>U</v>
      </c>
      <c r="G4" s="15" t="str">
        <f>"S"</f>
        <v>S</v>
      </c>
      <c r="H4" s="16" t="str">
        <f>"S"</f>
        <v>S</v>
      </c>
      <c r="I4" s="13" t="str">
        <f t="shared" ref="I4:K10" si="1">$H4</f>
        <v>S</v>
      </c>
      <c r="J4" s="13" t="str">
        <f t="shared" si="1"/>
        <v>S</v>
      </c>
      <c r="K4" s="14" t="str">
        <f t="shared" si="1"/>
        <v>S</v>
      </c>
      <c r="L4" s="5" t="str">
        <f>"S"</f>
        <v>S</v>
      </c>
      <c r="M4" s="13" t="str">
        <f>$L4</f>
        <v>S</v>
      </c>
      <c r="N4" s="13" t="str">
        <f>$L4</f>
        <v>S</v>
      </c>
      <c r="O4" s="14" t="str">
        <f>$L4</f>
        <v>S</v>
      </c>
      <c r="P4" s="17">
        <v>0</v>
      </c>
      <c r="Q4" s="21">
        <v>1.5</v>
      </c>
      <c r="R4" s="5" t="str">
        <f>"S"</f>
        <v>S</v>
      </c>
      <c r="S4" s="13" t="str">
        <f t="shared" ref="S4:V10" si="2">$R4</f>
        <v>S</v>
      </c>
      <c r="T4" s="13" t="str">
        <f t="shared" si="2"/>
        <v>S</v>
      </c>
      <c r="U4" s="13" t="str">
        <f t="shared" si="2"/>
        <v>S</v>
      </c>
      <c r="V4" s="13" t="str">
        <f t="shared" si="2"/>
        <v>S</v>
      </c>
      <c r="W4" s="13" t="s">
        <v>65</v>
      </c>
      <c r="X4" s="13" t="s">
        <v>63</v>
      </c>
      <c r="Y4" s="17" t="s">
        <v>26</v>
      </c>
      <c r="Z4" s="4" t="s">
        <v>57</v>
      </c>
      <c r="AA4" s="4"/>
    </row>
    <row r="5" spans="2:30" x14ac:dyDescent="0.25">
      <c r="B5" t="s">
        <v>3</v>
      </c>
      <c r="C5" s="5" t="s">
        <v>25</v>
      </c>
      <c r="D5" s="13" t="str">
        <f t="shared" si="0"/>
        <v>U</v>
      </c>
      <c r="E5" s="13" t="str">
        <f t="shared" si="0"/>
        <v>U</v>
      </c>
      <c r="F5" s="14" t="str">
        <f t="shared" si="0"/>
        <v>U</v>
      </c>
      <c r="G5" s="15" t="str">
        <f>"S"</f>
        <v>S</v>
      </c>
      <c r="H5" s="5" t="str">
        <f>"S"</f>
        <v>S</v>
      </c>
      <c r="I5" s="13" t="str">
        <f t="shared" si="1"/>
        <v>S</v>
      </c>
      <c r="J5" s="13" t="str">
        <f t="shared" si="1"/>
        <v>S</v>
      </c>
      <c r="K5" s="14" t="str">
        <f t="shared" si="1"/>
        <v>S</v>
      </c>
      <c r="L5" s="5" t="str">
        <f>"U"</f>
        <v>U</v>
      </c>
      <c r="M5" s="13" t="str">
        <f t="shared" ref="M5:N10" si="3">$L5</f>
        <v>U</v>
      </c>
      <c r="N5" s="13" t="str">
        <f t="shared" si="3"/>
        <v>U</v>
      </c>
      <c r="O5" s="19" t="s">
        <v>26</v>
      </c>
      <c r="P5" s="17">
        <v>0</v>
      </c>
      <c r="Q5" s="21">
        <v>1.5</v>
      </c>
      <c r="R5" s="5" t="str">
        <f>"S"</f>
        <v>S</v>
      </c>
      <c r="S5" s="13" t="str">
        <f t="shared" si="2"/>
        <v>S</v>
      </c>
      <c r="T5" s="13" t="str">
        <f t="shared" si="2"/>
        <v>S</v>
      </c>
      <c r="U5" s="13" t="str">
        <f t="shared" si="2"/>
        <v>S</v>
      </c>
      <c r="V5" s="13" t="str">
        <f t="shared" si="2"/>
        <v>S</v>
      </c>
      <c r="W5" s="13" t="s">
        <v>65</v>
      </c>
      <c r="X5" s="13" t="s">
        <v>63</v>
      </c>
      <c r="Y5" s="17" t="s">
        <v>26</v>
      </c>
      <c r="Z5" s="4" t="s">
        <v>57</v>
      </c>
      <c r="AA5" s="4"/>
    </row>
    <row r="6" spans="2:30" x14ac:dyDescent="0.25">
      <c r="B6" t="s">
        <v>2</v>
      </c>
      <c r="C6" s="5" t="str">
        <f>"S"</f>
        <v>S</v>
      </c>
      <c r="D6" s="13" t="str">
        <f t="shared" ref="D6:F7" si="4">$C6</f>
        <v>S</v>
      </c>
      <c r="E6" s="13" t="str">
        <f t="shared" si="4"/>
        <v>S</v>
      </c>
      <c r="F6" s="14" t="str">
        <f t="shared" si="4"/>
        <v>S</v>
      </c>
      <c r="G6" s="15" t="str">
        <f>"S"</f>
        <v>S</v>
      </c>
      <c r="H6" s="5" t="str">
        <f>"U"</f>
        <v>U</v>
      </c>
      <c r="I6" s="13" t="str">
        <f t="shared" si="1"/>
        <v>U</v>
      </c>
      <c r="J6" s="13" t="str">
        <f t="shared" si="1"/>
        <v>U</v>
      </c>
      <c r="K6" s="14" t="str">
        <f t="shared" si="1"/>
        <v>U</v>
      </c>
      <c r="L6" s="5" t="str">
        <f>"S"</f>
        <v>S</v>
      </c>
      <c r="M6" s="13" t="str">
        <f t="shared" si="3"/>
        <v>S</v>
      </c>
      <c r="N6" s="13" t="str">
        <f t="shared" si="3"/>
        <v>S</v>
      </c>
      <c r="O6" s="14" t="str">
        <f>$L6</f>
        <v>S</v>
      </c>
      <c r="P6" s="17">
        <v>0</v>
      </c>
      <c r="Q6" s="21">
        <v>0.75</v>
      </c>
      <c r="R6" s="5" t="str">
        <f>"S"</f>
        <v>S</v>
      </c>
      <c r="S6" s="13" t="str">
        <f t="shared" si="2"/>
        <v>S</v>
      </c>
      <c r="T6" s="13" t="str">
        <f t="shared" si="2"/>
        <v>S</v>
      </c>
      <c r="U6" s="13" t="str">
        <f t="shared" si="2"/>
        <v>S</v>
      </c>
      <c r="V6" s="13" t="str">
        <f t="shared" si="2"/>
        <v>S</v>
      </c>
      <c r="W6" s="13" t="s">
        <v>65</v>
      </c>
      <c r="X6" s="13" t="s">
        <v>60</v>
      </c>
      <c r="Y6" s="17" t="s">
        <v>26</v>
      </c>
      <c r="Z6" s="4" t="s">
        <v>57</v>
      </c>
      <c r="AA6" s="4"/>
    </row>
    <row r="7" spans="2:30" x14ac:dyDescent="0.25">
      <c r="B7" t="s">
        <v>78</v>
      </c>
      <c r="C7" s="5" t="str">
        <f>"S"</f>
        <v>S</v>
      </c>
      <c r="D7" s="13" t="str">
        <f t="shared" si="4"/>
        <v>S</v>
      </c>
      <c r="E7" s="13" t="str">
        <f t="shared" si="4"/>
        <v>S</v>
      </c>
      <c r="F7" s="14" t="str">
        <f t="shared" si="4"/>
        <v>S</v>
      </c>
      <c r="G7" s="15" t="str">
        <f>"S"</f>
        <v>S</v>
      </c>
      <c r="H7" s="15" t="str">
        <f>"S"</f>
        <v>S</v>
      </c>
      <c r="I7" s="13" t="str">
        <f t="shared" si="1"/>
        <v>S</v>
      </c>
      <c r="J7" s="13" t="str">
        <f t="shared" si="1"/>
        <v>S</v>
      </c>
      <c r="K7" s="14" t="str">
        <f t="shared" si="1"/>
        <v>S</v>
      </c>
      <c r="L7" s="5" t="str">
        <f>"S"</f>
        <v>S</v>
      </c>
      <c r="M7" s="13" t="str">
        <f t="shared" si="3"/>
        <v>S</v>
      </c>
      <c r="N7" s="13" t="str">
        <f t="shared" si="3"/>
        <v>S</v>
      </c>
      <c r="O7" s="14" t="str">
        <f>$L7</f>
        <v>S</v>
      </c>
      <c r="P7" s="17">
        <v>0</v>
      </c>
      <c r="Q7" s="21">
        <v>0.75</v>
      </c>
      <c r="R7" s="5" t="str">
        <f>"S"</f>
        <v>S</v>
      </c>
      <c r="S7" s="13" t="str">
        <f t="shared" si="2"/>
        <v>S</v>
      </c>
      <c r="T7" s="13" t="str">
        <f t="shared" si="2"/>
        <v>S</v>
      </c>
      <c r="U7" s="13" t="str">
        <f t="shared" si="2"/>
        <v>S</v>
      </c>
      <c r="V7" s="13" t="str">
        <f t="shared" si="2"/>
        <v>S</v>
      </c>
      <c r="W7" s="13" t="s">
        <v>65</v>
      </c>
      <c r="X7" s="13" t="s">
        <v>63</v>
      </c>
      <c r="Y7" s="17" t="s">
        <v>25</v>
      </c>
      <c r="Z7" s="4" t="s">
        <v>57</v>
      </c>
      <c r="AA7" s="4"/>
    </row>
    <row r="8" spans="2:30" x14ac:dyDescent="0.25">
      <c r="B8" t="s">
        <v>4</v>
      </c>
      <c r="C8" s="5" t="str">
        <f>"S"</f>
        <v>S</v>
      </c>
      <c r="D8" s="13" t="str">
        <f t="shared" si="0"/>
        <v>S</v>
      </c>
      <c r="E8" s="13" t="str">
        <f t="shared" si="0"/>
        <v>S</v>
      </c>
      <c r="F8" s="14" t="str">
        <f t="shared" si="0"/>
        <v>S</v>
      </c>
      <c r="G8" s="15" t="str">
        <f>"S"</f>
        <v>S</v>
      </c>
      <c r="H8" s="5" t="str">
        <f>"S"</f>
        <v>S</v>
      </c>
      <c r="I8" s="13" t="str">
        <f t="shared" si="1"/>
        <v>S</v>
      </c>
      <c r="J8" s="13" t="str">
        <f t="shared" si="1"/>
        <v>S</v>
      </c>
      <c r="K8" s="14" t="str">
        <f t="shared" si="1"/>
        <v>S</v>
      </c>
      <c r="L8" s="5" t="str">
        <f>"S"</f>
        <v>S</v>
      </c>
      <c r="M8" s="13" t="str">
        <f t="shared" si="3"/>
        <v>S</v>
      </c>
      <c r="N8" s="13" t="str">
        <f t="shared" si="3"/>
        <v>S</v>
      </c>
      <c r="O8" s="14" t="str">
        <f>$L8</f>
        <v>S</v>
      </c>
      <c r="P8" s="17">
        <v>0.5</v>
      </c>
      <c r="Q8" s="21">
        <v>1.5</v>
      </c>
      <c r="R8" s="5" t="str">
        <f>"U"</f>
        <v>U</v>
      </c>
      <c r="S8" s="13" t="str">
        <f t="shared" si="2"/>
        <v>U</v>
      </c>
      <c r="T8" s="13" t="str">
        <f t="shared" si="2"/>
        <v>U</v>
      </c>
      <c r="U8" s="13" t="str">
        <f t="shared" si="2"/>
        <v>U</v>
      </c>
      <c r="V8" s="13" t="str">
        <f t="shared" si="2"/>
        <v>U</v>
      </c>
      <c r="W8" s="13" t="s">
        <v>65</v>
      </c>
      <c r="X8" s="13" t="s">
        <v>63</v>
      </c>
      <c r="Y8" s="17" t="s">
        <v>26</v>
      </c>
      <c r="Z8" s="4" t="s">
        <v>57</v>
      </c>
      <c r="AA8" s="4"/>
    </row>
    <row r="9" spans="2:30" x14ac:dyDescent="0.25">
      <c r="B9" t="s">
        <v>1</v>
      </c>
      <c r="C9" s="5" t="str">
        <f>"S"</f>
        <v>S</v>
      </c>
      <c r="D9" s="13" t="str">
        <f t="shared" si="0"/>
        <v>S</v>
      </c>
      <c r="E9" s="13" t="str">
        <f t="shared" si="0"/>
        <v>S</v>
      </c>
      <c r="F9" s="14" t="str">
        <f t="shared" si="0"/>
        <v>S</v>
      </c>
      <c r="G9" s="15" t="str">
        <f>"U"</f>
        <v>U</v>
      </c>
      <c r="H9" s="5" t="str">
        <f>"S"</f>
        <v>S</v>
      </c>
      <c r="I9" s="13" t="str">
        <f t="shared" si="1"/>
        <v>S</v>
      </c>
      <c r="J9" s="13" t="str">
        <f t="shared" si="1"/>
        <v>S</v>
      </c>
      <c r="K9" s="14" t="str">
        <f t="shared" si="1"/>
        <v>S</v>
      </c>
      <c r="L9" s="5" t="str">
        <f>"S"</f>
        <v>S</v>
      </c>
      <c r="M9" s="13" t="str">
        <f t="shared" si="3"/>
        <v>S</v>
      </c>
      <c r="N9" s="13" t="str">
        <f t="shared" si="3"/>
        <v>S</v>
      </c>
      <c r="O9" s="14" t="str">
        <f>$L9</f>
        <v>S</v>
      </c>
      <c r="P9" s="17">
        <v>0.125</v>
      </c>
      <c r="Q9" s="21">
        <v>1.5</v>
      </c>
      <c r="R9" s="5" t="str">
        <f>"S"</f>
        <v>S</v>
      </c>
      <c r="S9" s="13" t="str">
        <f t="shared" si="2"/>
        <v>S</v>
      </c>
      <c r="T9" s="13" t="str">
        <f t="shared" si="2"/>
        <v>S</v>
      </c>
      <c r="U9" s="13" t="str">
        <f t="shared" si="2"/>
        <v>S</v>
      </c>
      <c r="V9" s="13" t="str">
        <f t="shared" si="2"/>
        <v>S</v>
      </c>
      <c r="W9" s="13" t="s">
        <v>66</v>
      </c>
      <c r="X9" s="13" t="s">
        <v>63</v>
      </c>
      <c r="Y9" s="17" t="s">
        <v>26</v>
      </c>
      <c r="Z9" s="4" t="s">
        <v>57</v>
      </c>
      <c r="AA9" s="4"/>
    </row>
    <row r="10" spans="2:30" x14ac:dyDescent="0.25">
      <c r="B10" t="s">
        <v>28</v>
      </c>
      <c r="C10" s="5" t="str">
        <f>"S"</f>
        <v>S</v>
      </c>
      <c r="D10" s="13" t="str">
        <f t="shared" si="0"/>
        <v>S</v>
      </c>
      <c r="E10" s="13" t="str">
        <f t="shared" si="0"/>
        <v>S</v>
      </c>
      <c r="F10" s="14" t="str">
        <f t="shared" si="0"/>
        <v>S</v>
      </c>
      <c r="G10" s="15" t="str">
        <f>"U"</f>
        <v>U</v>
      </c>
      <c r="H10" s="5" t="str">
        <f>"S"</f>
        <v>S</v>
      </c>
      <c r="I10" s="13" t="str">
        <f t="shared" si="1"/>
        <v>S</v>
      </c>
      <c r="J10" s="13" t="str">
        <f t="shared" si="1"/>
        <v>S</v>
      </c>
      <c r="K10" s="14" t="str">
        <f t="shared" si="1"/>
        <v>S</v>
      </c>
      <c r="L10" s="5" t="s">
        <v>25</v>
      </c>
      <c r="M10" s="13" t="str">
        <f t="shared" si="3"/>
        <v>U</v>
      </c>
      <c r="N10" s="13" t="str">
        <f t="shared" si="3"/>
        <v>U</v>
      </c>
      <c r="O10" s="14" t="str">
        <f>$L10</f>
        <v>U</v>
      </c>
      <c r="P10" s="17">
        <v>0.125</v>
      </c>
      <c r="Q10" s="21">
        <v>1.5</v>
      </c>
      <c r="R10" s="5" t="str">
        <f>"S"</f>
        <v>S</v>
      </c>
      <c r="S10" s="13" t="str">
        <f t="shared" si="2"/>
        <v>S</v>
      </c>
      <c r="T10" s="13" t="str">
        <f t="shared" si="2"/>
        <v>S</v>
      </c>
      <c r="U10" s="13" t="str">
        <f t="shared" si="2"/>
        <v>S</v>
      </c>
      <c r="V10" s="13" t="str">
        <f t="shared" si="2"/>
        <v>S</v>
      </c>
      <c r="W10" s="13" t="s">
        <v>66</v>
      </c>
      <c r="X10" s="13" t="s">
        <v>63</v>
      </c>
      <c r="Y10" s="17" t="s">
        <v>26</v>
      </c>
      <c r="Z10" s="4" t="s">
        <v>57</v>
      </c>
      <c r="AA10" s="4"/>
    </row>
    <row r="11" spans="2:30" s="20" customFormat="1" x14ac:dyDescent="0.25">
      <c r="B11" s="20" t="s">
        <v>56</v>
      </c>
      <c r="C11" s="4" t="s">
        <v>56</v>
      </c>
      <c r="D11" s="4" t="s">
        <v>56</v>
      </c>
      <c r="E11" s="4" t="s">
        <v>56</v>
      </c>
      <c r="F11" s="4" t="s">
        <v>56</v>
      </c>
      <c r="G11" s="4" t="s">
        <v>56</v>
      </c>
      <c r="H11" s="4" t="s">
        <v>56</v>
      </c>
      <c r="I11" s="4" t="s">
        <v>56</v>
      </c>
      <c r="J11" s="4" t="s">
        <v>56</v>
      </c>
      <c r="K11" s="4" t="s">
        <v>56</v>
      </c>
      <c r="L11" s="4" t="s">
        <v>56</v>
      </c>
      <c r="M11" s="4" t="s">
        <v>56</v>
      </c>
      <c r="N11" s="4" t="s">
        <v>56</v>
      </c>
      <c r="O11" s="4" t="s">
        <v>56</v>
      </c>
      <c r="P11" s="4" t="s">
        <v>56</v>
      </c>
      <c r="Q11" s="4" t="s">
        <v>56</v>
      </c>
      <c r="R11" s="4" t="s">
        <v>56</v>
      </c>
      <c r="S11" s="4" t="s">
        <v>56</v>
      </c>
      <c r="T11" s="4" t="s">
        <v>56</v>
      </c>
      <c r="U11" s="4" t="s">
        <v>56</v>
      </c>
      <c r="V11" s="4" t="s">
        <v>56</v>
      </c>
      <c r="W11" s="4" t="s">
        <v>56</v>
      </c>
      <c r="X11" s="4" t="s">
        <v>56</v>
      </c>
      <c r="Y11" s="4" t="s">
        <v>56</v>
      </c>
      <c r="Z11" s="4" t="s">
        <v>57</v>
      </c>
    </row>
    <row r="13" spans="2:30" x14ac:dyDescent="0.25">
      <c r="B13" s="20">
        <v>1</v>
      </c>
      <c r="C13" s="20">
        <v>2</v>
      </c>
      <c r="G13" s="20">
        <v>1</v>
      </c>
      <c r="H13" s="20">
        <v>2</v>
      </c>
      <c r="I13" s="20">
        <v>3</v>
      </c>
      <c r="J13" s="20">
        <v>4</v>
      </c>
      <c r="K13" s="20">
        <v>5</v>
      </c>
      <c r="L13" s="20">
        <v>6</v>
      </c>
      <c r="M13" s="20">
        <v>7</v>
      </c>
      <c r="N13" s="20">
        <v>8</v>
      </c>
      <c r="O13" s="20">
        <v>9</v>
      </c>
      <c r="P13" s="20"/>
      <c r="Q13" s="20"/>
      <c r="R13" s="20"/>
      <c r="Z13"/>
      <c r="AD13" s="20"/>
    </row>
    <row r="14" spans="2:30" ht="97.5" x14ac:dyDescent="0.25">
      <c r="B14" t="s">
        <v>71</v>
      </c>
      <c r="G14" t="s">
        <v>99</v>
      </c>
      <c r="H14" s="40" t="s">
        <v>100</v>
      </c>
      <c r="I14" s="40" t="s">
        <v>101</v>
      </c>
      <c r="J14" s="40" t="s">
        <v>102</v>
      </c>
      <c r="K14" s="40" t="s">
        <v>103</v>
      </c>
      <c r="L14" s="40" t="s">
        <v>104</v>
      </c>
      <c r="M14" s="40" t="s">
        <v>105</v>
      </c>
      <c r="N14" s="40" t="s">
        <v>106</v>
      </c>
      <c r="O14" s="20" t="s">
        <v>57</v>
      </c>
      <c r="P14" s="20"/>
      <c r="Q14" s="20"/>
      <c r="R14" s="20"/>
      <c r="Z14"/>
      <c r="AD14" s="20"/>
    </row>
    <row r="15" spans="2:30" x14ac:dyDescent="0.25">
      <c r="B15" s="20">
        <v>1</v>
      </c>
      <c r="C15" t="s">
        <v>2</v>
      </c>
      <c r="G15" t="s">
        <v>114</v>
      </c>
      <c r="H15" s="20">
        <v>1.5000000000000002</v>
      </c>
      <c r="I15" s="20">
        <v>1.5000000000000002</v>
      </c>
      <c r="J15" s="20">
        <v>0.18750000000000003</v>
      </c>
      <c r="K15" s="20">
        <v>0.18750000000000003</v>
      </c>
      <c r="L15" s="20">
        <v>0.18750000000000003</v>
      </c>
      <c r="M15" s="20">
        <v>2.0000000000000001E-4</v>
      </c>
      <c r="N15" s="20" t="s">
        <v>115</v>
      </c>
      <c r="O15" s="20" t="s">
        <v>109</v>
      </c>
      <c r="P15" s="20"/>
      <c r="Q15" s="20"/>
      <c r="R15" s="20"/>
      <c r="Z15"/>
      <c r="AD15" s="20"/>
    </row>
    <row r="16" spans="2:30" x14ac:dyDescent="0.25">
      <c r="B16" s="20">
        <v>1.5</v>
      </c>
      <c r="C16" t="s">
        <v>78</v>
      </c>
      <c r="G16" t="s">
        <v>120</v>
      </c>
      <c r="H16" s="20">
        <v>2</v>
      </c>
      <c r="I16" s="20">
        <v>2</v>
      </c>
      <c r="J16" s="20">
        <v>0.18750000000000003</v>
      </c>
      <c r="K16" s="20">
        <v>0.18750000000000003</v>
      </c>
      <c r="L16" s="20">
        <v>0.18750000000000003</v>
      </c>
      <c r="M16" s="20">
        <v>2.0000000000000001E-4</v>
      </c>
      <c r="N16" s="20" t="s">
        <v>121</v>
      </c>
      <c r="O16" s="20" t="s">
        <v>109</v>
      </c>
      <c r="P16" s="20"/>
      <c r="Q16" s="20"/>
      <c r="R16" s="20"/>
      <c r="Z16"/>
      <c r="AD16" s="20"/>
    </row>
    <row r="17" spans="2:30" x14ac:dyDescent="0.25">
      <c r="B17" s="20">
        <v>2</v>
      </c>
      <c r="C17" t="s">
        <v>4</v>
      </c>
      <c r="G17" t="s">
        <v>142</v>
      </c>
      <c r="H17" s="20">
        <v>2.5</v>
      </c>
      <c r="I17" s="20">
        <v>2.5</v>
      </c>
      <c r="J17" s="20">
        <v>0.18750000000000003</v>
      </c>
      <c r="K17" s="20">
        <v>0.18750000000000003</v>
      </c>
      <c r="L17" s="20">
        <v>0.18750000000000003</v>
      </c>
      <c r="M17" s="20">
        <v>2.0000000000000001E-4</v>
      </c>
      <c r="N17" s="20" t="s">
        <v>143</v>
      </c>
      <c r="O17" s="20" t="s">
        <v>109</v>
      </c>
      <c r="P17" s="20"/>
      <c r="Q17" s="20"/>
      <c r="R17" s="20"/>
      <c r="Z17"/>
      <c r="AD17" s="20"/>
    </row>
    <row r="18" spans="2:30" x14ac:dyDescent="0.25">
      <c r="B18" s="20">
        <v>3</v>
      </c>
      <c r="C18" t="s">
        <v>0</v>
      </c>
      <c r="G18" s="41" t="s">
        <v>280</v>
      </c>
      <c r="H18" s="20" t="s">
        <v>281</v>
      </c>
      <c r="I18" s="20" t="s">
        <v>281</v>
      </c>
      <c r="J18" s="20" t="s">
        <v>281</v>
      </c>
      <c r="K18" s="20" t="s">
        <v>281</v>
      </c>
      <c r="L18" s="20" t="s">
        <v>281</v>
      </c>
      <c r="M18" s="20" t="s">
        <v>281</v>
      </c>
      <c r="N18" s="20" t="s">
        <v>281</v>
      </c>
      <c r="O18" s="20" t="s">
        <v>57</v>
      </c>
      <c r="P18" s="20"/>
      <c r="Q18" s="20"/>
      <c r="R18" s="20"/>
      <c r="Z18"/>
      <c r="AD18" s="20"/>
    </row>
    <row r="19" spans="2:30" x14ac:dyDescent="0.25">
      <c r="B19" s="20">
        <v>4</v>
      </c>
      <c r="C19" t="s">
        <v>3</v>
      </c>
      <c r="G19" t="s">
        <v>116</v>
      </c>
      <c r="H19" s="20">
        <v>1.5000000000000002</v>
      </c>
      <c r="I19" s="20">
        <v>1.5000000000000002</v>
      </c>
      <c r="J19" s="20">
        <v>0.25</v>
      </c>
      <c r="K19" s="20">
        <v>0.18750000000000003</v>
      </c>
      <c r="L19" s="20">
        <v>0.18750000000000003</v>
      </c>
      <c r="M19" s="20">
        <v>6.2699999999999978E-2</v>
      </c>
      <c r="N19" s="20"/>
      <c r="O19" s="20" t="s">
        <v>109</v>
      </c>
      <c r="P19" s="20"/>
      <c r="Q19" s="20"/>
      <c r="R19" s="20"/>
      <c r="Z19"/>
      <c r="AD19" s="20"/>
    </row>
    <row r="20" spans="2:30" x14ac:dyDescent="0.25">
      <c r="B20" s="20">
        <v>5</v>
      </c>
      <c r="C20" t="s">
        <v>1</v>
      </c>
      <c r="G20" t="s">
        <v>122</v>
      </c>
      <c r="H20" s="20">
        <v>2</v>
      </c>
      <c r="I20" s="20">
        <v>2</v>
      </c>
      <c r="J20" s="20">
        <v>0.25</v>
      </c>
      <c r="K20" s="20">
        <v>0.18750000000000003</v>
      </c>
      <c r="L20" s="20">
        <v>0.18750000000000003</v>
      </c>
      <c r="M20" s="20">
        <v>6.2699999999999978E-2</v>
      </c>
      <c r="N20" s="20" t="s">
        <v>123</v>
      </c>
      <c r="O20" s="20" t="s">
        <v>109</v>
      </c>
      <c r="P20" s="20"/>
      <c r="Q20" s="20"/>
      <c r="R20" s="20"/>
      <c r="Z20"/>
      <c r="AD20" s="20"/>
    </row>
    <row r="21" spans="2:30" x14ac:dyDescent="0.25">
      <c r="B21" s="20">
        <v>6</v>
      </c>
      <c r="C21" t="s">
        <v>28</v>
      </c>
      <c r="G21" t="s">
        <v>144</v>
      </c>
      <c r="H21" s="20">
        <v>2.5</v>
      </c>
      <c r="I21" s="20">
        <v>2.5</v>
      </c>
      <c r="J21" s="20">
        <v>0.25</v>
      </c>
      <c r="K21" s="20">
        <v>0.18750000000000003</v>
      </c>
      <c r="L21" s="20">
        <v>0.18750000000000003</v>
      </c>
      <c r="M21" s="20">
        <v>6.2699999999999978E-2</v>
      </c>
      <c r="N21" s="20" t="s">
        <v>145</v>
      </c>
      <c r="O21" s="20" t="s">
        <v>109</v>
      </c>
      <c r="P21" s="20"/>
      <c r="Q21" s="20"/>
      <c r="R21" s="20"/>
      <c r="Z21"/>
      <c r="AD21" s="20"/>
    </row>
    <row r="22" spans="2:30" x14ac:dyDescent="0.25">
      <c r="B22" t="s">
        <v>56</v>
      </c>
      <c r="G22" s="41" t="s">
        <v>287</v>
      </c>
      <c r="H22" s="20" t="s">
        <v>281</v>
      </c>
      <c r="I22" s="20" t="s">
        <v>281</v>
      </c>
      <c r="J22" s="20" t="s">
        <v>281</v>
      </c>
      <c r="K22" s="20" t="s">
        <v>281</v>
      </c>
      <c r="L22" s="20" t="s">
        <v>281</v>
      </c>
      <c r="M22" s="20" t="s">
        <v>281</v>
      </c>
      <c r="N22" s="20" t="s">
        <v>281</v>
      </c>
      <c r="O22" s="20" t="s">
        <v>57</v>
      </c>
    </row>
    <row r="23" spans="2:30" x14ac:dyDescent="0.25">
      <c r="G23" s="41" t="s">
        <v>288</v>
      </c>
      <c r="H23" s="20" t="s">
        <v>281</v>
      </c>
      <c r="I23" s="20" t="s">
        <v>281</v>
      </c>
      <c r="J23" s="20" t="s">
        <v>281</v>
      </c>
      <c r="K23" s="20" t="s">
        <v>281</v>
      </c>
      <c r="L23" s="20" t="s">
        <v>281</v>
      </c>
      <c r="M23" s="20" t="s">
        <v>281</v>
      </c>
      <c r="N23" s="20" t="s">
        <v>281</v>
      </c>
      <c r="O23" s="20" t="s">
        <v>57</v>
      </c>
    </row>
    <row r="24" spans="2:30" x14ac:dyDescent="0.25">
      <c r="G24" t="s">
        <v>107</v>
      </c>
      <c r="H24" s="41">
        <v>1</v>
      </c>
      <c r="I24" s="41">
        <v>1</v>
      </c>
      <c r="J24" s="41">
        <v>0.125</v>
      </c>
      <c r="K24" s="41">
        <v>0.18750000000000003</v>
      </c>
      <c r="L24" s="41">
        <v>0.125</v>
      </c>
      <c r="M24">
        <v>2.0000000000000001E-4</v>
      </c>
      <c r="N24" t="s">
        <v>108</v>
      </c>
      <c r="O24" t="s">
        <v>109</v>
      </c>
    </row>
    <row r="25" spans="2:30" x14ac:dyDescent="0.25">
      <c r="G25" t="s">
        <v>110</v>
      </c>
      <c r="H25" s="41">
        <v>1.125</v>
      </c>
      <c r="I25" s="41">
        <v>1.125</v>
      </c>
      <c r="J25" s="41">
        <v>0.125</v>
      </c>
      <c r="K25" s="41">
        <v>0.18750000000000003</v>
      </c>
      <c r="L25" s="41">
        <v>0.125</v>
      </c>
      <c r="M25">
        <v>2.0000000000000001E-4</v>
      </c>
      <c r="O25" t="s">
        <v>109</v>
      </c>
    </row>
    <row r="26" spans="2:30" x14ac:dyDescent="0.25">
      <c r="G26" t="s">
        <v>111</v>
      </c>
      <c r="H26" s="41">
        <v>1.25</v>
      </c>
      <c r="I26" s="41">
        <v>1.25</v>
      </c>
      <c r="J26" s="41">
        <v>0.18750000000000003</v>
      </c>
      <c r="K26" s="41">
        <v>0.18750000000000003</v>
      </c>
      <c r="L26" s="41">
        <v>0.18750000000000003</v>
      </c>
      <c r="M26">
        <v>2.0000000000000001E-4</v>
      </c>
      <c r="N26" t="s">
        <v>112</v>
      </c>
      <c r="O26" t="s">
        <v>109</v>
      </c>
    </row>
    <row r="27" spans="2:30" x14ac:dyDescent="0.25">
      <c r="G27" t="s">
        <v>113</v>
      </c>
      <c r="H27" s="41">
        <v>1.25</v>
      </c>
      <c r="I27" s="41">
        <v>1.25</v>
      </c>
      <c r="J27" s="41">
        <v>0.25</v>
      </c>
      <c r="K27" s="41">
        <v>0.18750000000000003</v>
      </c>
      <c r="L27" s="41">
        <v>0.18750000000000003</v>
      </c>
      <c r="M27">
        <v>6.2699999999999978E-2</v>
      </c>
      <c r="O27" t="s">
        <v>109</v>
      </c>
    </row>
    <row r="28" spans="2:30" x14ac:dyDescent="0.25">
      <c r="G28" t="s">
        <v>114</v>
      </c>
      <c r="H28" s="41">
        <v>1.5000000000000002</v>
      </c>
      <c r="I28" s="41">
        <v>1.5000000000000002</v>
      </c>
      <c r="J28" s="41">
        <v>0.18750000000000003</v>
      </c>
      <c r="K28" s="41">
        <v>0.18750000000000003</v>
      </c>
      <c r="L28" s="41">
        <v>0.18750000000000003</v>
      </c>
      <c r="M28">
        <v>2.0000000000000001E-4</v>
      </c>
      <c r="N28" t="s">
        <v>115</v>
      </c>
      <c r="O28" t="s">
        <v>109</v>
      </c>
    </row>
    <row r="29" spans="2:30" x14ac:dyDescent="0.25">
      <c r="G29" t="s">
        <v>116</v>
      </c>
      <c r="H29" s="41">
        <v>1.5000000000000002</v>
      </c>
      <c r="I29" s="41">
        <v>1.5000000000000002</v>
      </c>
      <c r="J29" s="41">
        <v>0.25</v>
      </c>
      <c r="K29" s="41">
        <v>0.18750000000000003</v>
      </c>
      <c r="L29" s="41">
        <v>0.18750000000000003</v>
      </c>
      <c r="M29">
        <v>6.2699999999999978E-2</v>
      </c>
      <c r="O29" t="s">
        <v>109</v>
      </c>
    </row>
    <row r="30" spans="2:30" x14ac:dyDescent="0.25">
      <c r="G30" t="s">
        <v>117</v>
      </c>
      <c r="H30" s="41">
        <v>1.75</v>
      </c>
      <c r="I30" s="41">
        <v>1.75</v>
      </c>
      <c r="J30" s="41">
        <v>0.18750000000000003</v>
      </c>
      <c r="K30" s="41">
        <v>0.18750000000000003</v>
      </c>
      <c r="L30" s="41">
        <v>0.18750000000000003</v>
      </c>
      <c r="M30">
        <v>2.0000000000000001E-4</v>
      </c>
      <c r="O30" t="s">
        <v>109</v>
      </c>
    </row>
    <row r="31" spans="2:30" x14ac:dyDescent="0.25">
      <c r="G31" t="s">
        <v>118</v>
      </c>
      <c r="H31" s="41">
        <v>1.75</v>
      </c>
      <c r="I31" s="41">
        <v>1.75</v>
      </c>
      <c r="J31" s="41">
        <v>0.25</v>
      </c>
      <c r="K31" s="41">
        <v>0.18750000000000003</v>
      </c>
      <c r="L31" s="41">
        <v>0.18750000000000003</v>
      </c>
      <c r="M31">
        <v>6.2699999999999978E-2</v>
      </c>
      <c r="O31" t="s">
        <v>109</v>
      </c>
    </row>
    <row r="32" spans="2:30" x14ac:dyDescent="0.25">
      <c r="G32" t="s">
        <v>119</v>
      </c>
      <c r="H32" s="41">
        <v>2</v>
      </c>
      <c r="I32" s="41">
        <v>2</v>
      </c>
      <c r="J32" s="41">
        <v>0.125</v>
      </c>
      <c r="K32" s="41">
        <v>0.18750000000000003</v>
      </c>
      <c r="L32" s="41">
        <v>0.125</v>
      </c>
      <c r="M32">
        <v>2.0000000000000001E-4</v>
      </c>
      <c r="O32" t="s">
        <v>109</v>
      </c>
    </row>
    <row r="33" spans="7:15" x14ac:dyDescent="0.25">
      <c r="G33" t="s">
        <v>120</v>
      </c>
      <c r="H33" s="41">
        <v>2</v>
      </c>
      <c r="I33" s="41">
        <v>2</v>
      </c>
      <c r="J33" s="41">
        <v>0.18750000000000003</v>
      </c>
      <c r="K33" s="41">
        <v>0.18750000000000003</v>
      </c>
      <c r="L33" s="41">
        <v>0.18750000000000003</v>
      </c>
      <c r="M33">
        <v>2.0000000000000001E-4</v>
      </c>
      <c r="N33" t="s">
        <v>121</v>
      </c>
      <c r="O33" t="s">
        <v>109</v>
      </c>
    </row>
    <row r="34" spans="7:15" x14ac:dyDescent="0.25">
      <c r="G34" t="s">
        <v>122</v>
      </c>
      <c r="H34" s="41">
        <v>2</v>
      </c>
      <c r="I34" s="41">
        <v>2</v>
      </c>
      <c r="J34" s="41">
        <v>0.25</v>
      </c>
      <c r="K34" s="41">
        <v>0.18750000000000003</v>
      </c>
      <c r="L34" s="41">
        <v>0.18750000000000003</v>
      </c>
      <c r="M34">
        <v>6.2699999999999978E-2</v>
      </c>
      <c r="N34" t="s">
        <v>123</v>
      </c>
      <c r="O34" t="s">
        <v>109</v>
      </c>
    </row>
    <row r="35" spans="7:15" x14ac:dyDescent="0.25">
      <c r="G35" t="s">
        <v>124</v>
      </c>
      <c r="H35" s="41">
        <v>2</v>
      </c>
      <c r="I35" s="41">
        <v>2</v>
      </c>
      <c r="J35" s="41">
        <v>0.3125</v>
      </c>
      <c r="K35" s="41">
        <v>0.18750000000000003</v>
      </c>
      <c r="L35" s="41">
        <v>0.18750000000000003</v>
      </c>
      <c r="M35">
        <v>0.12519999999999998</v>
      </c>
      <c r="N35" t="s">
        <v>125</v>
      </c>
      <c r="O35" t="s">
        <v>109</v>
      </c>
    </row>
    <row r="36" spans="7:15" x14ac:dyDescent="0.25">
      <c r="G36" t="s">
        <v>126</v>
      </c>
      <c r="H36" s="41">
        <v>2</v>
      </c>
      <c r="I36" s="41">
        <v>2</v>
      </c>
      <c r="J36" s="41">
        <v>0.37500000000000006</v>
      </c>
      <c r="K36" s="41">
        <v>0.18750000000000003</v>
      </c>
      <c r="L36" s="41">
        <v>0.18750000000000003</v>
      </c>
      <c r="M36">
        <v>0.18770000000000003</v>
      </c>
      <c r="O36" t="s">
        <v>109</v>
      </c>
    </row>
    <row r="37" spans="7:15" x14ac:dyDescent="0.25">
      <c r="G37" t="s">
        <v>127</v>
      </c>
      <c r="H37" s="41">
        <v>2</v>
      </c>
      <c r="I37" s="41">
        <v>2.5</v>
      </c>
      <c r="J37" s="41">
        <v>0.18750000000000003</v>
      </c>
      <c r="K37" s="41">
        <v>0.18750000000000003</v>
      </c>
      <c r="L37" s="41">
        <v>0.18750000000000003</v>
      </c>
      <c r="M37">
        <v>2.0000000000000001E-4</v>
      </c>
      <c r="N37" t="s">
        <v>128</v>
      </c>
      <c r="O37" t="s">
        <v>109</v>
      </c>
    </row>
    <row r="38" spans="7:15" x14ac:dyDescent="0.25">
      <c r="G38" t="s">
        <v>129</v>
      </c>
      <c r="H38" s="41">
        <v>2</v>
      </c>
      <c r="I38" s="41">
        <v>2.5</v>
      </c>
      <c r="J38" s="41">
        <v>0.25</v>
      </c>
      <c r="K38" s="41">
        <v>0.18750000000000003</v>
      </c>
      <c r="L38" s="41">
        <v>0.18750000000000003</v>
      </c>
      <c r="M38">
        <v>6.2699999999999978E-2</v>
      </c>
      <c r="N38" t="s">
        <v>130</v>
      </c>
      <c r="O38" t="s">
        <v>109</v>
      </c>
    </row>
    <row r="39" spans="7:15" x14ac:dyDescent="0.25">
      <c r="G39" t="s">
        <v>131</v>
      </c>
      <c r="H39" s="41">
        <v>2</v>
      </c>
      <c r="I39" s="41">
        <v>2.5</v>
      </c>
      <c r="J39" s="41">
        <v>0.3125</v>
      </c>
      <c r="K39" s="41">
        <v>0.18750000000000003</v>
      </c>
      <c r="L39" s="41">
        <v>0.18750000000000003</v>
      </c>
      <c r="M39">
        <v>0.12519999999999998</v>
      </c>
      <c r="O39" t="s">
        <v>109</v>
      </c>
    </row>
    <row r="40" spans="7:15" x14ac:dyDescent="0.25">
      <c r="G40" t="s">
        <v>132</v>
      </c>
      <c r="H40" s="41">
        <v>2</v>
      </c>
      <c r="I40" s="41">
        <v>2.5</v>
      </c>
      <c r="J40" s="41">
        <v>0.37500000000000006</v>
      </c>
      <c r="K40" s="41">
        <v>0.18750000000000003</v>
      </c>
      <c r="L40" s="41">
        <v>0.18750000000000003</v>
      </c>
      <c r="M40">
        <v>0.18770000000000003</v>
      </c>
      <c r="O40" t="s">
        <v>109</v>
      </c>
    </row>
    <row r="41" spans="7:15" x14ac:dyDescent="0.25">
      <c r="G41" t="s">
        <v>133</v>
      </c>
      <c r="H41" s="41">
        <v>2</v>
      </c>
      <c r="I41" s="41">
        <v>3.0000000000000004</v>
      </c>
      <c r="J41" s="41">
        <v>0.18750000000000003</v>
      </c>
      <c r="K41" s="41">
        <v>0.3125</v>
      </c>
      <c r="L41" s="41">
        <v>0.18750000000000003</v>
      </c>
      <c r="M41">
        <v>2.0000000000000001E-4</v>
      </c>
      <c r="N41" t="s">
        <v>134</v>
      </c>
      <c r="O41" t="s">
        <v>109</v>
      </c>
    </row>
    <row r="42" spans="7:15" x14ac:dyDescent="0.25">
      <c r="G42" t="s">
        <v>135</v>
      </c>
      <c r="H42" s="41">
        <v>2</v>
      </c>
      <c r="I42" s="41">
        <v>3.0000000000000004</v>
      </c>
      <c r="J42" s="41">
        <v>0.25</v>
      </c>
      <c r="K42" s="41">
        <v>0.3125</v>
      </c>
      <c r="L42" s="41">
        <v>0.25</v>
      </c>
      <c r="M42">
        <v>2.0000000000000001E-4</v>
      </c>
      <c r="N42" t="s">
        <v>136</v>
      </c>
      <c r="O42" t="s">
        <v>109</v>
      </c>
    </row>
    <row r="43" spans="7:15" x14ac:dyDescent="0.25">
      <c r="G43" t="s">
        <v>137</v>
      </c>
      <c r="H43" s="41">
        <v>2</v>
      </c>
      <c r="I43" s="41">
        <v>3.0000000000000004</v>
      </c>
      <c r="J43" s="41">
        <v>0.3125</v>
      </c>
      <c r="K43" s="41">
        <v>0.3125</v>
      </c>
      <c r="L43" s="41">
        <v>0.3125</v>
      </c>
      <c r="M43">
        <v>2.0000000000000001E-4</v>
      </c>
      <c r="O43" t="s">
        <v>109</v>
      </c>
    </row>
    <row r="44" spans="7:15" x14ac:dyDescent="0.25">
      <c r="G44" t="s">
        <v>138</v>
      </c>
      <c r="H44" s="41">
        <v>2</v>
      </c>
      <c r="I44" s="41">
        <v>3.0000000000000004</v>
      </c>
      <c r="J44" s="41">
        <v>0.37500000000000006</v>
      </c>
      <c r="K44" s="41">
        <v>0.3125</v>
      </c>
      <c r="L44" s="41">
        <v>0.3125</v>
      </c>
      <c r="M44">
        <v>6.2700000000000061E-2</v>
      </c>
      <c r="N44" t="s">
        <v>139</v>
      </c>
      <c r="O44" t="s">
        <v>109</v>
      </c>
    </row>
    <row r="45" spans="7:15" x14ac:dyDescent="0.25">
      <c r="G45" t="s">
        <v>140</v>
      </c>
      <c r="H45" s="41">
        <v>2</v>
      </c>
      <c r="I45" s="41">
        <v>3.0000000000000004</v>
      </c>
      <c r="J45" s="41">
        <v>0.4375</v>
      </c>
      <c r="K45" s="41">
        <v>0.3125</v>
      </c>
      <c r="L45" s="41">
        <v>0.3125</v>
      </c>
      <c r="M45">
        <v>0.12520000000000001</v>
      </c>
      <c r="O45" t="s">
        <v>109</v>
      </c>
    </row>
    <row r="46" spans="7:15" x14ac:dyDescent="0.25">
      <c r="G46" t="s">
        <v>141</v>
      </c>
      <c r="H46" s="41">
        <v>2</v>
      </c>
      <c r="I46" s="41">
        <v>3.0000000000000004</v>
      </c>
      <c r="J46" s="41">
        <v>0.5</v>
      </c>
      <c r="K46" s="41">
        <v>0.3125</v>
      </c>
      <c r="L46" s="41">
        <v>0.3125</v>
      </c>
      <c r="M46">
        <v>0.18770000000000001</v>
      </c>
      <c r="O46" t="s">
        <v>109</v>
      </c>
    </row>
    <row r="47" spans="7:15" x14ac:dyDescent="0.25">
      <c r="G47" t="s">
        <v>142</v>
      </c>
      <c r="H47" s="41">
        <v>2.5</v>
      </c>
      <c r="I47" s="41">
        <v>2.5</v>
      </c>
      <c r="J47" s="41">
        <v>0.18750000000000003</v>
      </c>
      <c r="K47" s="41">
        <v>0.18750000000000003</v>
      </c>
      <c r="L47" s="41">
        <v>0.18750000000000003</v>
      </c>
      <c r="M47">
        <v>2.0000000000000001E-4</v>
      </c>
      <c r="N47" t="s">
        <v>143</v>
      </c>
      <c r="O47" t="s">
        <v>109</v>
      </c>
    </row>
    <row r="48" spans="7:15" x14ac:dyDescent="0.25">
      <c r="G48" t="s">
        <v>144</v>
      </c>
      <c r="H48" s="41">
        <v>2.5</v>
      </c>
      <c r="I48" s="41">
        <v>2.5</v>
      </c>
      <c r="J48" s="41">
        <v>0.25</v>
      </c>
      <c r="K48" s="41">
        <v>0.18750000000000003</v>
      </c>
      <c r="L48" s="41">
        <v>0.18750000000000003</v>
      </c>
      <c r="M48">
        <v>6.2699999999999978E-2</v>
      </c>
      <c r="N48" t="s">
        <v>145</v>
      </c>
      <c r="O48" t="s">
        <v>109</v>
      </c>
    </row>
    <row r="49" spans="7:15" x14ac:dyDescent="0.25">
      <c r="G49" t="s">
        <v>146</v>
      </c>
      <c r="H49" s="41">
        <v>2.5</v>
      </c>
      <c r="I49" s="41">
        <v>2.5</v>
      </c>
      <c r="J49" s="41">
        <v>0.3125</v>
      </c>
      <c r="K49" s="41">
        <v>0.18750000000000003</v>
      </c>
      <c r="L49" s="41">
        <v>0.18750000000000003</v>
      </c>
      <c r="M49">
        <v>0.12519999999999998</v>
      </c>
      <c r="O49" t="s">
        <v>109</v>
      </c>
    </row>
    <row r="50" spans="7:15" x14ac:dyDescent="0.25">
      <c r="G50" t="s">
        <v>147</v>
      </c>
      <c r="H50" s="41">
        <v>2.5</v>
      </c>
      <c r="I50" s="41">
        <v>2.5</v>
      </c>
      <c r="J50" s="41">
        <v>0.37500000000000006</v>
      </c>
      <c r="K50" s="41">
        <v>0.18750000000000003</v>
      </c>
      <c r="L50" s="41">
        <v>0.18750000000000003</v>
      </c>
      <c r="M50">
        <v>0.18770000000000003</v>
      </c>
      <c r="O50" t="s">
        <v>109</v>
      </c>
    </row>
    <row r="51" spans="7:15" x14ac:dyDescent="0.25">
      <c r="G51" t="s">
        <v>148</v>
      </c>
      <c r="H51" s="41">
        <v>2.5</v>
      </c>
      <c r="I51" s="41">
        <v>2.5</v>
      </c>
      <c r="J51" s="41">
        <v>0.5</v>
      </c>
      <c r="K51" s="41">
        <v>0.18750000000000003</v>
      </c>
      <c r="L51" s="41">
        <v>0.18750000000000003</v>
      </c>
      <c r="M51">
        <v>0.31269999999999998</v>
      </c>
      <c r="O51" t="s">
        <v>109</v>
      </c>
    </row>
    <row r="52" spans="7:15" x14ac:dyDescent="0.25">
      <c r="G52" t="s">
        <v>149</v>
      </c>
      <c r="H52" s="41">
        <v>2.5</v>
      </c>
      <c r="I52" s="41">
        <v>3.0000000000000004</v>
      </c>
      <c r="J52" s="41">
        <v>0.18750000000000003</v>
      </c>
      <c r="K52" s="41">
        <v>0.3125</v>
      </c>
      <c r="L52" s="41">
        <v>0.18750000000000003</v>
      </c>
      <c r="M52">
        <v>2.0000000000000001E-4</v>
      </c>
      <c r="O52" t="s">
        <v>109</v>
      </c>
    </row>
    <row r="53" spans="7:15" x14ac:dyDescent="0.25">
      <c r="G53" t="s">
        <v>150</v>
      </c>
      <c r="H53" s="41">
        <v>2.5</v>
      </c>
      <c r="I53" s="41">
        <v>3.0000000000000004</v>
      </c>
      <c r="J53" s="41">
        <v>0.25</v>
      </c>
      <c r="K53" s="41">
        <v>0.3125</v>
      </c>
      <c r="L53" s="41">
        <v>0.25</v>
      </c>
      <c r="M53">
        <v>2.0000000000000001E-4</v>
      </c>
      <c r="N53" t="s">
        <v>151</v>
      </c>
      <c r="O53" t="s">
        <v>109</v>
      </c>
    </row>
    <row r="54" spans="7:15" x14ac:dyDescent="0.25">
      <c r="G54" t="s">
        <v>152</v>
      </c>
      <c r="H54" s="41">
        <v>2.5</v>
      </c>
      <c r="I54" s="41">
        <v>3.0000000000000004</v>
      </c>
      <c r="J54" s="41">
        <v>0.3125</v>
      </c>
      <c r="K54" s="41">
        <v>0.3125</v>
      </c>
      <c r="L54" s="41">
        <v>0.3125</v>
      </c>
      <c r="M54">
        <v>2.0000000000000001E-4</v>
      </c>
      <c r="O54" t="s">
        <v>109</v>
      </c>
    </row>
    <row r="55" spans="7:15" x14ac:dyDescent="0.25">
      <c r="G55" t="s">
        <v>153</v>
      </c>
      <c r="H55" s="41">
        <v>2.5</v>
      </c>
      <c r="I55" s="41">
        <v>3.0000000000000004</v>
      </c>
      <c r="J55" s="41">
        <v>0.37500000000000006</v>
      </c>
      <c r="K55" s="41">
        <v>0.3125</v>
      </c>
      <c r="L55" s="41">
        <v>0.3125</v>
      </c>
      <c r="M55">
        <v>6.2700000000000061E-2</v>
      </c>
      <c r="O55" t="s">
        <v>109</v>
      </c>
    </row>
    <row r="56" spans="7:15" x14ac:dyDescent="0.25">
      <c r="G56" t="s">
        <v>154</v>
      </c>
      <c r="H56" s="41">
        <v>2.5</v>
      </c>
      <c r="I56" s="41">
        <v>3.0000000000000004</v>
      </c>
      <c r="J56" s="41">
        <v>0.4375</v>
      </c>
      <c r="K56" s="41">
        <v>0.3125</v>
      </c>
      <c r="L56" s="41">
        <v>0.3125</v>
      </c>
      <c r="M56">
        <v>0.12520000000000001</v>
      </c>
      <c r="O56" t="s">
        <v>109</v>
      </c>
    </row>
    <row r="57" spans="7:15" x14ac:dyDescent="0.25">
      <c r="G57" t="s">
        <v>155</v>
      </c>
      <c r="H57" s="41">
        <v>2.5</v>
      </c>
      <c r="I57" s="41">
        <v>3.0000000000000004</v>
      </c>
      <c r="J57" s="41">
        <v>0.5</v>
      </c>
      <c r="K57" s="41">
        <v>0.3125</v>
      </c>
      <c r="L57" s="41">
        <v>0.3125</v>
      </c>
      <c r="M57">
        <v>0.18770000000000001</v>
      </c>
      <c r="O57" t="s">
        <v>109</v>
      </c>
    </row>
    <row r="58" spans="7:15" x14ac:dyDescent="0.25">
      <c r="G58" t="s">
        <v>156</v>
      </c>
      <c r="H58" s="41">
        <v>2.5</v>
      </c>
      <c r="I58" s="41">
        <v>3.5</v>
      </c>
      <c r="J58" s="41">
        <v>0.25</v>
      </c>
      <c r="K58" s="41">
        <v>0.3125</v>
      </c>
      <c r="L58" s="41">
        <v>0.25</v>
      </c>
      <c r="M58">
        <v>2.0000000000000001E-4</v>
      </c>
      <c r="N58" t="s">
        <v>157</v>
      </c>
      <c r="O58" t="s">
        <v>109</v>
      </c>
    </row>
    <row r="59" spans="7:15" x14ac:dyDescent="0.25">
      <c r="G59" t="s">
        <v>158</v>
      </c>
      <c r="H59" s="41">
        <v>2.5</v>
      </c>
      <c r="I59" s="41">
        <v>3.5</v>
      </c>
      <c r="J59" s="41">
        <v>0.3125</v>
      </c>
      <c r="K59" s="41">
        <v>0.3125</v>
      </c>
      <c r="L59" s="41">
        <v>0.3125</v>
      </c>
      <c r="M59">
        <v>2.0000000000000001E-4</v>
      </c>
      <c r="O59" t="s">
        <v>109</v>
      </c>
    </row>
    <row r="60" spans="7:15" x14ac:dyDescent="0.25">
      <c r="G60" t="s">
        <v>159</v>
      </c>
      <c r="H60" s="41">
        <v>2.5</v>
      </c>
      <c r="I60" s="41">
        <v>3.5</v>
      </c>
      <c r="J60" s="41">
        <v>0.37500000000000006</v>
      </c>
      <c r="K60" s="41">
        <v>0.3125</v>
      </c>
      <c r="L60" s="41">
        <v>0.3125</v>
      </c>
      <c r="M60">
        <v>6.2700000000000061E-2</v>
      </c>
      <c r="O60" t="s">
        <v>109</v>
      </c>
    </row>
    <row r="61" spans="7:15" x14ac:dyDescent="0.25">
      <c r="G61" t="s">
        <v>160</v>
      </c>
      <c r="H61" s="41">
        <v>2.5</v>
      </c>
      <c r="I61" s="41">
        <v>3.5</v>
      </c>
      <c r="J61" s="41">
        <v>0.4375</v>
      </c>
      <c r="K61" s="41">
        <v>0.3125</v>
      </c>
      <c r="L61" s="41">
        <v>0.3125</v>
      </c>
      <c r="M61">
        <v>0.12520000000000001</v>
      </c>
      <c r="O61" t="s">
        <v>109</v>
      </c>
    </row>
    <row r="62" spans="7:15" x14ac:dyDescent="0.25">
      <c r="G62" t="s">
        <v>161</v>
      </c>
      <c r="H62" s="41">
        <v>2.5</v>
      </c>
      <c r="I62" s="41">
        <v>3.5</v>
      </c>
      <c r="J62" s="41">
        <v>0.5</v>
      </c>
      <c r="K62" s="41">
        <v>0.3125</v>
      </c>
      <c r="L62" s="41">
        <v>0.3125</v>
      </c>
      <c r="M62">
        <v>0.18770000000000001</v>
      </c>
      <c r="O62" t="s">
        <v>109</v>
      </c>
    </row>
    <row r="63" spans="7:15" x14ac:dyDescent="0.25">
      <c r="G63" t="s">
        <v>162</v>
      </c>
      <c r="H63" s="41">
        <v>3.0000000000000004</v>
      </c>
      <c r="I63" s="41">
        <v>3.0000000000000004</v>
      </c>
      <c r="J63" s="41">
        <v>0.18750000000000003</v>
      </c>
      <c r="K63" s="41">
        <v>0.3125</v>
      </c>
      <c r="L63" s="41">
        <v>0.18750000000000003</v>
      </c>
      <c r="M63">
        <v>2.0000000000000001E-4</v>
      </c>
      <c r="N63" t="s">
        <v>163</v>
      </c>
      <c r="O63" t="s">
        <v>109</v>
      </c>
    </row>
    <row r="64" spans="7:15" x14ac:dyDescent="0.25">
      <c r="G64" t="s">
        <v>164</v>
      </c>
      <c r="H64" s="41">
        <v>3.0000000000000004</v>
      </c>
      <c r="I64" s="41">
        <v>3.0000000000000004</v>
      </c>
      <c r="J64" s="41">
        <v>0.25</v>
      </c>
      <c r="K64" s="41">
        <v>0.3125</v>
      </c>
      <c r="L64" s="41">
        <v>0.25</v>
      </c>
      <c r="M64">
        <v>2.0000000000000001E-4</v>
      </c>
      <c r="N64" t="s">
        <v>165</v>
      </c>
      <c r="O64" t="s">
        <v>109</v>
      </c>
    </row>
    <row r="65" spans="7:15" x14ac:dyDescent="0.25">
      <c r="G65" t="s">
        <v>166</v>
      </c>
      <c r="H65" s="41">
        <v>3.0000000000000004</v>
      </c>
      <c r="I65" s="41">
        <v>3.0000000000000004</v>
      </c>
      <c r="J65" s="41">
        <v>0.3125</v>
      </c>
      <c r="K65" s="41">
        <v>0.3125</v>
      </c>
      <c r="L65" s="41">
        <v>0.3125</v>
      </c>
      <c r="M65">
        <v>2.0000000000000001E-4</v>
      </c>
      <c r="O65" t="s">
        <v>109</v>
      </c>
    </row>
    <row r="66" spans="7:15" x14ac:dyDescent="0.25">
      <c r="G66" t="s">
        <v>167</v>
      </c>
      <c r="H66" s="41">
        <v>3.0000000000000004</v>
      </c>
      <c r="I66" s="41">
        <v>3.0000000000000004</v>
      </c>
      <c r="J66" s="41">
        <v>0.37500000000000006</v>
      </c>
      <c r="K66" s="41">
        <v>0.3125</v>
      </c>
      <c r="L66" s="41">
        <v>0.3125</v>
      </c>
      <c r="M66">
        <v>6.2700000000000061E-2</v>
      </c>
      <c r="N66" t="s">
        <v>168</v>
      </c>
      <c r="O66" t="s">
        <v>109</v>
      </c>
    </row>
    <row r="67" spans="7:15" x14ac:dyDescent="0.25">
      <c r="G67" t="s">
        <v>169</v>
      </c>
      <c r="H67" s="41">
        <v>3.0000000000000004</v>
      </c>
      <c r="I67" s="41">
        <v>3.0000000000000004</v>
      </c>
      <c r="J67" s="41">
        <v>0.4375</v>
      </c>
      <c r="K67" s="41">
        <v>0.3125</v>
      </c>
      <c r="L67" s="41">
        <v>0.3125</v>
      </c>
      <c r="M67">
        <v>0.12520000000000001</v>
      </c>
      <c r="O67" t="s">
        <v>109</v>
      </c>
    </row>
    <row r="68" spans="7:15" x14ac:dyDescent="0.25">
      <c r="G68" t="s">
        <v>170</v>
      </c>
      <c r="H68" s="41">
        <v>3.0000000000000004</v>
      </c>
      <c r="I68" s="41">
        <v>3.0000000000000004</v>
      </c>
      <c r="J68" s="41">
        <v>0.5</v>
      </c>
      <c r="K68" s="41">
        <v>0.3125</v>
      </c>
      <c r="L68" s="41">
        <v>0.3125</v>
      </c>
      <c r="M68">
        <v>0.18770000000000001</v>
      </c>
      <c r="O68" t="s">
        <v>109</v>
      </c>
    </row>
    <row r="69" spans="7:15" x14ac:dyDescent="0.25">
      <c r="G69" t="s">
        <v>171</v>
      </c>
      <c r="H69" s="41">
        <v>3.0000000000000004</v>
      </c>
      <c r="I69" s="41">
        <v>3.5</v>
      </c>
      <c r="J69" s="41">
        <v>0.25</v>
      </c>
      <c r="K69" s="41">
        <v>0.37500000000000006</v>
      </c>
      <c r="L69" s="41">
        <v>0.25</v>
      </c>
      <c r="M69">
        <v>2.0000000000000001E-4</v>
      </c>
      <c r="N69" t="s">
        <v>172</v>
      </c>
      <c r="O69" t="s">
        <v>109</v>
      </c>
    </row>
    <row r="70" spans="7:15" x14ac:dyDescent="0.25">
      <c r="G70" t="s">
        <v>173</v>
      </c>
      <c r="H70" s="41">
        <v>3.0000000000000004</v>
      </c>
      <c r="I70" s="41">
        <v>3.5</v>
      </c>
      <c r="J70" s="41">
        <v>0.3125</v>
      </c>
      <c r="K70" s="41">
        <v>0.37500000000000006</v>
      </c>
      <c r="L70" s="41">
        <v>0.3125</v>
      </c>
      <c r="M70">
        <v>2.0000000000000001E-4</v>
      </c>
      <c r="O70" t="s">
        <v>109</v>
      </c>
    </row>
    <row r="71" spans="7:15" x14ac:dyDescent="0.25">
      <c r="G71" t="s">
        <v>174</v>
      </c>
      <c r="H71" s="41">
        <v>3.0000000000000004</v>
      </c>
      <c r="I71" s="41">
        <v>3.5</v>
      </c>
      <c r="J71" s="41">
        <v>0.37500000000000006</v>
      </c>
      <c r="K71" s="41">
        <v>0.37500000000000006</v>
      </c>
      <c r="L71" s="41">
        <v>0.37500000000000006</v>
      </c>
      <c r="M71">
        <v>2.0000000000000001E-4</v>
      </c>
      <c r="O71" t="s">
        <v>109</v>
      </c>
    </row>
    <row r="72" spans="7:15" x14ac:dyDescent="0.25">
      <c r="G72" t="s">
        <v>175</v>
      </c>
      <c r="H72" s="41">
        <v>3.0000000000000004</v>
      </c>
      <c r="I72" s="41">
        <v>3.5</v>
      </c>
      <c r="J72" s="41">
        <v>0.4375</v>
      </c>
      <c r="K72" s="41">
        <v>0.37500000000000006</v>
      </c>
      <c r="L72" s="41">
        <v>0.37500000000000006</v>
      </c>
      <c r="M72">
        <v>6.269999999999995E-2</v>
      </c>
      <c r="O72" t="s">
        <v>109</v>
      </c>
    </row>
    <row r="73" spans="7:15" x14ac:dyDescent="0.25">
      <c r="G73" t="s">
        <v>176</v>
      </c>
      <c r="H73" s="41">
        <v>3.0000000000000004</v>
      </c>
      <c r="I73" s="41">
        <v>3.5</v>
      </c>
      <c r="J73" s="41">
        <v>0.5</v>
      </c>
      <c r="K73" s="41">
        <v>0.37500000000000006</v>
      </c>
      <c r="L73" s="41">
        <v>0.37500000000000006</v>
      </c>
      <c r="M73">
        <v>0.12519999999999995</v>
      </c>
      <c r="O73" t="s">
        <v>109</v>
      </c>
    </row>
    <row r="74" spans="7:15" x14ac:dyDescent="0.25">
      <c r="G74" t="s">
        <v>177</v>
      </c>
      <c r="H74" s="41">
        <v>3.0000000000000004</v>
      </c>
      <c r="I74" s="41">
        <v>4</v>
      </c>
      <c r="J74" s="41">
        <v>0.25</v>
      </c>
      <c r="K74" s="41">
        <v>0.37500000000000006</v>
      </c>
      <c r="L74" s="41">
        <v>0.25</v>
      </c>
      <c r="M74">
        <v>2.0000000000000001E-4</v>
      </c>
      <c r="N74" t="s">
        <v>178</v>
      </c>
      <c r="O74" t="s">
        <v>109</v>
      </c>
    </row>
    <row r="75" spans="7:15" x14ac:dyDescent="0.25">
      <c r="G75" t="s">
        <v>179</v>
      </c>
      <c r="H75" s="41">
        <v>3.0000000000000004</v>
      </c>
      <c r="I75" s="41">
        <v>4</v>
      </c>
      <c r="J75" s="41">
        <v>0.3125</v>
      </c>
      <c r="K75" s="41">
        <v>0.37500000000000006</v>
      </c>
      <c r="L75" s="41">
        <v>0.3125</v>
      </c>
      <c r="M75">
        <v>2.0000000000000001E-4</v>
      </c>
      <c r="N75" t="s">
        <v>180</v>
      </c>
      <c r="O75" t="s">
        <v>109</v>
      </c>
    </row>
    <row r="76" spans="7:15" x14ac:dyDescent="0.25">
      <c r="G76" t="s">
        <v>181</v>
      </c>
      <c r="H76" s="41">
        <v>3.0000000000000004</v>
      </c>
      <c r="I76" s="41">
        <v>4</v>
      </c>
      <c r="J76" s="41">
        <v>0.37500000000000006</v>
      </c>
      <c r="K76" s="41">
        <v>0.37500000000000006</v>
      </c>
      <c r="L76" s="41">
        <v>0.37500000000000006</v>
      </c>
      <c r="M76">
        <v>2.0000000000000001E-4</v>
      </c>
      <c r="N76" t="s">
        <v>182</v>
      </c>
      <c r="O76" t="s">
        <v>109</v>
      </c>
    </row>
    <row r="77" spans="7:15" x14ac:dyDescent="0.25">
      <c r="G77" t="s">
        <v>183</v>
      </c>
      <c r="H77" s="41">
        <v>3.0000000000000004</v>
      </c>
      <c r="I77" s="41">
        <v>4</v>
      </c>
      <c r="J77" s="41">
        <v>0.4375</v>
      </c>
      <c r="K77" s="41">
        <v>0.37500000000000006</v>
      </c>
      <c r="L77" s="41">
        <v>0.37500000000000006</v>
      </c>
      <c r="M77">
        <v>6.269999999999995E-2</v>
      </c>
      <c r="O77" t="s">
        <v>109</v>
      </c>
    </row>
    <row r="78" spans="7:15" x14ac:dyDescent="0.25">
      <c r="G78" t="s">
        <v>184</v>
      </c>
      <c r="H78" s="41">
        <v>3.0000000000000004</v>
      </c>
      <c r="I78" s="41">
        <v>4</v>
      </c>
      <c r="J78" s="41">
        <v>0.5</v>
      </c>
      <c r="K78" s="41">
        <v>0.37500000000000006</v>
      </c>
      <c r="L78" s="41">
        <v>0.37500000000000006</v>
      </c>
      <c r="M78">
        <v>0.12519999999999995</v>
      </c>
      <c r="O78" t="s">
        <v>109</v>
      </c>
    </row>
    <row r="79" spans="7:15" x14ac:dyDescent="0.25">
      <c r="G79" t="s">
        <v>185</v>
      </c>
      <c r="H79" s="41">
        <v>3.0000000000000004</v>
      </c>
      <c r="I79" s="41">
        <v>4</v>
      </c>
      <c r="J79" s="41">
        <v>0.625</v>
      </c>
      <c r="K79" s="41">
        <v>0.37500000000000006</v>
      </c>
      <c r="L79" s="41">
        <v>0.37500000000000006</v>
      </c>
      <c r="M79">
        <v>0.25019999999999992</v>
      </c>
      <c r="O79" t="s">
        <v>109</v>
      </c>
    </row>
    <row r="80" spans="7:15" x14ac:dyDescent="0.25">
      <c r="G80" t="s">
        <v>186</v>
      </c>
      <c r="H80" s="41">
        <v>3.0000000000000004</v>
      </c>
      <c r="I80" s="41">
        <v>5</v>
      </c>
      <c r="J80" s="41">
        <v>0.25</v>
      </c>
      <c r="K80" s="41">
        <v>0.37500000000000006</v>
      </c>
      <c r="L80" s="41">
        <v>0.25</v>
      </c>
      <c r="M80">
        <v>2.0000000000000001E-4</v>
      </c>
      <c r="N80" t="s">
        <v>187</v>
      </c>
      <c r="O80" t="s">
        <v>109</v>
      </c>
    </row>
    <row r="81" spans="7:15" x14ac:dyDescent="0.25">
      <c r="G81" t="s">
        <v>188</v>
      </c>
      <c r="H81" s="41">
        <v>3.0000000000000004</v>
      </c>
      <c r="I81" s="41">
        <v>5</v>
      </c>
      <c r="J81" s="41">
        <v>0.3125</v>
      </c>
      <c r="K81" s="41">
        <v>0.37500000000000006</v>
      </c>
      <c r="L81" s="41">
        <v>0.3125</v>
      </c>
      <c r="M81">
        <v>2.0000000000000001E-4</v>
      </c>
      <c r="O81" t="s">
        <v>109</v>
      </c>
    </row>
    <row r="82" spans="7:15" x14ac:dyDescent="0.25">
      <c r="G82" t="s">
        <v>189</v>
      </c>
      <c r="H82" s="41">
        <v>3.0000000000000004</v>
      </c>
      <c r="I82" s="41">
        <v>5</v>
      </c>
      <c r="J82" s="41">
        <v>0.37500000000000006</v>
      </c>
      <c r="K82" s="41">
        <v>0.37500000000000006</v>
      </c>
      <c r="L82" s="41">
        <v>0.37500000000000006</v>
      </c>
      <c r="M82">
        <v>2.0000000000000001E-4</v>
      </c>
      <c r="N82" t="s">
        <v>190</v>
      </c>
      <c r="O82" t="s">
        <v>109</v>
      </c>
    </row>
    <row r="83" spans="7:15" x14ac:dyDescent="0.25">
      <c r="G83" t="s">
        <v>191</v>
      </c>
      <c r="H83" s="41">
        <v>3.0000000000000004</v>
      </c>
      <c r="I83" s="41">
        <v>5</v>
      </c>
      <c r="J83" s="41">
        <v>0.4375</v>
      </c>
      <c r="K83" s="41">
        <v>0.37500000000000006</v>
      </c>
      <c r="L83" s="41">
        <v>0.37500000000000006</v>
      </c>
      <c r="M83">
        <v>6.269999999999995E-2</v>
      </c>
      <c r="O83" t="s">
        <v>109</v>
      </c>
    </row>
    <row r="84" spans="7:15" x14ac:dyDescent="0.25">
      <c r="G84" t="s">
        <v>192</v>
      </c>
      <c r="H84" s="41">
        <v>3.0000000000000004</v>
      </c>
      <c r="I84" s="41">
        <v>5</v>
      </c>
      <c r="J84" s="41">
        <v>0.5</v>
      </c>
      <c r="K84" s="41">
        <v>0.37500000000000006</v>
      </c>
      <c r="L84" s="41">
        <v>0.37500000000000006</v>
      </c>
      <c r="M84">
        <v>0.12519999999999995</v>
      </c>
      <c r="O84" t="s">
        <v>109</v>
      </c>
    </row>
    <row r="85" spans="7:15" x14ac:dyDescent="0.25">
      <c r="G85" t="s">
        <v>193</v>
      </c>
      <c r="H85" s="41">
        <v>3.0000000000000004</v>
      </c>
      <c r="I85" s="41">
        <v>5</v>
      </c>
      <c r="J85" s="41">
        <v>0.625</v>
      </c>
      <c r="K85" s="41">
        <v>0.37500000000000006</v>
      </c>
      <c r="L85" s="41">
        <v>0.37500000000000006</v>
      </c>
      <c r="M85">
        <v>0.25019999999999992</v>
      </c>
      <c r="O85" t="s">
        <v>109</v>
      </c>
    </row>
    <row r="86" spans="7:15" x14ac:dyDescent="0.25">
      <c r="G86" t="s">
        <v>194</v>
      </c>
      <c r="H86" s="41">
        <v>3.5</v>
      </c>
      <c r="I86" s="41">
        <v>3.5</v>
      </c>
      <c r="J86" s="41">
        <v>0.25</v>
      </c>
      <c r="K86" s="41">
        <v>0.37500000000000006</v>
      </c>
      <c r="L86" s="41">
        <v>0.25</v>
      </c>
      <c r="M86">
        <v>2.0000000000000001E-4</v>
      </c>
      <c r="N86" t="s">
        <v>195</v>
      </c>
      <c r="O86" t="s">
        <v>109</v>
      </c>
    </row>
    <row r="87" spans="7:15" x14ac:dyDescent="0.25">
      <c r="G87" t="s">
        <v>196</v>
      </c>
      <c r="H87" s="41">
        <v>3.5</v>
      </c>
      <c r="I87" s="41">
        <v>3.5</v>
      </c>
      <c r="J87" s="41">
        <v>0.3125</v>
      </c>
      <c r="K87" s="41">
        <v>0.37500000000000006</v>
      </c>
      <c r="L87" s="41">
        <v>0.3125</v>
      </c>
      <c r="M87">
        <v>2.0000000000000001E-4</v>
      </c>
      <c r="O87" t="s">
        <v>109</v>
      </c>
    </row>
    <row r="88" spans="7:15" x14ac:dyDescent="0.25">
      <c r="G88" t="s">
        <v>197</v>
      </c>
      <c r="H88" s="41">
        <v>3.5</v>
      </c>
      <c r="I88" s="41">
        <v>3.5</v>
      </c>
      <c r="J88" s="41">
        <v>0.37500000000000006</v>
      </c>
      <c r="K88" s="41">
        <v>0.37500000000000006</v>
      </c>
      <c r="L88" s="41">
        <v>0.37500000000000006</v>
      </c>
      <c r="M88">
        <v>2.0000000000000001E-4</v>
      </c>
      <c r="O88" t="s">
        <v>109</v>
      </c>
    </row>
    <row r="89" spans="7:15" x14ac:dyDescent="0.25">
      <c r="G89" t="s">
        <v>198</v>
      </c>
      <c r="H89" s="41">
        <v>3.5</v>
      </c>
      <c r="I89" s="41">
        <v>3.5</v>
      </c>
      <c r="J89" s="41">
        <v>0.4375</v>
      </c>
      <c r="K89" s="41">
        <v>0.37500000000000006</v>
      </c>
      <c r="L89" s="41">
        <v>0.37500000000000006</v>
      </c>
      <c r="M89">
        <v>6.269999999999995E-2</v>
      </c>
      <c r="O89" t="s">
        <v>109</v>
      </c>
    </row>
    <row r="90" spans="7:15" x14ac:dyDescent="0.25">
      <c r="G90" t="s">
        <v>199</v>
      </c>
      <c r="H90" s="41">
        <v>3.5</v>
      </c>
      <c r="I90" s="41">
        <v>3.5</v>
      </c>
      <c r="J90" s="41">
        <v>0.5</v>
      </c>
      <c r="K90" s="41">
        <v>0.37500000000000006</v>
      </c>
      <c r="L90" s="41">
        <v>0.37500000000000006</v>
      </c>
      <c r="M90">
        <v>0.12519999999999995</v>
      </c>
      <c r="O90" t="s">
        <v>109</v>
      </c>
    </row>
    <row r="91" spans="7:15" x14ac:dyDescent="0.25">
      <c r="G91" t="s">
        <v>200</v>
      </c>
      <c r="H91" s="41">
        <v>3.5</v>
      </c>
      <c r="I91" s="41">
        <v>4</v>
      </c>
      <c r="J91" s="41">
        <v>0.25</v>
      </c>
      <c r="K91" s="41">
        <v>0.37500000000000006</v>
      </c>
      <c r="L91" s="41">
        <v>0.25</v>
      </c>
      <c r="M91">
        <v>2.0000000000000001E-4</v>
      </c>
      <c r="O91" t="s">
        <v>109</v>
      </c>
    </row>
    <row r="92" spans="7:15" x14ac:dyDescent="0.25">
      <c r="G92" t="s">
        <v>201</v>
      </c>
      <c r="H92" s="41">
        <v>3.5</v>
      </c>
      <c r="I92" s="41">
        <v>4</v>
      </c>
      <c r="J92" s="41">
        <v>0.3125</v>
      </c>
      <c r="K92" s="41">
        <v>0.37500000000000006</v>
      </c>
      <c r="L92" s="41">
        <v>0.3125</v>
      </c>
      <c r="M92">
        <v>2.0000000000000001E-4</v>
      </c>
      <c r="O92" t="s">
        <v>109</v>
      </c>
    </row>
    <row r="93" spans="7:15" x14ac:dyDescent="0.25">
      <c r="G93" t="s">
        <v>202</v>
      </c>
      <c r="H93" s="41">
        <v>3.5</v>
      </c>
      <c r="I93" s="41">
        <v>4</v>
      </c>
      <c r="J93" s="41">
        <v>0.37500000000000006</v>
      </c>
      <c r="K93" s="41">
        <v>0.37500000000000006</v>
      </c>
      <c r="L93" s="41">
        <v>0.37500000000000006</v>
      </c>
      <c r="M93">
        <v>2.0000000000000001E-4</v>
      </c>
      <c r="O93" t="s">
        <v>109</v>
      </c>
    </row>
    <row r="94" spans="7:15" x14ac:dyDescent="0.25">
      <c r="G94" t="s">
        <v>203</v>
      </c>
      <c r="H94" s="41">
        <v>3.5</v>
      </c>
      <c r="I94" s="41">
        <v>4</v>
      </c>
      <c r="J94" s="41">
        <v>0.4375</v>
      </c>
      <c r="K94" s="41">
        <v>0.37500000000000006</v>
      </c>
      <c r="L94" s="41">
        <v>0.37500000000000006</v>
      </c>
      <c r="M94">
        <v>6.269999999999995E-2</v>
      </c>
      <c r="O94" t="s">
        <v>109</v>
      </c>
    </row>
    <row r="95" spans="7:15" x14ac:dyDescent="0.25">
      <c r="G95" t="s">
        <v>204</v>
      </c>
      <c r="H95" s="41">
        <v>3.5</v>
      </c>
      <c r="I95" s="41">
        <v>4</v>
      </c>
      <c r="J95" s="41">
        <v>0.5</v>
      </c>
      <c r="K95" s="41">
        <v>0.37500000000000006</v>
      </c>
      <c r="L95" s="41">
        <v>0.37500000000000006</v>
      </c>
      <c r="M95">
        <v>0.12519999999999995</v>
      </c>
      <c r="O95" t="s">
        <v>109</v>
      </c>
    </row>
    <row r="96" spans="7:15" x14ac:dyDescent="0.25">
      <c r="G96" t="s">
        <v>205</v>
      </c>
      <c r="H96" s="41">
        <v>3.5</v>
      </c>
      <c r="I96" s="41">
        <v>4</v>
      </c>
      <c r="J96" s="41">
        <v>0.625</v>
      </c>
      <c r="K96" s="41">
        <v>0.37500000000000006</v>
      </c>
      <c r="L96" s="41">
        <v>0.37500000000000006</v>
      </c>
      <c r="M96">
        <v>0.25019999999999992</v>
      </c>
      <c r="O96" t="s">
        <v>109</v>
      </c>
    </row>
    <row r="97" spans="7:15" x14ac:dyDescent="0.25">
      <c r="G97" t="s">
        <v>206</v>
      </c>
      <c r="H97" s="41">
        <v>3.5</v>
      </c>
      <c r="I97" s="41">
        <v>5</v>
      </c>
      <c r="J97" s="41">
        <v>0.25</v>
      </c>
      <c r="K97" s="41">
        <v>0.4375</v>
      </c>
      <c r="L97" s="41">
        <v>0.25</v>
      </c>
      <c r="M97">
        <v>2.0000000000000001E-4</v>
      </c>
      <c r="O97" t="s">
        <v>109</v>
      </c>
    </row>
    <row r="98" spans="7:15" x14ac:dyDescent="0.25">
      <c r="G98" t="s">
        <v>207</v>
      </c>
      <c r="H98" s="41">
        <v>3.5</v>
      </c>
      <c r="I98" s="41">
        <v>5</v>
      </c>
      <c r="J98" s="41">
        <v>0.3125</v>
      </c>
      <c r="K98" s="41">
        <v>0.4375</v>
      </c>
      <c r="L98" s="41">
        <v>0.3125</v>
      </c>
      <c r="M98">
        <v>2.0000000000000001E-4</v>
      </c>
      <c r="O98" t="s">
        <v>109</v>
      </c>
    </row>
    <row r="99" spans="7:15" x14ac:dyDescent="0.25">
      <c r="G99" t="s">
        <v>208</v>
      </c>
      <c r="H99" s="41">
        <v>3.5</v>
      </c>
      <c r="I99" s="41">
        <v>5</v>
      </c>
      <c r="J99" s="41">
        <v>0.37500000000000006</v>
      </c>
      <c r="K99" s="41">
        <v>0.4375</v>
      </c>
      <c r="L99" s="41">
        <v>0.37500000000000006</v>
      </c>
      <c r="M99">
        <v>2.0000000000000001E-4</v>
      </c>
      <c r="O99" t="s">
        <v>109</v>
      </c>
    </row>
    <row r="100" spans="7:15" x14ac:dyDescent="0.25">
      <c r="G100" t="s">
        <v>209</v>
      </c>
      <c r="H100" s="41">
        <v>3.5</v>
      </c>
      <c r="I100" s="41">
        <v>5</v>
      </c>
      <c r="J100" s="41">
        <v>0.4375</v>
      </c>
      <c r="K100" s="41">
        <v>0.4375</v>
      </c>
      <c r="L100" s="41">
        <v>0.4375</v>
      </c>
      <c r="M100">
        <v>2.0000000000000001E-4</v>
      </c>
      <c r="O100" t="s">
        <v>109</v>
      </c>
    </row>
    <row r="101" spans="7:15" x14ac:dyDescent="0.25">
      <c r="G101" t="s">
        <v>210</v>
      </c>
      <c r="H101" s="41">
        <v>3.5</v>
      </c>
      <c r="I101" s="41">
        <v>5</v>
      </c>
      <c r="J101" s="41">
        <v>0.5</v>
      </c>
      <c r="K101" s="41">
        <v>0.4375</v>
      </c>
      <c r="L101" s="41">
        <v>0.4375</v>
      </c>
      <c r="M101">
        <v>6.2700000000000006E-2</v>
      </c>
      <c r="O101" t="s">
        <v>109</v>
      </c>
    </row>
    <row r="102" spans="7:15" x14ac:dyDescent="0.25">
      <c r="G102" t="s">
        <v>211</v>
      </c>
      <c r="H102" s="41">
        <v>3.5</v>
      </c>
      <c r="I102" s="41">
        <v>5</v>
      </c>
      <c r="J102" s="41">
        <v>0.625</v>
      </c>
      <c r="K102" s="41">
        <v>0.4375</v>
      </c>
      <c r="L102" s="41">
        <v>0.4375</v>
      </c>
      <c r="M102">
        <v>0.18770000000000001</v>
      </c>
      <c r="O102" t="s">
        <v>109</v>
      </c>
    </row>
    <row r="103" spans="7:15" x14ac:dyDescent="0.25">
      <c r="G103" t="s">
        <v>212</v>
      </c>
      <c r="H103" s="41">
        <v>3.5</v>
      </c>
      <c r="I103" s="41">
        <v>5</v>
      </c>
      <c r="J103" s="41">
        <v>0.75000000000000011</v>
      </c>
      <c r="K103" s="41">
        <v>0.4375</v>
      </c>
      <c r="L103" s="41">
        <v>0.4375</v>
      </c>
      <c r="M103">
        <v>0.31270000000000009</v>
      </c>
      <c r="O103" t="s">
        <v>109</v>
      </c>
    </row>
    <row r="104" spans="7:15" x14ac:dyDescent="0.25">
      <c r="G104" t="s">
        <v>213</v>
      </c>
      <c r="H104" s="41">
        <v>3.5</v>
      </c>
      <c r="I104" s="41">
        <v>6.0000000000000009</v>
      </c>
      <c r="J104" s="41">
        <v>0.3125</v>
      </c>
      <c r="K104" s="41">
        <v>0.5</v>
      </c>
      <c r="L104" s="41">
        <v>0.3125</v>
      </c>
      <c r="M104">
        <v>2.0000000000000001E-4</v>
      </c>
      <c r="N104" t="s">
        <v>214</v>
      </c>
      <c r="O104" t="s">
        <v>109</v>
      </c>
    </row>
    <row r="105" spans="7:15" x14ac:dyDescent="0.25">
      <c r="G105" t="s">
        <v>215</v>
      </c>
      <c r="H105" s="41">
        <v>3.5</v>
      </c>
      <c r="I105" s="41">
        <v>6.0000000000000009</v>
      </c>
      <c r="J105" s="41">
        <v>0.37500000000000006</v>
      </c>
      <c r="K105" s="41">
        <v>0.5</v>
      </c>
      <c r="L105" s="41">
        <v>0.37500000000000006</v>
      </c>
      <c r="M105">
        <v>2.0000000000000001E-4</v>
      </c>
      <c r="O105" t="s">
        <v>109</v>
      </c>
    </row>
    <row r="106" spans="7:15" x14ac:dyDescent="0.25">
      <c r="G106" t="s">
        <v>216</v>
      </c>
      <c r="H106" s="41">
        <v>3.5</v>
      </c>
      <c r="I106" s="41">
        <v>6.0000000000000009</v>
      </c>
      <c r="J106" s="41">
        <v>0.5</v>
      </c>
      <c r="K106" s="41">
        <v>0.5</v>
      </c>
      <c r="L106" s="41">
        <v>0.5</v>
      </c>
      <c r="M106">
        <v>2.0000000000000001E-4</v>
      </c>
      <c r="O106" t="s">
        <v>109</v>
      </c>
    </row>
    <row r="107" spans="7:15" x14ac:dyDescent="0.25">
      <c r="G107" t="s">
        <v>217</v>
      </c>
      <c r="H107" s="41">
        <v>4</v>
      </c>
      <c r="I107" s="41">
        <v>4</v>
      </c>
      <c r="J107" s="41">
        <v>0.25</v>
      </c>
      <c r="K107" s="41">
        <v>0.37500000000000006</v>
      </c>
      <c r="L107" s="41">
        <v>0.25</v>
      </c>
      <c r="M107">
        <v>2.0000000000000001E-4</v>
      </c>
      <c r="N107" t="s">
        <v>218</v>
      </c>
      <c r="O107" t="s">
        <v>109</v>
      </c>
    </row>
    <row r="108" spans="7:15" x14ac:dyDescent="0.25">
      <c r="G108" t="s">
        <v>219</v>
      </c>
      <c r="H108" s="41">
        <v>4</v>
      </c>
      <c r="I108" s="41">
        <v>4</v>
      </c>
      <c r="J108" s="41">
        <v>0.3125</v>
      </c>
      <c r="K108" s="41">
        <v>0.37500000000000006</v>
      </c>
      <c r="L108" s="41">
        <v>0.3125</v>
      </c>
      <c r="M108">
        <v>2.0000000000000001E-4</v>
      </c>
      <c r="N108" t="s">
        <v>220</v>
      </c>
      <c r="O108" t="s">
        <v>109</v>
      </c>
    </row>
    <row r="109" spans="7:15" x14ac:dyDescent="0.25">
      <c r="G109" t="s">
        <v>221</v>
      </c>
      <c r="H109" s="41">
        <v>4</v>
      </c>
      <c r="I109" s="41">
        <v>4</v>
      </c>
      <c r="J109" s="41">
        <v>0.37500000000000006</v>
      </c>
      <c r="K109" s="41">
        <v>0.37500000000000006</v>
      </c>
      <c r="L109" s="41">
        <v>0.37500000000000006</v>
      </c>
      <c r="M109">
        <v>2.0000000000000001E-4</v>
      </c>
      <c r="N109" t="s">
        <v>222</v>
      </c>
      <c r="O109" t="s">
        <v>109</v>
      </c>
    </row>
    <row r="110" spans="7:15" x14ac:dyDescent="0.25">
      <c r="G110" t="s">
        <v>223</v>
      </c>
      <c r="H110" s="41">
        <v>4</v>
      </c>
      <c r="I110" s="41">
        <v>4</v>
      </c>
      <c r="J110" s="41">
        <v>0.4375</v>
      </c>
      <c r="K110" s="41">
        <v>0.37500000000000006</v>
      </c>
      <c r="L110" s="41">
        <v>0.37500000000000006</v>
      </c>
      <c r="M110">
        <v>6.269999999999995E-2</v>
      </c>
      <c r="O110" t="s">
        <v>109</v>
      </c>
    </row>
    <row r="111" spans="7:15" x14ac:dyDescent="0.25">
      <c r="G111" t="s">
        <v>224</v>
      </c>
      <c r="H111" s="41">
        <v>4</v>
      </c>
      <c r="I111" s="41">
        <v>4</v>
      </c>
      <c r="J111" s="41">
        <v>0.5</v>
      </c>
      <c r="K111" s="41">
        <v>0.37500000000000006</v>
      </c>
      <c r="L111" s="41">
        <v>0.37500000000000006</v>
      </c>
      <c r="M111">
        <v>0.12519999999999995</v>
      </c>
      <c r="N111" t="s">
        <v>225</v>
      </c>
      <c r="O111" t="s">
        <v>109</v>
      </c>
    </row>
    <row r="112" spans="7:15" x14ac:dyDescent="0.25">
      <c r="G112" t="s">
        <v>226</v>
      </c>
      <c r="H112" s="41">
        <v>4</v>
      </c>
      <c r="I112" s="41">
        <v>4</v>
      </c>
      <c r="J112" s="41">
        <v>0.625</v>
      </c>
      <c r="K112" s="41">
        <v>0.37500000000000006</v>
      </c>
      <c r="L112" s="41">
        <v>0.37500000000000006</v>
      </c>
      <c r="M112">
        <v>0.25019999999999992</v>
      </c>
      <c r="O112" t="s">
        <v>109</v>
      </c>
    </row>
    <row r="113" spans="7:15" x14ac:dyDescent="0.25">
      <c r="G113" t="s">
        <v>227</v>
      </c>
      <c r="H113" s="41">
        <v>4</v>
      </c>
      <c r="I113" s="41">
        <v>4</v>
      </c>
      <c r="J113" s="41">
        <v>0.75000000000000011</v>
      </c>
      <c r="K113" s="41">
        <v>0.37500000000000006</v>
      </c>
      <c r="L113" s="41">
        <v>0.37500000000000006</v>
      </c>
      <c r="M113">
        <v>0.37520000000000003</v>
      </c>
      <c r="O113" t="s">
        <v>109</v>
      </c>
    </row>
    <row r="114" spans="7:15" x14ac:dyDescent="0.25">
      <c r="G114" t="s">
        <v>228</v>
      </c>
      <c r="H114" s="41">
        <v>4</v>
      </c>
      <c r="I114" s="41">
        <v>6.0000000000000009</v>
      </c>
      <c r="J114" s="41">
        <v>0.3125</v>
      </c>
      <c r="K114" s="41">
        <v>0.5</v>
      </c>
      <c r="L114" s="41">
        <v>0.3125</v>
      </c>
      <c r="M114">
        <v>2.0000000000000001E-4</v>
      </c>
      <c r="O114" t="s">
        <v>109</v>
      </c>
    </row>
    <row r="115" spans="7:15" x14ac:dyDescent="0.25">
      <c r="G115" t="s">
        <v>229</v>
      </c>
      <c r="H115" s="41">
        <v>4</v>
      </c>
      <c r="I115" s="41">
        <v>6.0000000000000009</v>
      </c>
      <c r="J115" s="41">
        <v>0.37500000000000006</v>
      </c>
      <c r="K115" s="41">
        <v>0.5</v>
      </c>
      <c r="L115" s="41">
        <v>0.37500000000000006</v>
      </c>
      <c r="M115">
        <v>2.0000000000000001E-4</v>
      </c>
      <c r="N115" t="s">
        <v>230</v>
      </c>
      <c r="O115" t="s">
        <v>109</v>
      </c>
    </row>
    <row r="116" spans="7:15" x14ac:dyDescent="0.25">
      <c r="G116" t="s">
        <v>231</v>
      </c>
      <c r="H116" s="41">
        <v>4</v>
      </c>
      <c r="I116" s="41">
        <v>6.0000000000000009</v>
      </c>
      <c r="J116" s="41">
        <v>0.4375</v>
      </c>
      <c r="K116" s="41">
        <v>0.5</v>
      </c>
      <c r="L116" s="41">
        <v>0.4375</v>
      </c>
      <c r="M116">
        <v>2.0000000000000001E-4</v>
      </c>
      <c r="O116" t="s">
        <v>109</v>
      </c>
    </row>
    <row r="117" spans="7:15" x14ac:dyDescent="0.25">
      <c r="G117" t="s">
        <v>232</v>
      </c>
      <c r="H117" s="41">
        <v>4</v>
      </c>
      <c r="I117" s="41">
        <v>6.0000000000000009</v>
      </c>
      <c r="J117" s="41">
        <v>0.5</v>
      </c>
      <c r="K117" s="41">
        <v>0.5</v>
      </c>
      <c r="L117" s="41">
        <v>0.5</v>
      </c>
      <c r="M117">
        <v>2.0000000000000001E-4</v>
      </c>
      <c r="N117" t="s">
        <v>233</v>
      </c>
      <c r="O117" t="s">
        <v>109</v>
      </c>
    </row>
    <row r="118" spans="7:15" x14ac:dyDescent="0.25">
      <c r="G118" t="s">
        <v>234</v>
      </c>
      <c r="H118" s="41">
        <v>4</v>
      </c>
      <c r="I118" s="41">
        <v>6.0000000000000009</v>
      </c>
      <c r="J118" s="41">
        <v>0.5625</v>
      </c>
      <c r="K118" s="41">
        <v>0.5</v>
      </c>
      <c r="L118" s="41">
        <v>0.5</v>
      </c>
      <c r="M118">
        <v>6.2700000000000006E-2</v>
      </c>
      <c r="O118" t="s">
        <v>109</v>
      </c>
    </row>
    <row r="119" spans="7:15" x14ac:dyDescent="0.25">
      <c r="G119" t="s">
        <v>235</v>
      </c>
      <c r="H119" s="41">
        <v>4</v>
      </c>
      <c r="I119" s="41">
        <v>6.0000000000000009</v>
      </c>
      <c r="J119" s="41">
        <v>0.625</v>
      </c>
      <c r="K119" s="41">
        <v>0.5</v>
      </c>
      <c r="L119" s="41">
        <v>0.5</v>
      </c>
      <c r="M119">
        <v>0.12520000000000001</v>
      </c>
      <c r="O119" t="s">
        <v>109</v>
      </c>
    </row>
    <row r="120" spans="7:15" x14ac:dyDescent="0.25">
      <c r="G120" t="s">
        <v>236</v>
      </c>
      <c r="H120" s="41">
        <v>4</v>
      </c>
      <c r="I120" s="41">
        <v>6.0000000000000009</v>
      </c>
      <c r="J120" s="41">
        <v>0.75000000000000011</v>
      </c>
      <c r="K120" s="41">
        <v>0.5</v>
      </c>
      <c r="L120" s="41">
        <v>0.5</v>
      </c>
      <c r="M120">
        <v>0.25020000000000009</v>
      </c>
      <c r="O120" t="s">
        <v>109</v>
      </c>
    </row>
    <row r="121" spans="7:15" x14ac:dyDescent="0.25">
      <c r="G121" t="s">
        <v>237</v>
      </c>
      <c r="H121" s="41">
        <v>4</v>
      </c>
      <c r="I121" s="41">
        <v>6.0000000000000009</v>
      </c>
      <c r="J121" s="41">
        <v>0.875</v>
      </c>
      <c r="K121" s="41">
        <v>0.5</v>
      </c>
      <c r="L121" s="41">
        <v>0.5</v>
      </c>
      <c r="M121">
        <v>0.37519999999999998</v>
      </c>
      <c r="O121" t="s">
        <v>109</v>
      </c>
    </row>
    <row r="122" spans="7:15" x14ac:dyDescent="0.25">
      <c r="G122" t="s">
        <v>238</v>
      </c>
      <c r="H122" s="41">
        <v>4</v>
      </c>
      <c r="I122" s="41">
        <v>7</v>
      </c>
      <c r="J122" s="41">
        <v>0.37500000000000006</v>
      </c>
      <c r="K122" s="41">
        <v>0.5</v>
      </c>
      <c r="L122" s="41">
        <v>0.37500000000000006</v>
      </c>
      <c r="M122">
        <v>2.0000000000000001E-4</v>
      </c>
      <c r="O122" t="s">
        <v>109</v>
      </c>
    </row>
    <row r="123" spans="7:15" x14ac:dyDescent="0.25">
      <c r="G123" t="s">
        <v>239</v>
      </c>
      <c r="H123" s="41">
        <v>4</v>
      </c>
      <c r="I123" s="41">
        <v>7</v>
      </c>
      <c r="J123" s="41">
        <v>0.5</v>
      </c>
      <c r="K123" s="41">
        <v>0.5</v>
      </c>
      <c r="L123" s="41">
        <v>0.5</v>
      </c>
      <c r="M123">
        <v>2.0000000000000001E-4</v>
      </c>
      <c r="O123" t="s">
        <v>109</v>
      </c>
    </row>
    <row r="124" spans="7:15" x14ac:dyDescent="0.25">
      <c r="G124" t="s">
        <v>240</v>
      </c>
      <c r="H124" s="41">
        <v>4</v>
      </c>
      <c r="I124" s="41">
        <v>7</v>
      </c>
      <c r="J124" s="41">
        <v>0.625</v>
      </c>
      <c r="K124" s="41">
        <v>0.5</v>
      </c>
      <c r="L124" s="41">
        <v>0.5</v>
      </c>
      <c r="M124">
        <v>0.12520000000000001</v>
      </c>
      <c r="O124" t="s">
        <v>109</v>
      </c>
    </row>
    <row r="125" spans="7:15" x14ac:dyDescent="0.25">
      <c r="G125" t="s">
        <v>241</v>
      </c>
      <c r="H125" s="41">
        <v>4</v>
      </c>
      <c r="I125" s="41">
        <v>7</v>
      </c>
      <c r="J125" s="41">
        <v>0.75000000000000011</v>
      </c>
      <c r="K125" s="41">
        <v>0.5</v>
      </c>
      <c r="L125" s="41">
        <v>0.5</v>
      </c>
      <c r="M125">
        <v>0.25020000000000009</v>
      </c>
      <c r="O125" t="s">
        <v>109</v>
      </c>
    </row>
    <row r="126" spans="7:15" x14ac:dyDescent="0.25">
      <c r="G126" t="s">
        <v>242</v>
      </c>
      <c r="H126" s="41">
        <v>4</v>
      </c>
      <c r="I126" s="41">
        <v>8</v>
      </c>
      <c r="J126" s="41">
        <v>0.5</v>
      </c>
      <c r="K126" s="41">
        <v>0.5</v>
      </c>
      <c r="L126" s="41">
        <v>0.5</v>
      </c>
      <c r="M126">
        <v>2.0000000000000001E-4</v>
      </c>
      <c r="O126" t="s">
        <v>109</v>
      </c>
    </row>
    <row r="127" spans="7:15" x14ac:dyDescent="0.25">
      <c r="G127" t="s">
        <v>243</v>
      </c>
      <c r="H127" s="41">
        <v>4</v>
      </c>
      <c r="I127" s="41">
        <v>8</v>
      </c>
      <c r="J127" s="41">
        <v>0.5625</v>
      </c>
      <c r="K127" s="41">
        <v>0.5</v>
      </c>
      <c r="L127" s="41">
        <v>0.5</v>
      </c>
      <c r="M127">
        <v>6.2700000000000006E-2</v>
      </c>
      <c r="O127" t="s">
        <v>109</v>
      </c>
    </row>
    <row r="128" spans="7:15" x14ac:dyDescent="0.25">
      <c r="G128" t="s">
        <v>244</v>
      </c>
      <c r="H128" s="41">
        <v>4</v>
      </c>
      <c r="I128" s="41">
        <v>8</v>
      </c>
      <c r="J128" s="41">
        <v>0.75000000000000011</v>
      </c>
      <c r="K128" s="41">
        <v>0.5</v>
      </c>
      <c r="L128" s="41">
        <v>0.5</v>
      </c>
      <c r="M128">
        <v>0.25020000000000009</v>
      </c>
      <c r="O128" t="s">
        <v>109</v>
      </c>
    </row>
    <row r="129" spans="7:15" x14ac:dyDescent="0.25">
      <c r="G129" t="s">
        <v>245</v>
      </c>
      <c r="H129" s="41">
        <v>4</v>
      </c>
      <c r="I129" s="41">
        <v>8</v>
      </c>
      <c r="J129" s="41">
        <v>1</v>
      </c>
      <c r="K129" s="41">
        <v>0.5</v>
      </c>
      <c r="L129" s="41">
        <v>0.5</v>
      </c>
      <c r="M129">
        <v>0.50019999999999998</v>
      </c>
      <c r="O129" t="s">
        <v>109</v>
      </c>
    </row>
    <row r="130" spans="7:15" x14ac:dyDescent="0.25">
      <c r="G130" t="s">
        <v>246</v>
      </c>
      <c r="H130" s="41">
        <v>4</v>
      </c>
      <c r="I130" s="41">
        <v>9</v>
      </c>
      <c r="J130" s="41">
        <v>0.5</v>
      </c>
      <c r="K130" s="41">
        <v>0.5</v>
      </c>
      <c r="L130" s="41">
        <v>0.5</v>
      </c>
      <c r="M130">
        <v>2.0000000000000001E-4</v>
      </c>
      <c r="O130" t="s">
        <v>109</v>
      </c>
    </row>
    <row r="131" spans="7:15" x14ac:dyDescent="0.25">
      <c r="G131" t="s">
        <v>247</v>
      </c>
      <c r="H131" s="41">
        <v>4</v>
      </c>
      <c r="I131" s="41">
        <v>9</v>
      </c>
      <c r="J131" s="41">
        <v>0.5625</v>
      </c>
      <c r="K131" s="41">
        <v>0.5</v>
      </c>
      <c r="L131" s="41">
        <v>0.5</v>
      </c>
      <c r="M131">
        <v>6.2700000000000006E-2</v>
      </c>
      <c r="O131" t="s">
        <v>109</v>
      </c>
    </row>
    <row r="132" spans="7:15" x14ac:dyDescent="0.25">
      <c r="G132" t="s">
        <v>248</v>
      </c>
      <c r="H132" s="41">
        <v>4</v>
      </c>
      <c r="I132" s="41">
        <v>9</v>
      </c>
      <c r="J132" s="41">
        <v>0.625</v>
      </c>
      <c r="K132" s="41">
        <v>0.5</v>
      </c>
      <c r="L132" s="41">
        <v>0.5</v>
      </c>
      <c r="M132">
        <v>0.12520000000000001</v>
      </c>
      <c r="O132" t="s">
        <v>109</v>
      </c>
    </row>
    <row r="133" spans="7:15" x14ac:dyDescent="0.25">
      <c r="G133" t="s">
        <v>249</v>
      </c>
      <c r="H133" s="41">
        <v>5</v>
      </c>
      <c r="I133" s="41">
        <v>5</v>
      </c>
      <c r="J133" s="41">
        <v>0.3125</v>
      </c>
      <c r="K133" s="41">
        <v>0.5</v>
      </c>
      <c r="L133" s="41">
        <v>0.3125</v>
      </c>
      <c r="M133">
        <v>2.0000000000000001E-4</v>
      </c>
      <c r="O133" t="s">
        <v>109</v>
      </c>
    </row>
    <row r="134" spans="7:15" x14ac:dyDescent="0.25">
      <c r="G134" t="s">
        <v>250</v>
      </c>
      <c r="H134" s="41">
        <v>5</v>
      </c>
      <c r="I134" s="41">
        <v>5</v>
      </c>
      <c r="J134" s="41">
        <v>0.37500000000000006</v>
      </c>
      <c r="K134" s="41">
        <v>0.5</v>
      </c>
      <c r="L134" s="41">
        <v>0.37500000000000006</v>
      </c>
      <c r="M134">
        <v>2.0000000000000001E-4</v>
      </c>
      <c r="O134" t="s">
        <v>109</v>
      </c>
    </row>
    <row r="135" spans="7:15" x14ac:dyDescent="0.25">
      <c r="G135" t="s">
        <v>251</v>
      </c>
      <c r="H135" s="41">
        <v>5</v>
      </c>
      <c r="I135" s="41">
        <v>5</v>
      </c>
      <c r="J135" s="41">
        <v>0.4375</v>
      </c>
      <c r="K135" s="41">
        <v>0.5</v>
      </c>
      <c r="L135" s="41">
        <v>0.4375</v>
      </c>
      <c r="M135">
        <v>2.0000000000000001E-4</v>
      </c>
      <c r="O135" t="s">
        <v>109</v>
      </c>
    </row>
    <row r="136" spans="7:15" x14ac:dyDescent="0.25">
      <c r="G136" t="s">
        <v>252</v>
      </c>
      <c r="H136" s="41">
        <v>5</v>
      </c>
      <c r="I136" s="41">
        <v>5</v>
      </c>
      <c r="J136" s="41">
        <v>0.5</v>
      </c>
      <c r="K136" s="41">
        <v>0.5</v>
      </c>
      <c r="L136" s="41">
        <v>0.5</v>
      </c>
      <c r="M136">
        <v>2.0000000000000001E-4</v>
      </c>
      <c r="O136" t="s">
        <v>109</v>
      </c>
    </row>
    <row r="137" spans="7:15" x14ac:dyDescent="0.25">
      <c r="G137" t="s">
        <v>253</v>
      </c>
      <c r="H137" s="41">
        <v>5</v>
      </c>
      <c r="I137" s="41">
        <v>5</v>
      </c>
      <c r="J137" s="41">
        <v>0.625</v>
      </c>
      <c r="K137" s="41">
        <v>0.5</v>
      </c>
      <c r="L137" s="41">
        <v>0.5</v>
      </c>
      <c r="M137">
        <v>0.12520000000000001</v>
      </c>
      <c r="O137" t="s">
        <v>109</v>
      </c>
    </row>
    <row r="138" spans="7:15" x14ac:dyDescent="0.25">
      <c r="G138" t="s">
        <v>254</v>
      </c>
      <c r="H138" s="41">
        <v>5</v>
      </c>
      <c r="I138" s="41">
        <v>5</v>
      </c>
      <c r="J138" s="41">
        <v>0.75000000000000011</v>
      </c>
      <c r="K138" s="41">
        <v>0.5</v>
      </c>
      <c r="L138" s="41">
        <v>0.5</v>
      </c>
      <c r="M138">
        <v>0.25020000000000009</v>
      </c>
      <c r="O138" t="s">
        <v>109</v>
      </c>
    </row>
    <row r="139" spans="7:15" x14ac:dyDescent="0.25">
      <c r="G139" t="s">
        <v>255</v>
      </c>
      <c r="H139" s="41">
        <v>5</v>
      </c>
      <c r="I139" s="41">
        <v>5</v>
      </c>
      <c r="J139" s="41">
        <v>0.875</v>
      </c>
      <c r="K139" s="41">
        <v>0.5</v>
      </c>
      <c r="L139" s="41">
        <v>0.5</v>
      </c>
      <c r="M139">
        <v>0.37519999999999998</v>
      </c>
      <c r="O139" t="s">
        <v>109</v>
      </c>
    </row>
    <row r="140" spans="7:15" x14ac:dyDescent="0.25">
      <c r="G140" t="s">
        <v>256</v>
      </c>
      <c r="H140" s="41">
        <v>6.0000000000000009</v>
      </c>
      <c r="I140" s="41">
        <v>6.0000000000000009</v>
      </c>
      <c r="J140" s="41">
        <v>0.3125</v>
      </c>
      <c r="K140" s="41">
        <v>0.5</v>
      </c>
      <c r="L140" s="41">
        <v>0.3125</v>
      </c>
      <c r="M140">
        <v>2.0000000000000001E-4</v>
      </c>
      <c r="N140" t="s">
        <v>257</v>
      </c>
      <c r="O140" t="s">
        <v>109</v>
      </c>
    </row>
    <row r="141" spans="7:15" x14ac:dyDescent="0.25">
      <c r="G141" t="s">
        <v>258</v>
      </c>
      <c r="H141" s="41">
        <v>6.0000000000000009</v>
      </c>
      <c r="I141" s="41">
        <v>6.0000000000000009</v>
      </c>
      <c r="J141" s="41">
        <v>0.37500000000000006</v>
      </c>
      <c r="K141" s="41">
        <v>0.5</v>
      </c>
      <c r="L141" s="41">
        <v>0.37500000000000006</v>
      </c>
      <c r="M141">
        <v>2.0000000000000001E-4</v>
      </c>
      <c r="O141" t="s">
        <v>109</v>
      </c>
    </row>
    <row r="142" spans="7:15" x14ac:dyDescent="0.25">
      <c r="G142" t="s">
        <v>259</v>
      </c>
      <c r="H142" s="41">
        <v>6.0000000000000009</v>
      </c>
      <c r="I142" s="41">
        <v>6.0000000000000009</v>
      </c>
      <c r="J142" s="41">
        <v>0.4375</v>
      </c>
      <c r="K142" s="41">
        <v>0.5</v>
      </c>
      <c r="L142" s="41">
        <v>0.4375</v>
      </c>
      <c r="M142">
        <v>2.0000000000000001E-4</v>
      </c>
      <c r="O142" t="s">
        <v>109</v>
      </c>
    </row>
    <row r="143" spans="7:15" x14ac:dyDescent="0.25">
      <c r="G143" t="s">
        <v>260</v>
      </c>
      <c r="H143" s="41">
        <v>6.0000000000000009</v>
      </c>
      <c r="I143" s="41">
        <v>6.0000000000000009</v>
      </c>
      <c r="J143" s="41">
        <v>0.5</v>
      </c>
      <c r="K143" s="41">
        <v>0.5</v>
      </c>
      <c r="L143" s="41">
        <v>0.5</v>
      </c>
      <c r="M143">
        <v>2.0000000000000001E-4</v>
      </c>
      <c r="O143" t="s">
        <v>109</v>
      </c>
    </row>
    <row r="144" spans="7:15" x14ac:dyDescent="0.25">
      <c r="G144" t="s">
        <v>261</v>
      </c>
      <c r="H144" s="41">
        <v>6.0000000000000009</v>
      </c>
      <c r="I144" s="41">
        <v>6.0000000000000009</v>
      </c>
      <c r="J144" s="41">
        <v>0.5625</v>
      </c>
      <c r="K144" s="41">
        <v>0.5</v>
      </c>
      <c r="L144" s="41">
        <v>0.5</v>
      </c>
      <c r="M144">
        <v>6.2700000000000006E-2</v>
      </c>
      <c r="O144" t="s">
        <v>109</v>
      </c>
    </row>
    <row r="145" spans="7:15" x14ac:dyDescent="0.25">
      <c r="G145" t="s">
        <v>262</v>
      </c>
      <c r="H145" s="41">
        <v>6.0000000000000009</v>
      </c>
      <c r="I145" s="41">
        <v>6.0000000000000009</v>
      </c>
      <c r="J145" s="41">
        <v>0.625</v>
      </c>
      <c r="K145" s="41">
        <v>0.5</v>
      </c>
      <c r="L145" s="41">
        <v>0.5</v>
      </c>
      <c r="M145">
        <v>0.12520000000000001</v>
      </c>
      <c r="O145" t="s">
        <v>109</v>
      </c>
    </row>
    <row r="146" spans="7:15" x14ac:dyDescent="0.25">
      <c r="G146" t="s">
        <v>263</v>
      </c>
      <c r="H146" s="41">
        <v>6.0000000000000009</v>
      </c>
      <c r="I146" s="41">
        <v>6.0000000000000009</v>
      </c>
      <c r="J146" s="41">
        <v>0.75000000000000011</v>
      </c>
      <c r="K146" s="41">
        <v>0.5</v>
      </c>
      <c r="L146" s="41">
        <v>0.5</v>
      </c>
      <c r="M146">
        <v>0.25020000000000009</v>
      </c>
      <c r="O146" t="s">
        <v>109</v>
      </c>
    </row>
    <row r="147" spans="7:15" x14ac:dyDescent="0.25">
      <c r="G147" t="s">
        <v>264</v>
      </c>
      <c r="H147" s="41">
        <v>6.0000000000000009</v>
      </c>
      <c r="I147" s="41">
        <v>6.0000000000000009</v>
      </c>
      <c r="J147" s="41">
        <v>0.875</v>
      </c>
      <c r="K147" s="41">
        <v>0.5</v>
      </c>
      <c r="L147" s="41">
        <v>0.5</v>
      </c>
      <c r="M147">
        <v>0.37519999999999998</v>
      </c>
      <c r="O147" t="s">
        <v>109</v>
      </c>
    </row>
    <row r="148" spans="7:15" x14ac:dyDescent="0.25">
      <c r="G148" t="s">
        <v>265</v>
      </c>
      <c r="H148" s="41">
        <v>6.0000000000000009</v>
      </c>
      <c r="I148" s="41">
        <v>6.0000000000000009</v>
      </c>
      <c r="J148" s="41">
        <v>1</v>
      </c>
      <c r="K148" s="41">
        <v>0.5</v>
      </c>
      <c r="L148" s="41">
        <v>0.5</v>
      </c>
      <c r="M148">
        <v>0.50019999999999998</v>
      </c>
      <c r="O148" t="s">
        <v>109</v>
      </c>
    </row>
    <row r="149" spans="7:15" x14ac:dyDescent="0.25">
      <c r="G149" t="s">
        <v>266</v>
      </c>
      <c r="H149" s="41">
        <v>6.0000000000000009</v>
      </c>
      <c r="I149" s="41">
        <v>8</v>
      </c>
      <c r="J149" s="41">
        <v>0.4375</v>
      </c>
      <c r="K149" s="41">
        <v>0.5</v>
      </c>
      <c r="L149" s="41">
        <v>0.4375</v>
      </c>
      <c r="M149">
        <v>2.0000000000000001E-4</v>
      </c>
      <c r="O149" t="s">
        <v>109</v>
      </c>
    </row>
    <row r="150" spans="7:15" x14ac:dyDescent="0.25">
      <c r="G150" t="s">
        <v>267</v>
      </c>
      <c r="H150" s="41">
        <v>6.0000000000000009</v>
      </c>
      <c r="I150" s="41">
        <v>8</v>
      </c>
      <c r="J150" s="41">
        <v>0.5</v>
      </c>
      <c r="K150" s="41">
        <v>0.5</v>
      </c>
      <c r="L150" s="41">
        <v>0.5</v>
      </c>
      <c r="M150">
        <v>2.0000000000000001E-4</v>
      </c>
      <c r="O150" t="s">
        <v>109</v>
      </c>
    </row>
    <row r="151" spans="7:15" x14ac:dyDescent="0.25">
      <c r="G151" t="s">
        <v>268</v>
      </c>
      <c r="H151" s="41">
        <v>6.0000000000000009</v>
      </c>
      <c r="I151" s="41">
        <v>8</v>
      </c>
      <c r="J151" s="41">
        <v>0.5625</v>
      </c>
      <c r="K151" s="41">
        <v>0.5</v>
      </c>
      <c r="L151" s="41">
        <v>0.5</v>
      </c>
      <c r="M151">
        <v>6.2700000000000006E-2</v>
      </c>
      <c r="O151" t="s">
        <v>109</v>
      </c>
    </row>
    <row r="152" spans="7:15" x14ac:dyDescent="0.25">
      <c r="G152" t="s">
        <v>269</v>
      </c>
      <c r="H152" s="41">
        <v>6.0000000000000009</v>
      </c>
      <c r="I152" s="41">
        <v>8</v>
      </c>
      <c r="J152" s="41">
        <v>0.625</v>
      </c>
      <c r="K152" s="41">
        <v>0.5</v>
      </c>
      <c r="L152" s="41">
        <v>0.5</v>
      </c>
      <c r="M152">
        <v>0.12520000000000001</v>
      </c>
      <c r="O152" t="s">
        <v>109</v>
      </c>
    </row>
    <row r="153" spans="7:15" x14ac:dyDescent="0.25">
      <c r="G153" t="s">
        <v>270</v>
      </c>
      <c r="H153" s="41">
        <v>6.0000000000000009</v>
      </c>
      <c r="I153" s="41">
        <v>8</v>
      </c>
      <c r="J153" s="41">
        <v>0.75000000000000011</v>
      </c>
      <c r="K153" s="41">
        <v>0.5</v>
      </c>
      <c r="L153" s="41">
        <v>0.5</v>
      </c>
      <c r="M153">
        <v>0.25020000000000009</v>
      </c>
      <c r="O153" t="s">
        <v>109</v>
      </c>
    </row>
    <row r="154" spans="7:15" x14ac:dyDescent="0.25">
      <c r="G154" t="s">
        <v>271</v>
      </c>
      <c r="H154" s="41">
        <v>6.0000000000000009</v>
      </c>
      <c r="I154" s="41">
        <v>8</v>
      </c>
      <c r="J154" s="41">
        <v>0.875</v>
      </c>
      <c r="K154" s="41">
        <v>0.5</v>
      </c>
      <c r="L154" s="41">
        <v>0.5</v>
      </c>
      <c r="M154">
        <v>0.37519999999999998</v>
      </c>
      <c r="O154" t="s">
        <v>109</v>
      </c>
    </row>
    <row r="155" spans="7:15" x14ac:dyDescent="0.25">
      <c r="G155" t="s">
        <v>272</v>
      </c>
      <c r="H155" s="41">
        <v>6.0000000000000009</v>
      </c>
      <c r="I155" s="41">
        <v>8</v>
      </c>
      <c r="J155" s="41">
        <v>1</v>
      </c>
      <c r="K155" s="41">
        <v>0.5</v>
      </c>
      <c r="L155" s="41">
        <v>0.5</v>
      </c>
      <c r="M155">
        <v>0.50019999999999998</v>
      </c>
      <c r="O155" t="s">
        <v>109</v>
      </c>
    </row>
    <row r="156" spans="7:15" x14ac:dyDescent="0.25">
      <c r="G156" t="s">
        <v>273</v>
      </c>
      <c r="H156" s="41">
        <v>8</v>
      </c>
      <c r="I156" s="41">
        <v>8</v>
      </c>
      <c r="J156" s="41">
        <v>0.5</v>
      </c>
      <c r="K156" s="41">
        <v>0.625</v>
      </c>
      <c r="L156" s="41">
        <v>0.625</v>
      </c>
      <c r="M156">
        <v>2.0000000000000001E-4</v>
      </c>
      <c r="O156" t="s">
        <v>109</v>
      </c>
    </row>
    <row r="157" spans="7:15" x14ac:dyDescent="0.25">
      <c r="G157" t="s">
        <v>274</v>
      </c>
      <c r="H157" s="41">
        <v>8</v>
      </c>
      <c r="I157" s="41">
        <v>8</v>
      </c>
      <c r="J157" s="41">
        <v>0.5625</v>
      </c>
      <c r="K157" s="41">
        <v>0.625</v>
      </c>
      <c r="L157" s="41">
        <v>0.625</v>
      </c>
      <c r="M157">
        <v>2.0000000000000001E-4</v>
      </c>
      <c r="O157" t="s">
        <v>109</v>
      </c>
    </row>
    <row r="158" spans="7:15" x14ac:dyDescent="0.25">
      <c r="G158" t="s">
        <v>275</v>
      </c>
      <c r="H158" s="41">
        <v>8</v>
      </c>
      <c r="I158" s="41">
        <v>8</v>
      </c>
      <c r="J158" s="41">
        <v>0.625</v>
      </c>
      <c r="K158" s="41">
        <v>0.625</v>
      </c>
      <c r="L158" s="41">
        <v>0.625</v>
      </c>
      <c r="M158">
        <v>2.0000000000000001E-4</v>
      </c>
      <c r="O158" t="s">
        <v>109</v>
      </c>
    </row>
    <row r="159" spans="7:15" x14ac:dyDescent="0.25">
      <c r="G159" t="s">
        <v>276</v>
      </c>
      <c r="H159" s="41">
        <v>8</v>
      </c>
      <c r="I159" s="41">
        <v>8</v>
      </c>
      <c r="J159" s="41">
        <v>0.75000000000000011</v>
      </c>
      <c r="K159" s="41">
        <v>0.625</v>
      </c>
      <c r="L159" s="41">
        <v>0.625</v>
      </c>
      <c r="M159">
        <v>0.12520000000000012</v>
      </c>
      <c r="O159" t="s">
        <v>109</v>
      </c>
    </row>
    <row r="160" spans="7:15" x14ac:dyDescent="0.25">
      <c r="G160" t="s">
        <v>277</v>
      </c>
      <c r="H160" s="41">
        <v>8</v>
      </c>
      <c r="I160" s="41">
        <v>8</v>
      </c>
      <c r="J160" s="41">
        <v>0.875</v>
      </c>
      <c r="K160" s="41">
        <v>0.625</v>
      </c>
      <c r="L160" s="41">
        <v>0.625</v>
      </c>
      <c r="M160">
        <v>0.25019999999999998</v>
      </c>
      <c r="O160" t="s">
        <v>109</v>
      </c>
    </row>
    <row r="161" spans="7:15" x14ac:dyDescent="0.25">
      <c r="G161" t="s">
        <v>278</v>
      </c>
      <c r="H161" s="41">
        <v>8</v>
      </c>
      <c r="I161" s="41">
        <v>8</v>
      </c>
      <c r="J161" s="41">
        <v>1</v>
      </c>
      <c r="K161" s="41">
        <v>0.625</v>
      </c>
      <c r="L161" s="41">
        <v>0.625</v>
      </c>
      <c r="M161">
        <v>0.37519999999999998</v>
      </c>
      <c r="O161" t="s">
        <v>109</v>
      </c>
    </row>
    <row r="162" spans="7:15" x14ac:dyDescent="0.25">
      <c r="G162" t="s">
        <v>279</v>
      </c>
      <c r="H162" s="41">
        <v>8</v>
      </c>
      <c r="I162" s="41">
        <v>8</v>
      </c>
      <c r="J162" s="41">
        <v>1.125</v>
      </c>
      <c r="K162" s="41">
        <v>0.625</v>
      </c>
      <c r="L162" s="41">
        <v>0.625</v>
      </c>
      <c r="M162">
        <v>0.50019999999999998</v>
      </c>
      <c r="O162" t="s">
        <v>109</v>
      </c>
    </row>
    <row r="163" spans="7:15" x14ac:dyDescent="0.25">
      <c r="G163" t="s">
        <v>56</v>
      </c>
      <c r="H163" t="s">
        <v>56</v>
      </c>
      <c r="I163" t="s">
        <v>56</v>
      </c>
      <c r="J163" t="s">
        <v>56</v>
      </c>
      <c r="K163" t="s">
        <v>56</v>
      </c>
      <c r="L163" t="s">
        <v>56</v>
      </c>
      <c r="M163" t="s">
        <v>56</v>
      </c>
      <c r="N163" t="s">
        <v>56</v>
      </c>
      <c r="O163" s="20" t="s">
        <v>109</v>
      </c>
    </row>
  </sheetData>
  <dataValidations count="5">
    <dataValidation type="list" allowBlank="1" showErrorMessage="1" errorTitle="SOLIDWORKS Error:" error="The value you have entered is invalid.  Please enter a valid value before continuing." promptTitle="$STATE@Spacer Bar Options" prompt="Select to suppress or unsuppress the feature_x000a_Possible Options:_x000a_Suppressed_x000a_Unsuppressed_x000a_S = Suppressed_x000a_U = Unsuppressed_x000a_1 = Suppressed_x000a_0 = Unsuppressed" sqref="L10" xr:uid="{00000000-0002-0000-0100-000000000000}">
      <formula1>"SUPPRESSED,UNSUPPRESSED,S,U,1,0"</formula1>
    </dataValidation>
    <dataValidation allowBlank="1" sqref="D5:F10 I5:K10 AA5:AA10 M5:O10 S5:V10 X5:Y10 P5:Q7 P9:Q10 O4:Q4" xr:uid="{00000000-0002-0000-0100-000001000000}"/>
    <dataValidation type="list" allowBlank="1" showErrorMessage="1" errorTitle="SOLIDWORKS Error:" error="The value you have entered is invalid.  Please enter a valid value before continuing." promptTitle="$STATE@Bolt on Bar Option" prompt="Select to suppress or unsuppress the feature_x000a_Possible Options:_x000a_Suppressed_x000a_Unsuppressed_x000a_S = Suppressed_x000a_U = Unsuppressed_x000a_1 = Suppressed_x000a_0 = Unsuppressed" sqref="C5" xr:uid="{00000000-0002-0000-0100-000002000000}">
      <formula1>"SUPPRESSED,UNSUPPRESSED,S,U,1,0"</formula1>
    </dataValidation>
    <dataValidation allowBlank="1" errorTitle="SolidWorks Error:" error="The value you have entered is invalid.  Please enter a valid value before continuing." promptTitle="$STATE@Bolt on Bar Option" prompt="Select to suppress or unsuppress the feature_x000a_Possible Options:_x000a_Suppressed_x000a_Unsuppressed_x000a_S = Suppressed_x000a_U = Unsuppressed_x000a_1 = Suppressed_x000a_0 = Unsuppressed" sqref="D4:F4 M4:N4 I4:K4 W5:W10 Z5:Z11 S4:AA4" xr:uid="{00000000-0002-0000-0100-000003000000}"/>
    <dataValidation type="list" allowBlank="1" showErrorMessage="1" errorTitle="SolidWorks Error:" error="The value you have entered is invalid.  Please enter a valid value before continuing." promptTitle="$STATE@Bolt on Bar Option" prompt="Select to suppress or unsuppress the feature_x000a_Possible Options:_x000a_Suppressed_x000a_Unsuppressed_x000a_S = Suppressed_x000a_U = Unsuppressed_x000a_1 = Suppressed_x000a_0 = Unsuppressed" sqref="L4:L9 C6:C10 C4 G4:H10 R4:R10" xr:uid="{00000000-0002-0000-0100-000004000000}">
      <formula1>"SUPPRESSED,UNSUPPRESSED,S,U,1,0"</formula1>
    </dataValidation>
  </dataValidations>
  <pageMargins left="0.7" right="0.7" top="0.75" bottom="0.75" header="0.3" footer="0.3"/>
  <pageSetup orientation="portrait" horizontalDpi="4294967293" r:id="rId1"/>
  <ignoredErrors>
    <ignoredError sqref="R8 H6 L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Data</vt:lpstr>
      <vt:lpstr>Family</vt:lpstr>
      <vt:lpstr>L_Angle_List</vt:lpstr>
      <vt:lpstr>L_Angle_Table</vt:lpstr>
      <vt:lpstr>ProductLine</vt:lpstr>
      <vt:lpstr>TTS</vt:lpstr>
      <vt:lpstr>TTS_List</vt:lpstr>
      <vt:lpstr>TTS_Table_Ref</vt:lpstr>
      <vt:lpstr>TTS_Type</vt:lpstr>
    </vt:vector>
  </TitlesOfParts>
  <Company>Harsco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Stietz</dc:creator>
  <cp:lastModifiedBy>Tietz, Steven</cp:lastModifiedBy>
  <dcterms:created xsi:type="dcterms:W3CDTF">2014-07-13T12:56:33Z</dcterms:created>
  <dcterms:modified xsi:type="dcterms:W3CDTF">2023-11-01T18:17:56Z</dcterms:modified>
</cp:coreProperties>
</file>