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xr:revisionPtr revIDLastSave="0" documentId="8_{52DD8593-FBA0-421E-9E98-1E9468DA92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Data" sheetId="2" state="hidden" r:id="rId2"/>
  </sheets>
  <definedNames>
    <definedName name="Band_Move_Direction_Table">Data!$Z$4:$AB$7</definedName>
    <definedName name="Band_Spacing">Sheet1!$AR$6</definedName>
    <definedName name="BWG_Table">Data!$F$6:$G$21</definedName>
    <definedName name="Center_Band_Direction">Sheet1!$AV$6</definedName>
    <definedName name="Center_Band_Move?">Sheet1!$AW$6</definedName>
    <definedName name="Center_Band_Offset">Sheet1!$AT$6</definedName>
    <definedName name="Center_Band_Offset_Direction">Sheet1!$AX$6</definedName>
    <definedName name="Family">Sheet1!$A$5</definedName>
    <definedName name="Fin_Coating_List">Data!$Q$3:$Q$5</definedName>
    <definedName name="Fin_Material_List">Data!$O$3:$O$6</definedName>
    <definedName name="Fin_Size">Sheet1!$E$6</definedName>
    <definedName name="Fin_Type">Sheet1!$J$6</definedName>
    <definedName name="FinTube_Size_Table">Data!$AH$4:$AM$10</definedName>
    <definedName name="First_Band_Loc">Sheet1!$AP$6</definedName>
    <definedName name="Material_List">Data!$M$3:$M$9</definedName>
    <definedName name="PMI_Req_List">Data!$S$3:$S$4</definedName>
    <definedName name="QTY_of_Bands">Sheet1!$AN$6</definedName>
    <definedName name="QTY_of_Front_Spaces">Sheet1!$BA$6</definedName>
    <definedName name="QTY_of_Mid_Spaces">Sheet1!$AZ$6</definedName>
    <definedName name="QTY_of_Rear_Spaces">Sheet1!$BB$6</definedName>
    <definedName name="QTY_of_Spaces">Sheet1!$AY$6</definedName>
    <definedName name="Raw_Fin_Table">Data!$AD$4:$AF$6</definedName>
    <definedName name="Tube_Dia">Sheet1!$C$6</definedName>
    <definedName name="Tube_Length">Sheet1!$AL$6</definedName>
    <definedName name="Tube_Types_List">Data!$U$4:$U$8</definedName>
    <definedName name="Tube_Types_Table">Data!$U$4:$X$8</definedName>
    <definedName name="Tube_Wall">Data!$F$6:$F$21</definedName>
    <definedName name="Tube_Wall_Type_Table">Data!$I$6:$K$8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9" i="2" l="1"/>
  <c r="AK9" i="2"/>
  <c r="AH9" i="2"/>
  <c r="AL8" i="2"/>
  <c r="AK8" i="2"/>
  <c r="AH8" i="2"/>
  <c r="AK7" i="2"/>
  <c r="AL7" i="2" s="1"/>
  <c r="AH7" i="2"/>
  <c r="AL6" i="2"/>
  <c r="AJ6" i="2"/>
  <c r="AI6" i="2"/>
  <c r="AH6" i="2"/>
  <c r="AK5" i="2"/>
  <c r="AL5" i="2" s="1"/>
  <c r="AH5" i="2"/>
  <c r="AL4" i="2"/>
  <c r="AH4" i="2"/>
  <c r="W4" i="2"/>
  <c r="O9" i="1" s="1"/>
  <c r="CG6" i="1"/>
  <c r="CF6" i="1"/>
  <c r="CE6" i="1"/>
  <c r="CD6" i="1"/>
  <c r="BS6" i="1"/>
  <c r="BQ6" i="1"/>
  <c r="BP6" i="1"/>
  <c r="BO6" i="1"/>
  <c r="BN6" i="1"/>
  <c r="BM6" i="1"/>
  <c r="BK6" i="1"/>
  <c r="BJ6" i="1"/>
  <c r="AV6" i="1"/>
  <c r="AT6" i="1"/>
  <c r="AR6" i="1"/>
  <c r="AP6" i="1"/>
  <c r="AN6" i="1"/>
  <c r="AY6" i="1" s="1"/>
  <c r="AZ6" i="1" s="1"/>
  <c r="BA6" i="1" s="1"/>
  <c r="BB6" i="1" s="1"/>
  <c r="AL6" i="1"/>
  <c r="AI6" i="1"/>
  <c r="AJ6" i="1" s="1"/>
  <c r="AH6" i="1"/>
  <c r="AG6" i="1"/>
  <c r="AE6" i="1"/>
  <c r="AD6" i="1"/>
  <c r="AA6" i="1"/>
  <c r="Z6" i="1"/>
  <c r="W6" i="1"/>
  <c r="V6" i="1"/>
  <c r="S6" i="1"/>
  <c r="R6" i="1"/>
  <c r="Q6" i="1"/>
  <c r="P6" i="1"/>
  <c r="BL6" i="1" s="1"/>
  <c r="E6" i="1"/>
  <c r="C6" i="1"/>
  <c r="W11" i="2" s="1"/>
  <c r="CG5" i="1"/>
  <c r="CF5" i="1"/>
  <c r="CE5" i="1"/>
  <c r="CD5" i="1"/>
  <c r="K5" i="1"/>
  <c r="A2" i="1"/>
  <c r="F2" i="1" s="1"/>
  <c r="BH6" i="1" l="1"/>
  <c r="AW6" i="1"/>
  <c r="AX6" i="1" s="1"/>
  <c r="BE6" i="1" s="1"/>
  <c r="BF6" i="1" s="1"/>
  <c r="V4" i="2"/>
  <c r="BY6" i="1"/>
  <c r="BC6" i="1"/>
  <c r="BD6" i="1"/>
  <c r="O6" i="1"/>
  <c r="BG6" i="1"/>
  <c r="W5" i="2"/>
  <c r="BI10" i="1"/>
  <c r="BI11" i="1" s="1"/>
  <c r="V11" i="2"/>
  <c r="D2" i="1"/>
  <c r="BU6" i="1" s="1"/>
  <c r="BI6" i="1" l="1"/>
  <c r="BI7" i="1" s="1"/>
  <c r="BW6" i="1"/>
  <c r="BV6" i="1"/>
  <c r="CB6" i="1"/>
  <c r="BX6" i="1"/>
  <c r="U6" i="1"/>
  <c r="BT6" i="1"/>
  <c r="AC6" i="1"/>
  <c r="Y6" i="1"/>
  <c r="N9" i="1"/>
  <c r="V5" i="2"/>
  <c r="N6" i="1"/>
  <c r="AF6" i="1" l="1"/>
  <c r="T6" i="1"/>
  <c r="BR6" i="1"/>
  <c r="AB6" i="1"/>
  <c r="X6" i="1"/>
</calcChain>
</file>

<file path=xl/sharedStrings.xml><?xml version="1.0" encoding="utf-8"?>
<sst xmlns="http://schemas.openxmlformats.org/spreadsheetml/2006/main" count="303" uniqueCount="158">
  <si>
    <t/>
  </si>
  <si>
    <t>Default</t>
  </si>
  <si>
    <t>$STATE@Fin L-Tension Plain Structural Member</t>
  </si>
  <si>
    <t>$STATE@Fin Embedded Structural Member</t>
  </si>
  <si>
    <t>$STATE@Fin Extruded Structural Member</t>
  </si>
  <si>
    <t>$STATE@Fin L-Tension Wheel Structural Member</t>
  </si>
  <si>
    <t>$STATE@Tube Min</t>
  </si>
  <si>
    <t>End of List</t>
  </si>
  <si>
    <t>$User_Notes</t>
  </si>
  <si>
    <t>Fin Type</t>
  </si>
  <si>
    <t>L-Tension Wheel</t>
  </si>
  <si>
    <t>L-Tension Plain</t>
  </si>
  <si>
    <t>Embedded</t>
  </si>
  <si>
    <t>Extruded</t>
  </si>
  <si>
    <t>Tube Type</t>
  </si>
  <si>
    <t>Tube Size Ref</t>
  </si>
  <si>
    <t>AXC materials:SA214</t>
  </si>
  <si>
    <t>Fin Material</t>
  </si>
  <si>
    <t>Fin L-Tension Plain</t>
  </si>
  <si>
    <t>Fin Embedded</t>
  </si>
  <si>
    <t>Fin Extruded</t>
  </si>
  <si>
    <t>Tube material</t>
  </si>
  <si>
    <t>$STATE@Tube Avg</t>
  </si>
  <si>
    <t>MIN</t>
  </si>
  <si>
    <t>Material_List</t>
  </si>
  <si>
    <t>AXC materials:SA179</t>
  </si>
  <si>
    <t>AXC materials:SA249 304L</t>
  </si>
  <si>
    <t>AXC materials:SA213 316L</t>
  </si>
  <si>
    <t>AXC materials:SA249 316L</t>
  </si>
  <si>
    <t>End Of List</t>
  </si>
  <si>
    <t>BWG_Table</t>
  </si>
  <si>
    <t>AVG</t>
  </si>
  <si>
    <t>SA249 316L</t>
  </si>
  <si>
    <t>SA249 304L</t>
  </si>
  <si>
    <t>SA214</t>
  </si>
  <si>
    <t>SA179</t>
  </si>
  <si>
    <t>Wall thk</t>
  </si>
  <si>
    <t>BWG</t>
  </si>
  <si>
    <t>Tube_wall</t>
  </si>
  <si>
    <t>Tube Wall Thickness</t>
  </si>
  <si>
    <t>Fin Height Raw@Sketch11</t>
  </si>
  <si>
    <t>Fin Thk@Sketch11</t>
  </si>
  <si>
    <t>Fin Thickness</t>
  </si>
  <si>
    <t>L Tension Plain</t>
  </si>
  <si>
    <t>L Tension Wheel</t>
  </si>
  <si>
    <t>Fin Thk@Sketch12</t>
  </si>
  <si>
    <t>Fin Height Raw@Sketch12</t>
  </si>
  <si>
    <t>&lt;- section number</t>
  </si>
  <si>
    <t>Properties</t>
  </si>
  <si>
    <t>SectionNo</t>
  </si>
  <si>
    <t>Part No</t>
  </si>
  <si>
    <t>$PRP@SectionNo</t>
  </si>
  <si>
    <t>$PRP@PartNo</t>
  </si>
  <si>
    <t>$PRP@JobNumber</t>
  </si>
  <si>
    <t>Job Number</t>
  </si>
  <si>
    <t>$STATE@Tube AVG Structural Member</t>
  </si>
  <si>
    <t>Tube Avg Folder On / Off</t>
  </si>
  <si>
    <t>Tube Avg On / Off</t>
  </si>
  <si>
    <t>Tube Min Folder On / Off</t>
  </si>
  <si>
    <t>$STATE@Tube MIN Structural Member</t>
  </si>
  <si>
    <t>Tube Min On / Off</t>
  </si>
  <si>
    <t>Wall Type Ref (Min or Ave)</t>
  </si>
  <si>
    <t>Tube_Wall_Type_Table</t>
  </si>
  <si>
    <t>End of Row</t>
  </si>
  <si>
    <t>$PRP@FinType</t>
  </si>
  <si>
    <t>$PRP@TubeOD</t>
  </si>
  <si>
    <t>$PRP@TubeGuage</t>
  </si>
  <si>
    <t>$PRP@TubeMaterial</t>
  </si>
  <si>
    <t>$PRP@FinHeight</t>
  </si>
  <si>
    <t>$PRP@FinThk</t>
  </si>
  <si>
    <t>$PRP@FinsPerInch</t>
  </si>
  <si>
    <t>$PRP@FinMaterial</t>
  </si>
  <si>
    <t>$PRP@FinStockWidth</t>
  </si>
  <si>
    <t>BWG@Size</t>
  </si>
  <si>
    <t>Wall_Type@Size</t>
  </si>
  <si>
    <t>TubeDia@Size</t>
  </si>
  <si>
    <t>FinDia@Size</t>
  </si>
  <si>
    <t>Fin Size Ref</t>
  </si>
  <si>
    <t>Fin Width Raw</t>
  </si>
  <si>
    <t>none</t>
  </si>
  <si>
    <t>Tube_Types_List</t>
  </si>
  <si>
    <t>Tube_Types_Table</t>
  </si>
  <si>
    <t>Fins Per Inch (FPI)</t>
  </si>
  <si>
    <t>Wiiidder</t>
  </si>
  <si>
    <t>FPI@Sketch11</t>
  </si>
  <si>
    <t>FPI</t>
  </si>
  <si>
    <t>FPI@Sketch12</t>
  </si>
  <si>
    <t>FPI@Sketch13</t>
  </si>
  <si>
    <t>Fin Thk@Sketch13</t>
  </si>
  <si>
    <t>Fin Height Raw@Sketch13</t>
  </si>
  <si>
    <t>FPI@Sketch14</t>
  </si>
  <si>
    <t>Fin Thk@Sketch14</t>
  </si>
  <si>
    <t>↑</t>
  </si>
  <si>
    <t>Standard Values</t>
  </si>
  <si>
    <t>Design Table for: 000000_S03-Tube</t>
  </si>
  <si>
    <t>$LIBRARY:MATERIAL@000000_S03-Tube</t>
  </si>
  <si>
    <t>AXC materials:SB111 ADM</t>
  </si>
  <si>
    <t>QTY of BTS@Tube Banding</t>
  </si>
  <si>
    <t>BTS Offset Front or Rear@Tube Banding</t>
  </si>
  <si>
    <t>BTS Offset@Tube Banding</t>
  </si>
  <si>
    <t>Spacing@Tube Banding</t>
  </si>
  <si>
    <t>First Location@Tube Banding</t>
  </si>
  <si>
    <t>QTY of Tube Bands</t>
  </si>
  <si>
    <t>Location of 1st &amp; Last Tube Band
From end of tube</t>
  </si>
  <si>
    <t>Tube Band Spacing</t>
  </si>
  <si>
    <t>Center Tube Band Offset Amount</t>
  </si>
  <si>
    <t>Front</t>
  </si>
  <si>
    <t>Rear</t>
  </si>
  <si>
    <t>None</t>
  </si>
  <si>
    <t>Endo of List</t>
  </si>
  <si>
    <t>QTY of repeating Rear Spaces</t>
  </si>
  <si>
    <t>Last Band Location to end of Tube</t>
  </si>
  <si>
    <t>First Band Location from end of tube</t>
  </si>
  <si>
    <t>Front Space(s)</t>
  </si>
  <si>
    <t>Rear Space(s)</t>
  </si>
  <si>
    <t>Tube banding interpretations</t>
  </si>
  <si>
    <t>Tube Banding Break down</t>
  </si>
  <si>
    <t>$PRP@TubeBanding</t>
  </si>
  <si>
    <t>Tube Banding Ref Dims</t>
  </si>
  <si>
    <t>Middle Front space</t>
  </si>
  <si>
    <t>Middle Rear space</t>
  </si>
  <si>
    <t>Alternative formula:</t>
  </si>
  <si>
    <r>
      <rPr>
        <b/>
        <sz val="11"/>
        <color theme="1"/>
        <rFont val="Calibri"/>
        <family val="2"/>
        <scheme val="minor"/>
      </rPr>
      <t>QTY of spaces in the middle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Remove 2 end spaces</t>
    </r>
  </si>
  <si>
    <r>
      <rPr>
        <b/>
        <sz val="11"/>
        <color theme="1"/>
        <rFont val="Calibri"/>
        <family val="2"/>
        <scheme val="minor"/>
      </rPr>
      <t>QTY of repeating Front Spaces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Remove 2 middle spaces &amp; divide by 2</t>
    </r>
  </si>
  <si>
    <t>Tube Length@Tube Length</t>
  </si>
  <si>
    <t>Tube Length</t>
  </si>
  <si>
    <t>Center Band Move?</t>
  </si>
  <si>
    <t>Center Band Move Direction</t>
  </si>
  <si>
    <r>
      <rPr>
        <b/>
        <sz val="11"/>
        <color theme="1"/>
        <rFont val="Calibri"/>
        <family val="2"/>
        <scheme val="minor"/>
      </rPr>
      <t>QTY of spaces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1 more than the qty of Bands</t>
    </r>
  </si>
  <si>
    <t>Band_Move_Direction_Table</t>
  </si>
  <si>
    <r>
      <t>Center Tube Band Direction</t>
    </r>
    <r>
      <rPr>
        <sz val="11"/>
        <color theme="1"/>
        <rFont val="Calibri"/>
        <family val="2"/>
        <scheme val="minor"/>
      </rPr>
      <t xml:space="preserve">
 Front = 1 Rear = 2 none = 0</t>
    </r>
  </si>
  <si>
    <t>1100 ALUMINUM</t>
  </si>
  <si>
    <t>Fin_Material_List</t>
  </si>
  <si>
    <t>1060 ALUMINUM</t>
  </si>
  <si>
    <t>AL 5005</t>
  </si>
  <si>
    <t>Raw_Fin_Table</t>
  </si>
  <si>
    <t>Raw Fin Width / height</t>
  </si>
  <si>
    <t>Raw Fin Thk</t>
  </si>
  <si>
    <t>Tube Dia</t>
  </si>
  <si>
    <t>Fin Dia</t>
  </si>
  <si>
    <t>Raw Fin Strip Width</t>
  </si>
  <si>
    <t>FinTube_Size_Table</t>
  </si>
  <si>
    <t>Raw Fin Height</t>
  </si>
  <si>
    <t>PMI Required</t>
  </si>
  <si>
    <t>???</t>
  </si>
  <si>
    <t>Fin Coating</t>
  </si>
  <si>
    <t>$PRP@FinCoating</t>
  </si>
  <si>
    <t>$PRP@PMIRequired</t>
  </si>
  <si>
    <t>Fin_Coating_List</t>
  </si>
  <si>
    <t>PMI_Req_List</t>
  </si>
  <si>
    <t>N/A</t>
  </si>
  <si>
    <t>COPON DIP</t>
  </si>
  <si>
    <t>Section Number</t>
  </si>
  <si>
    <t>$PRP@SectionNumber</t>
  </si>
  <si>
    <t>Used On</t>
  </si>
  <si>
    <t>Type</t>
  </si>
  <si>
    <t>$PRP@USED ON</t>
  </si>
  <si>
    <t>$PRP@TYPE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</si>
</sst>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indexed="64"/>
      </left>
      <right/>
      <top/>
      <bottom/>
      <diagonal/>
    </border>
    <border>
      <left/>
      <right style="mediumDashDot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horizontal="center" textRotation="90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49" fontId="0" fillId="0" borderId="2" xfId="0" applyNumberFormat="1" applyBorder="1" applyAlignment="1">
      <alignment horizontal="center" textRotation="90"/>
    </xf>
    <xf numFmtId="49" fontId="0" fillId="3" borderId="2" xfId="0" applyNumberFormat="1" applyFill="1" applyBorder="1" applyAlignment="1">
      <alignment horizontal="center"/>
    </xf>
    <xf numFmtId="49" fontId="0" fillId="0" borderId="2" xfId="0" applyNumberFormat="1" applyBorder="1"/>
    <xf numFmtId="49" fontId="0" fillId="0" borderId="3" xfId="0" applyNumberFormat="1" applyBorder="1" applyAlignment="1">
      <alignment horizontal="center" textRotation="90"/>
    </xf>
    <xf numFmtId="0" fontId="0" fillId="3" borderId="3" xfId="0" applyFill="1" applyBorder="1" applyAlignment="1">
      <alignment horizontal="center"/>
    </xf>
    <xf numFmtId="49" fontId="0" fillId="0" borderId="3" xfId="0" applyNumberForma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3" xfId="0" applyBorder="1" applyAlignment="1">
      <alignment horizontal="center" textRotation="90"/>
    </xf>
    <xf numFmtId="49" fontId="2" fillId="0" borderId="0" xfId="0" applyNumberFormat="1" applyFont="1"/>
    <xf numFmtId="49" fontId="0" fillId="4" borderId="0" xfId="0" applyNumberFormat="1" applyFill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49" fontId="0" fillId="0" borderId="4" xfId="0" applyNumberFormat="1" applyBorder="1"/>
    <xf numFmtId="0" fontId="0" fillId="5" borderId="4" xfId="0" applyFill="1" applyBorder="1"/>
    <xf numFmtId="0" fontId="0" fillId="4" borderId="4" xfId="0" applyFill="1" applyBorder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0" fontId="6" fillId="0" borderId="0" xfId="0" applyFont="1"/>
    <xf numFmtId="0" fontId="0" fillId="0" borderId="0" xfId="0" applyAlignment="1">
      <alignment horizontal="center" textRotation="90" wrapText="1"/>
    </xf>
    <xf numFmtId="0" fontId="0" fillId="2" borderId="0" xfId="0" applyFill="1" applyAlignment="1">
      <alignment horizontal="center"/>
    </xf>
    <xf numFmtId="0" fontId="0" fillId="3" borderId="0" xfId="0" applyFill="1"/>
    <xf numFmtId="49" fontId="0" fillId="0" borderId="5" xfId="0" applyNumberFormat="1" applyBorder="1" applyAlignment="1">
      <alignment horizontal="center" textRotation="90"/>
    </xf>
    <xf numFmtId="0" fontId="0" fillId="0" borderId="5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0" fillId="3" borderId="5" xfId="0" applyFill="1" applyBorder="1"/>
    <xf numFmtId="0" fontId="0" fillId="3" borderId="6" xfId="0" applyFill="1" applyBorder="1"/>
    <xf numFmtId="49" fontId="8" fillId="0" borderId="0" xfId="0" applyNumberFormat="1" applyFont="1"/>
    <xf numFmtId="49" fontId="0" fillId="0" borderId="0" xfId="0" applyNumberFormat="1" applyAlignment="1">
      <alignment horizontal="center" textRotation="90" wrapText="1"/>
    </xf>
    <xf numFmtId="0" fontId="6" fillId="0" borderId="6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 wrapText="1"/>
    </xf>
    <xf numFmtId="0" fontId="6" fillId="0" borderId="0" xfId="0" applyFont="1" applyAlignment="1">
      <alignment horizontal="center" textRotation="90"/>
    </xf>
    <xf numFmtId="49" fontId="6" fillId="0" borderId="0" xfId="0" applyNumberFormat="1" applyFont="1" applyAlignment="1">
      <alignment horizontal="center" textRotation="90"/>
    </xf>
    <xf numFmtId="0" fontId="6" fillId="3" borderId="0" xfId="0" applyFont="1" applyFill="1" applyAlignment="1">
      <alignment horizontal="center"/>
    </xf>
    <xf numFmtId="164" fontId="0" fillId="0" borderId="4" xfId="0" applyNumberFormat="1" applyBorder="1"/>
    <xf numFmtId="164" fontId="0" fillId="0" borderId="0" xfId="0" applyNumberFormat="1" applyAlignment="1">
      <alignment horizontal="center"/>
    </xf>
    <xf numFmtId="0" fontId="0" fillId="6" borderId="4" xfId="0" applyFill="1" applyBorder="1"/>
    <xf numFmtId="0" fontId="0" fillId="7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1"/>
  <sheetViews>
    <sheetView tabSelected="1" zoomScaleNormal="100" workbookViewId="0">
      <selection activeCell="BZ5" sqref="BZ5"/>
    </sheetView>
  </sheetViews>
  <sheetFormatPr defaultColWidth="13.28515625" defaultRowHeight="15" outlineLevelRow="1" x14ac:dyDescent="0.25"/>
  <cols>
    <col min="1" max="1" width="16.28515625" style="1" bestFit="1" customWidth="1"/>
    <col min="2" max="2" width="6" style="1" hidden="1" customWidth="1"/>
    <col min="3" max="3" width="6" style="1" bestFit="1" customWidth="1"/>
    <col min="4" max="4" width="4" hidden="1" customWidth="1"/>
    <col min="5" max="5" width="4" style="1" bestFit="1" customWidth="1"/>
    <col min="6" max="6" width="19.42578125" bestFit="1" customWidth="1"/>
    <col min="7" max="7" width="15.7109375" style="1" customWidth="1"/>
    <col min="8" max="9" width="8.7109375" style="6" customWidth="1"/>
    <col min="10" max="10" width="24.28515625" customWidth="1"/>
    <col min="11" max="11" width="22.140625" style="6" bestFit="1" customWidth="1"/>
    <col min="12" max="12" width="5" bestFit="1" customWidth="1"/>
    <col min="13" max="13" width="4.7109375" style="6" bestFit="1" customWidth="1"/>
    <col min="14" max="14" width="7.42578125" style="6" customWidth="1"/>
    <col min="15" max="16" width="8.7109375" style="6" bestFit="1" customWidth="1"/>
    <col min="17" max="17" width="3.7109375" bestFit="1" customWidth="1"/>
    <col min="18" max="20" width="3.7109375" style="1" bestFit="1" customWidth="1"/>
    <col min="21" max="22" width="6" style="1" bestFit="1" customWidth="1"/>
    <col min="23" max="24" width="3.7109375" style="1" bestFit="1" customWidth="1"/>
    <col min="25" max="26" width="6" style="1" bestFit="1" customWidth="1"/>
    <col min="27" max="28" width="3.7109375" style="1" bestFit="1" customWidth="1"/>
    <col min="29" max="30" width="6" style="1" bestFit="1" customWidth="1"/>
    <col min="31" max="32" width="3.7109375" style="1" bestFit="1" customWidth="1"/>
    <col min="33" max="33" width="6" style="1" bestFit="1" customWidth="1"/>
    <col min="34" max="37" width="3.7109375" style="1" bestFit="1" customWidth="1"/>
    <col min="38" max="38" width="4" style="1" bestFit="1" customWidth="1"/>
    <col min="39" max="40" width="3.7109375" customWidth="1"/>
    <col min="41" max="41" width="6" bestFit="1" customWidth="1"/>
    <col min="42" max="42" width="6" customWidth="1"/>
    <col min="43" max="43" width="6" bestFit="1" customWidth="1"/>
    <col min="44" max="44" width="6" customWidth="1"/>
    <col min="45" max="46" width="4.140625" customWidth="1"/>
    <col min="47" max="47" width="3.7109375" customWidth="1"/>
    <col min="48" max="48" width="6.5703125" bestFit="1" customWidth="1"/>
    <col min="49" max="49" width="4.5703125" style="1" customWidth="1"/>
    <col min="50" max="50" width="5.85546875" style="1" bestFit="1" customWidth="1"/>
    <col min="51" max="52" width="6.140625" style="1" bestFit="1" customWidth="1"/>
    <col min="53" max="53" width="6.5703125" style="1" bestFit="1" customWidth="1"/>
    <col min="54" max="54" width="4.5703125" style="1" customWidth="1"/>
    <col min="55" max="55" width="4" style="1" bestFit="1" customWidth="1"/>
    <col min="56" max="56" width="22.42578125" style="1" bestFit="1" customWidth="1"/>
    <col min="57" max="58" width="6.5703125" style="1" bestFit="1" customWidth="1"/>
    <col min="59" max="59" width="19.28515625" style="1" bestFit="1" customWidth="1"/>
    <col min="60" max="60" width="3.7109375" style="1" bestFit="1" customWidth="1"/>
    <col min="61" max="61" width="52.42578125" style="1" bestFit="1" customWidth="1"/>
    <col min="62" max="62" width="17" style="1" customWidth="1"/>
    <col min="63" max="63" width="14.5703125" style="1" customWidth="1"/>
    <col min="64" max="64" width="18.140625" style="1" customWidth="1"/>
    <col min="65" max="65" width="6.28515625" style="1" customWidth="1"/>
    <col min="66" max="66" width="15.7109375" style="1" bestFit="1" customWidth="1"/>
    <col min="67" max="68" width="7.42578125" style="1" bestFit="1" customWidth="1"/>
    <col min="69" max="69" width="4" style="1" customWidth="1"/>
    <col min="70" max="70" width="6" style="1" customWidth="1"/>
    <col min="71" max="71" width="6.140625" style="1" customWidth="1"/>
    <col min="72" max="73" width="6" style="1" customWidth="1"/>
    <col min="74" max="74" width="3.7109375" style="1" customWidth="1"/>
    <col min="75" max="76" width="5.85546875" style="1" customWidth="1"/>
    <col min="77" max="77" width="7" style="1" customWidth="1"/>
    <col min="78" max="78" width="14.85546875" bestFit="1" customWidth="1"/>
    <col min="80" max="80" width="5.85546875" style="1" customWidth="1"/>
    <col min="82" max="85" width="27.42578125" bestFit="1" customWidth="1"/>
  </cols>
  <sheetData>
    <row r="1" spans="1:85" s="27" customFormat="1" x14ac:dyDescent="0.25">
      <c r="A1" s="17" t="s">
        <v>94</v>
      </c>
      <c r="B1" s="17"/>
      <c r="C1" s="17"/>
      <c r="D1" s="17"/>
      <c r="E1" s="17"/>
      <c r="F1" s="17"/>
      <c r="G1" s="17"/>
      <c r="H1" s="28"/>
      <c r="I1" s="28"/>
      <c r="J1" s="17"/>
      <c r="K1" s="17"/>
      <c r="M1" s="28"/>
      <c r="N1" s="28"/>
      <c r="O1" s="28" t="s">
        <v>83</v>
      </c>
      <c r="P1" s="28" t="s">
        <v>83</v>
      </c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/>
      <c r="CA1"/>
      <c r="CB1" s="17"/>
      <c r="CC1"/>
    </row>
    <row r="2" spans="1:85" ht="18.75" x14ac:dyDescent="0.3">
      <c r="A2" s="30" t="str">
        <f>UPPER(RIGHT($F$5,LEN($F$5)-FIND("@",$F$5,1)))</f>
        <v>000000_S03-TUBE</v>
      </c>
      <c r="B2" s="30"/>
      <c r="D2" t="str">
        <f>IF(ISNUMBER(LEFT($A$2,1)+0), "", LEFT($A$2,MIN(FIND({0,1,2,3,4,5,6,7,8,9},A2&amp;"0123456789"))-1))</f>
        <v/>
      </c>
      <c r="F2" s="14">
        <f>MID($A$2,FIND("_",$A$2,1)+2,2)+0</f>
        <v>3</v>
      </c>
      <c r="G2" s="15" t="s">
        <v>47</v>
      </c>
    </row>
    <row r="3" spans="1:85" x14ac:dyDescent="0.25">
      <c r="E3"/>
      <c r="G3" s="51"/>
      <c r="Q3" s="1"/>
      <c r="R3" s="56" t="s">
        <v>44</v>
      </c>
      <c r="S3" s="57"/>
      <c r="T3" s="57"/>
      <c r="U3" s="58"/>
      <c r="V3" s="56" t="s">
        <v>43</v>
      </c>
      <c r="W3" s="57"/>
      <c r="X3" s="57"/>
      <c r="Y3" s="58"/>
      <c r="Z3" s="56" t="s">
        <v>12</v>
      </c>
      <c r="AA3" s="57"/>
      <c r="AB3" s="57"/>
      <c r="AC3" s="58"/>
      <c r="AD3" s="56" t="s">
        <v>13</v>
      </c>
      <c r="AE3" s="57"/>
      <c r="AF3" s="58"/>
      <c r="AJ3" s="13"/>
      <c r="AK3" s="52" t="s">
        <v>118</v>
      </c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9"/>
      <c r="AW3" s="53" t="s">
        <v>115</v>
      </c>
      <c r="AX3" s="54"/>
      <c r="AY3" s="54"/>
      <c r="AZ3" s="54"/>
      <c r="BA3" s="54"/>
      <c r="BB3" s="55"/>
      <c r="BC3" s="53" t="s">
        <v>116</v>
      </c>
      <c r="BD3" s="54"/>
      <c r="BE3" s="54"/>
      <c r="BF3" s="54"/>
      <c r="BG3" s="54"/>
      <c r="BH3" s="54"/>
      <c r="BI3" s="54" t="s">
        <v>48</v>
      </c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60"/>
      <c r="CB3" s="51"/>
    </row>
    <row r="4" spans="1:85" s="3" customFormat="1" ht="237.75" x14ac:dyDescent="0.25">
      <c r="A4" s="2"/>
      <c r="B4" s="2"/>
      <c r="C4" s="45" t="s">
        <v>15</v>
      </c>
      <c r="E4" s="45" t="s">
        <v>77</v>
      </c>
      <c r="F4" s="3" t="s">
        <v>21</v>
      </c>
      <c r="G4" s="2" t="s">
        <v>17</v>
      </c>
      <c r="H4" s="3" t="s">
        <v>145</v>
      </c>
      <c r="I4" s="3" t="s">
        <v>143</v>
      </c>
      <c r="J4" s="3" t="s">
        <v>9</v>
      </c>
      <c r="K4" s="3" t="s">
        <v>39</v>
      </c>
      <c r="L4" s="3" t="s">
        <v>14</v>
      </c>
      <c r="M4" s="3" t="s">
        <v>82</v>
      </c>
      <c r="N4" s="3" t="s">
        <v>42</v>
      </c>
      <c r="O4" s="3" t="s">
        <v>78</v>
      </c>
      <c r="P4" s="3" t="s">
        <v>37</v>
      </c>
      <c r="Q4" s="2" t="s">
        <v>61</v>
      </c>
      <c r="R4" s="8" t="s">
        <v>5</v>
      </c>
      <c r="S4" s="2" t="s">
        <v>85</v>
      </c>
      <c r="T4" s="2" t="s">
        <v>42</v>
      </c>
      <c r="U4" s="11" t="s">
        <v>78</v>
      </c>
      <c r="V4" s="8" t="s">
        <v>2</v>
      </c>
      <c r="W4" s="2" t="s">
        <v>85</v>
      </c>
      <c r="X4" s="2" t="s">
        <v>42</v>
      </c>
      <c r="Y4" s="11" t="s">
        <v>78</v>
      </c>
      <c r="Z4" s="2" t="s">
        <v>3</v>
      </c>
      <c r="AA4" s="2" t="s">
        <v>85</v>
      </c>
      <c r="AB4" s="2" t="s">
        <v>42</v>
      </c>
      <c r="AC4" s="11" t="s">
        <v>78</v>
      </c>
      <c r="AD4" s="8" t="s">
        <v>4</v>
      </c>
      <c r="AE4" s="2" t="s">
        <v>85</v>
      </c>
      <c r="AF4" s="11" t="s">
        <v>42</v>
      </c>
      <c r="AG4" s="2" t="s">
        <v>58</v>
      </c>
      <c r="AH4" s="2" t="s">
        <v>60</v>
      </c>
      <c r="AI4" s="2" t="s">
        <v>56</v>
      </c>
      <c r="AJ4" s="11" t="s">
        <v>57</v>
      </c>
      <c r="AK4" s="2"/>
      <c r="AL4" s="45" t="s">
        <v>125</v>
      </c>
      <c r="AM4" s="45"/>
      <c r="AN4" s="45" t="s">
        <v>102</v>
      </c>
      <c r="AP4" s="43" t="s">
        <v>103</v>
      </c>
      <c r="AR4" s="44" t="s">
        <v>104</v>
      </c>
      <c r="AT4" s="44" t="s">
        <v>105</v>
      </c>
      <c r="AV4" s="43" t="s">
        <v>130</v>
      </c>
      <c r="AW4" s="35" t="s">
        <v>126</v>
      </c>
      <c r="AX4" s="2" t="s">
        <v>127</v>
      </c>
      <c r="AY4" s="41" t="s">
        <v>128</v>
      </c>
      <c r="AZ4" s="32" t="s">
        <v>122</v>
      </c>
      <c r="BA4" s="32" t="s">
        <v>123</v>
      </c>
      <c r="BB4" s="42" t="s">
        <v>110</v>
      </c>
      <c r="BC4" s="3" t="s">
        <v>112</v>
      </c>
      <c r="BD4" s="32" t="s">
        <v>113</v>
      </c>
      <c r="BE4" s="32" t="s">
        <v>119</v>
      </c>
      <c r="BF4" s="32" t="s">
        <v>120</v>
      </c>
      <c r="BG4" s="32" t="s">
        <v>114</v>
      </c>
      <c r="BH4" s="2" t="s">
        <v>111</v>
      </c>
      <c r="BI4" s="8" t="s">
        <v>117</v>
      </c>
      <c r="BJ4" s="2" t="s">
        <v>64</v>
      </c>
      <c r="BK4" s="2" t="s">
        <v>65</v>
      </c>
      <c r="BL4" s="2" t="s">
        <v>66</v>
      </c>
      <c r="BM4" s="2" t="s">
        <v>67</v>
      </c>
      <c r="BN4" s="2" t="s">
        <v>71</v>
      </c>
      <c r="BO4" s="2" t="s">
        <v>147</v>
      </c>
      <c r="BP4" s="2" t="s">
        <v>146</v>
      </c>
      <c r="BQ4" s="2" t="s">
        <v>68</v>
      </c>
      <c r="BR4" s="2" t="s">
        <v>69</v>
      </c>
      <c r="BS4" s="2" t="s">
        <v>70</v>
      </c>
      <c r="BT4" s="2" t="s">
        <v>72</v>
      </c>
      <c r="BU4" s="2" t="s">
        <v>152</v>
      </c>
      <c r="BV4" s="2" t="s">
        <v>49</v>
      </c>
      <c r="BW4" s="2" t="s">
        <v>50</v>
      </c>
      <c r="BX4" s="2" t="s">
        <v>155</v>
      </c>
      <c r="BY4" s="11" t="s">
        <v>54</v>
      </c>
      <c r="BZ4"/>
      <c r="CA4"/>
      <c r="CB4" s="2" t="s">
        <v>154</v>
      </c>
      <c r="CC4"/>
      <c r="CD4" s="3" t="s">
        <v>17</v>
      </c>
      <c r="CE4" s="3" t="s">
        <v>18</v>
      </c>
      <c r="CF4" s="3" t="s">
        <v>19</v>
      </c>
      <c r="CG4" s="3" t="s">
        <v>20</v>
      </c>
    </row>
    <row r="5" spans="1:85" s="3" customFormat="1" ht="163.5" hidden="1" customHeight="1" outlineLevel="1" x14ac:dyDescent="0.25">
      <c r="A5" s="2"/>
      <c r="B5" s="2" t="s">
        <v>75</v>
      </c>
      <c r="C5" s="3" t="s">
        <v>8</v>
      </c>
      <c r="D5" s="3" t="s">
        <v>76</v>
      </c>
      <c r="E5" s="3" t="s">
        <v>8</v>
      </c>
      <c r="F5" s="3" t="s">
        <v>95</v>
      </c>
      <c r="G5" s="3" t="s">
        <v>8</v>
      </c>
      <c r="H5" s="3" t="s">
        <v>8</v>
      </c>
      <c r="I5" s="3" t="s">
        <v>8</v>
      </c>
      <c r="J5" s="3" t="s">
        <v>8</v>
      </c>
      <c r="K5" s="3" t="str">
        <f>IF(L6="MIN","Tube Wall Thk@Sketch15","Tube Wall Thk@Sketch1")</f>
        <v>Tube Wall Thk@Sketch15</v>
      </c>
      <c r="L5" s="3" t="s">
        <v>8</v>
      </c>
      <c r="M5" s="3" t="s">
        <v>8</v>
      </c>
      <c r="N5" s="3" t="s">
        <v>8</v>
      </c>
      <c r="O5" s="3" t="s">
        <v>8</v>
      </c>
      <c r="P5" s="3" t="s">
        <v>73</v>
      </c>
      <c r="Q5" s="3" t="s">
        <v>74</v>
      </c>
      <c r="R5" s="8" t="s">
        <v>5</v>
      </c>
      <c r="S5" s="2" t="s">
        <v>84</v>
      </c>
      <c r="T5" s="2" t="s">
        <v>41</v>
      </c>
      <c r="U5" s="11" t="s">
        <v>40</v>
      </c>
      <c r="V5" s="8" t="s">
        <v>2</v>
      </c>
      <c r="W5" s="2" t="s">
        <v>86</v>
      </c>
      <c r="X5" s="2" t="s">
        <v>45</v>
      </c>
      <c r="Y5" s="11" t="s">
        <v>46</v>
      </c>
      <c r="Z5" s="2" t="s">
        <v>3</v>
      </c>
      <c r="AA5" s="2" t="s">
        <v>87</v>
      </c>
      <c r="AB5" s="2" t="s">
        <v>88</v>
      </c>
      <c r="AC5" s="11" t="s">
        <v>89</v>
      </c>
      <c r="AD5" s="8" t="s">
        <v>4</v>
      </c>
      <c r="AE5" s="2" t="s">
        <v>90</v>
      </c>
      <c r="AF5" s="11" t="s">
        <v>91</v>
      </c>
      <c r="AG5" s="2" t="s">
        <v>6</v>
      </c>
      <c r="AH5" s="2" t="s">
        <v>59</v>
      </c>
      <c r="AI5" s="2" t="s">
        <v>22</v>
      </c>
      <c r="AJ5" s="11" t="s">
        <v>55</v>
      </c>
      <c r="AK5" s="2" t="s">
        <v>124</v>
      </c>
      <c r="AL5" s="3" t="s">
        <v>8</v>
      </c>
      <c r="AM5" s="2" t="s">
        <v>97</v>
      </c>
      <c r="AN5" s="3" t="s">
        <v>8</v>
      </c>
      <c r="AO5" s="3" t="s">
        <v>101</v>
      </c>
      <c r="AP5" s="3" t="s">
        <v>8</v>
      </c>
      <c r="AQ5" s="3" t="s">
        <v>100</v>
      </c>
      <c r="AR5" s="3" t="s">
        <v>8</v>
      </c>
      <c r="AS5" s="3" t="s">
        <v>99</v>
      </c>
      <c r="AT5" s="3" t="s">
        <v>8</v>
      </c>
      <c r="AU5" s="3" t="s">
        <v>98</v>
      </c>
      <c r="AV5" s="3" t="s">
        <v>8</v>
      </c>
      <c r="AW5" s="36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7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8" t="s">
        <v>117</v>
      </c>
      <c r="BJ5" s="2" t="s">
        <v>64</v>
      </c>
      <c r="BK5" s="2" t="s">
        <v>65</v>
      </c>
      <c r="BL5" s="2" t="s">
        <v>66</v>
      </c>
      <c r="BM5" s="2" t="s">
        <v>67</v>
      </c>
      <c r="BN5" s="2" t="s">
        <v>71</v>
      </c>
      <c r="BO5" s="2" t="s">
        <v>147</v>
      </c>
      <c r="BP5" s="2" t="s">
        <v>146</v>
      </c>
      <c r="BQ5" s="2" t="s">
        <v>68</v>
      </c>
      <c r="BR5" s="2" t="s">
        <v>69</v>
      </c>
      <c r="BS5" s="2" t="s">
        <v>70</v>
      </c>
      <c r="BT5" s="2" t="s">
        <v>72</v>
      </c>
      <c r="BU5" s="2" t="s">
        <v>153</v>
      </c>
      <c r="BV5" s="3" t="s">
        <v>51</v>
      </c>
      <c r="BW5" s="3" t="s">
        <v>52</v>
      </c>
      <c r="BX5" s="3" t="s">
        <v>157</v>
      </c>
      <c r="BY5" s="16" t="s">
        <v>53</v>
      </c>
      <c r="BZ5"/>
      <c r="CA5"/>
      <c r="CB5" s="3" t="s">
        <v>156</v>
      </c>
      <c r="CC5"/>
      <c r="CD5" s="3" t="str">
        <f>IF($J6="L-Tension Wheel","$LIBRARY:MATERIAL@Fin L-Tension Plain Structural Member@000000_S03_Tube","$User_Notes")</f>
        <v>$LIBRARY:MATERIAL@Fin L-Tension Plain Structural Member@000000_S03_Tube</v>
      </c>
      <c r="CE5" s="3" t="str">
        <f>IF($J6="L-Tension Plain","$LIBRARY:MATERIAL@Fin L-Tension Plain Structural Member@000000_S03_Tube","$User_Notes")</f>
        <v>$User_Notes</v>
      </c>
      <c r="CF5" s="3" t="str">
        <f>IF($J6="Embedded","$LIBRARY:MATERIAL@Fin Embedded Structural Member@000000_S03_Tube","$User_Notes")</f>
        <v>$User_Notes</v>
      </c>
      <c r="CG5" s="3" t="str">
        <f>IF($J6="Extruded","$LIBRARY:MATERIAL@Fin Extruded Structural Member@000000_S03_Tube","$User_Notes")</f>
        <v>$User_Notes</v>
      </c>
    </row>
    <row r="6" spans="1:85" collapsed="1" x14ac:dyDescent="0.25">
      <c r="A6" s="1" t="s">
        <v>1</v>
      </c>
      <c r="B6" s="33">
        <v>0.6250000000000121</v>
      </c>
      <c r="C6" s="50">
        <f>ROUND(B6,4)</f>
        <v>0.625</v>
      </c>
      <c r="D6" s="33">
        <v>1.5000000000000009</v>
      </c>
      <c r="E6" s="50">
        <f>ROUND(D6,4)</f>
        <v>1.5</v>
      </c>
      <c r="F6" s="6" t="s">
        <v>16</v>
      </c>
      <c r="G6" s="6" t="s">
        <v>131</v>
      </c>
      <c r="H6" s="26" t="s">
        <v>144</v>
      </c>
      <c r="I6" s="26" t="s">
        <v>144</v>
      </c>
      <c r="J6" s="6" t="s">
        <v>10</v>
      </c>
      <c r="K6" s="48">
        <v>0.06</v>
      </c>
      <c r="L6" s="6" t="s">
        <v>23</v>
      </c>
      <c r="M6" s="6">
        <v>10</v>
      </c>
      <c r="N6" s="26">
        <f>VLOOKUP(Fin_Type,Tube_Types_Table,2,FALSE)</f>
        <v>1.4E-2</v>
      </c>
      <c r="O6" s="26">
        <f>VLOOKUP(Fin_Type,Tube_Types_Table,3,FALSE)</f>
        <v>0.5</v>
      </c>
      <c r="P6" s="5">
        <f>VLOOKUP(K6,BWG_Table,2,FALSE)</f>
        <v>16</v>
      </c>
      <c r="Q6" s="5">
        <f>VLOOKUP(L6,Tube_Wall_Type_Table,2,FALSE)</f>
        <v>1</v>
      </c>
      <c r="R6" s="9" t="str">
        <f>IF($J6="L-Tension Wheel","U","S")</f>
        <v>U</v>
      </c>
      <c r="S6" s="21">
        <f>$M6</f>
        <v>10</v>
      </c>
      <c r="T6" s="21">
        <f>$N6</f>
        <v>1.4E-2</v>
      </c>
      <c r="U6" s="22">
        <f>$O6</f>
        <v>0.5</v>
      </c>
      <c r="V6" s="9" t="str">
        <f>IF($J6="L-Tension Plain","U","S")</f>
        <v>S</v>
      </c>
      <c r="W6" s="21">
        <f>$M6</f>
        <v>10</v>
      </c>
      <c r="X6" s="21">
        <f>$N6</f>
        <v>1.4E-2</v>
      </c>
      <c r="Y6" s="22">
        <f>$O6</f>
        <v>0.5</v>
      </c>
      <c r="Z6" s="4" t="str">
        <f>IF($J6="Embedded","U","S")</f>
        <v>S</v>
      </c>
      <c r="AA6" s="21">
        <f>$M6</f>
        <v>10</v>
      </c>
      <c r="AB6" s="21">
        <f>$N6</f>
        <v>1.4E-2</v>
      </c>
      <c r="AC6" s="22">
        <f>$O6</f>
        <v>0.5</v>
      </c>
      <c r="AD6" s="9" t="str">
        <f>IF($J6="Extruded","U","S")</f>
        <v>S</v>
      </c>
      <c r="AE6" s="21">
        <f>$M6</f>
        <v>10</v>
      </c>
      <c r="AF6" s="22">
        <f>$N6</f>
        <v>1.4E-2</v>
      </c>
      <c r="AG6" s="4" t="str">
        <f>IF($L6="MIN","U","S")</f>
        <v>U</v>
      </c>
      <c r="AH6" s="18" t="str">
        <f>AG6</f>
        <v>U</v>
      </c>
      <c r="AI6" s="5" t="str">
        <f>IF($L6="AVG","U","S")</f>
        <v>S</v>
      </c>
      <c r="AJ6" s="22" t="str">
        <f>AI6</f>
        <v>S</v>
      </c>
      <c r="AK6" s="33">
        <v>780.00000000000011</v>
      </c>
      <c r="AL6" s="50">
        <f>ROUND(AK6,4)</f>
        <v>780</v>
      </c>
      <c r="AM6" s="33">
        <v>15.999999999999998</v>
      </c>
      <c r="AN6" s="50">
        <f>ROUND(AM6,4)</f>
        <v>16</v>
      </c>
      <c r="AO6" s="33">
        <v>30.000000000000018</v>
      </c>
      <c r="AP6" s="50">
        <f>ROUND(AO6,4)</f>
        <v>30</v>
      </c>
      <c r="AQ6" s="33">
        <v>47.999999999999993</v>
      </c>
      <c r="AR6" s="50">
        <f>ROUND(AQ6,4)</f>
        <v>48</v>
      </c>
      <c r="AS6" s="33">
        <v>1.0000000000234285E-5</v>
      </c>
      <c r="AT6" s="50">
        <f>ROUND(AS6,4)</f>
        <v>0</v>
      </c>
      <c r="AU6" s="33">
        <v>1.000000000016599E-5</v>
      </c>
      <c r="AV6" s="50">
        <f>ROUND(AU6,4)</f>
        <v>0</v>
      </c>
      <c r="AW6" s="38" t="str">
        <f>IF(AND(ISODD(QTY_of_Bands),Center_Band_Offset&gt;0,AV6&gt;0), "Yes", "No")</f>
        <v>No</v>
      </c>
      <c r="AX6" s="34" t="str">
        <f>IF(Center_Band_Move?="Yes",   VLOOKUP(Center_Band_Direction, Band_Move_Direction_Table,2,TRUE),   "None")</f>
        <v>None</v>
      </c>
      <c r="AY6" s="34">
        <f>QTY_of_Bands+1</f>
        <v>17</v>
      </c>
      <c r="AZ6" s="34">
        <f>IF(QTY_of_Bands&gt;0,   QTY_of_Spaces-2,  0)</f>
        <v>15</v>
      </c>
      <c r="BA6" s="34">
        <f>IF(QTY_of_Bands&gt;2,  ROUNDUP((QTY_of_Mid_Spaces-2)/2,0),  0)</f>
        <v>7</v>
      </c>
      <c r="BB6" s="39">
        <f>IF(ISODD(QTY_of_Bands),   QTY_of_Front_Spaces,     IF(QTY_of_Bands&gt;2,      QTY_of_Front_Spaces-1,    0 ) )</f>
        <v>6</v>
      </c>
      <c r="BC6" s="46" t="str">
        <f>IF(QTY_of_Bands&gt;=1,  First_Band_Loc&amp;", ",  "")</f>
        <v xml:space="preserve">30, </v>
      </c>
      <c r="BD6" s="5" t="str">
        <f>REPT(Band_Spacing&amp;", ",    QTY_of_Front_Spaces)</f>
        <v xml:space="preserve">48, 48, 48, 48, 48, 48, 48, </v>
      </c>
      <c r="BE6" s="46" t="str">
        <f>IF(QTY_of_Bands&gt;1,    IF(Center_Band_Offset_Direction="Front",    Band_Spacing-Center_Band_Offset,      IF(Center_Band_Offset_Direction="Rear",  Band_Spacing+Center_Band_Offset,  Band_Spacing)  )&amp;", ",     "")</f>
        <v xml:space="preserve">48, </v>
      </c>
      <c r="BF6" s="46" t="str">
        <f>IF(QTY_of_Bands&gt;=3,   ABS(Band_Spacing+(Band_Spacing-LEFT(BE6,(LEN(BE6)-2)))) &amp;", ",  "")</f>
        <v xml:space="preserve">48, </v>
      </c>
      <c r="BG6" s="5" t="str">
        <f>REPT(Band_Spacing&amp;", ",   QTY_of_Rear_Spaces)</f>
        <v xml:space="preserve">48, 48, 48, 48, 48, 48, </v>
      </c>
      <c r="BH6" s="46">
        <f>IF(QTY_of_Bands&gt;=2,    First_Band_Loc,    IF(QTY_of_Bands=1,     Tube_Length-First_Band_Loc,  ""))</f>
        <v>30</v>
      </c>
      <c r="BI6" s="34" t="str">
        <f>_xlfn.CONCAT(BC6:BH6)</f>
        <v>30, 48, 48, 48, 48, 48, 48, 48, 48, 48, 48, 48, 48, 48, 48, 48, 30</v>
      </c>
      <c r="BJ6" s="5" t="str">
        <f>UPPER(J6)</f>
        <v>L-TENSION WHEEL</v>
      </c>
      <c r="BK6" s="5" t="str">
        <f>ROUND(B6,6)&amp;" &lt;MOD-DIAM&gt;"</f>
        <v>0.625 &lt;MOD-DIAM&gt;</v>
      </c>
      <c r="BL6" s="5" t="str">
        <f>ROUND(P6,6)&amp;"BWG ("&amp;K6&amp;" MIN)"</f>
        <v>16BWG (0.06 MIN)</v>
      </c>
      <c r="BM6" s="5" t="str">
        <f>RIGHT(F6,LEN(F6)-14)</f>
        <v>SA214</v>
      </c>
      <c r="BN6" s="21" t="str">
        <f>G6</f>
        <v>1100 ALUMINUM</v>
      </c>
      <c r="BO6" s="21" t="str">
        <f t="shared" ref="BO6:BP6" si="0">H6</f>
        <v>???</v>
      </c>
      <c r="BP6" s="21" t="str">
        <f t="shared" si="0"/>
        <v>???</v>
      </c>
      <c r="BQ6" s="5">
        <f>(ROUND(D6,6)-ROUND(B6,6)) /2</f>
        <v>0.4375</v>
      </c>
      <c r="BR6" s="21">
        <f>$N6</f>
        <v>1.4E-2</v>
      </c>
      <c r="BS6" s="21" t="str">
        <f>$M6&amp;" FPI"</f>
        <v>10 FPI</v>
      </c>
      <c r="BT6" s="21">
        <f>$O6</f>
        <v>0.5</v>
      </c>
      <c r="BU6" s="5" t="str">
        <f>CONCATENATE($D$2,$F$2)</f>
        <v>3</v>
      </c>
      <c r="BV6" s="5" t="str">
        <f>CONCATENATE(".",$BU6)</f>
        <v>.3</v>
      </c>
      <c r="BW6" s="5" t="str">
        <f>CONCATENATE($BU6,"-FTB")</f>
        <v>3-FTB</v>
      </c>
      <c r="BX6" s="5" t="str">
        <f>CONCATENATE($BU6,"-SEC")</f>
        <v>3-SEC</v>
      </c>
      <c r="BY6" s="12" t="str">
        <f>LEFT($A$2,FIND("_",$A$2,1)-1)</f>
        <v>000000</v>
      </c>
      <c r="CB6" s="5" t="str">
        <f>CONCATENATE($BU6,"-SEC")</f>
        <v>3-SEC</v>
      </c>
      <c r="CD6" s="5" t="str">
        <f>CONCATENATE("AXC materials:ALUMINUM (",ROUND($B6,6),")")</f>
        <v>AXC materials:ALUMINUM (0.625)</v>
      </c>
      <c r="CE6" s="5" t="str">
        <f>CONCATENATE("AXC materials:ALUMINUM (",ROUND($B6,6),")")</f>
        <v>AXC materials:ALUMINUM (0.625)</v>
      </c>
      <c r="CF6" s="5" t="str">
        <f>CONCATENATE("AXC materials:ALUMINUM (",ROUND($B6,6),")")</f>
        <v>AXC materials:ALUMINUM (0.625)</v>
      </c>
      <c r="CG6" s="5" t="str">
        <f>CONCATENATE("AXC materials:ALUMINUM (",ROUND($B6,6),")")</f>
        <v>AXC materials:ALUMINUM (0.625)</v>
      </c>
    </row>
    <row r="7" spans="1:85" x14ac:dyDescent="0.25">
      <c r="A7" s="1" t="s">
        <v>0</v>
      </c>
      <c r="Q7" s="1"/>
      <c r="R7" s="10"/>
      <c r="U7" s="13"/>
      <c r="V7" s="10"/>
      <c r="Y7" s="13"/>
      <c r="AC7" s="13"/>
      <c r="AD7" s="10"/>
      <c r="AF7" s="13"/>
      <c r="AJ7" s="13"/>
      <c r="BI7" s="5" t="str">
        <f>LEN(BI6)-LEN(SUBSTITUTE(BI6,",","")) &amp; " COMMAS"</f>
        <v>16 COMMAS</v>
      </c>
      <c r="BJ7"/>
      <c r="BY7" s="13"/>
    </row>
    <row r="8" spans="1:85" x14ac:dyDescent="0.25">
      <c r="V8"/>
      <c r="BB8" s="40"/>
      <c r="BI8" s="31"/>
    </row>
    <row r="9" spans="1:85" x14ac:dyDescent="0.25">
      <c r="H9" s="26"/>
      <c r="I9" s="26"/>
      <c r="N9" s="26">
        <f>VLOOKUP(Fin_Type,Tube_Types_Table,2,FALSE)</f>
        <v>1.4E-2</v>
      </c>
      <c r="O9" s="26">
        <f>VLOOKUP(Fin_Type,Tube_Types_Table,3,FALSE)</f>
        <v>0.5</v>
      </c>
      <c r="BB9" s="40"/>
      <c r="BI9" s="1" t="s">
        <v>121</v>
      </c>
    </row>
    <row r="10" spans="1:85" x14ac:dyDescent="0.25">
      <c r="H10" s="29"/>
      <c r="I10" s="29"/>
      <c r="N10" s="29" t="s">
        <v>92</v>
      </c>
      <c r="O10" s="29" t="s">
        <v>92</v>
      </c>
      <c r="BI10" s="34" t="str">
        <f>IF(ISODD(AN6), _xlfn.CONCAT(BC6:BH6), _xlfn.CONCAT(BC6,  REPT(AR6&amp;", ",AZ6),  BH6) )</f>
        <v>30, 48, 48, 48, 48, 48, 48, 48, 48, 48, 48, 48, 48, 48, 48, 48, 30</v>
      </c>
    </row>
    <row r="11" spans="1:85" x14ac:dyDescent="0.25">
      <c r="N11" s="52" t="s">
        <v>93</v>
      </c>
      <c r="O11" s="52"/>
      <c r="P11"/>
      <c r="BI11" s="5" t="str">
        <f>LEN(BI10)-LEN(SUBSTITUTE(BI10,",","")) &amp; " COMMAS"</f>
        <v>16 COMMAS</v>
      </c>
    </row>
  </sheetData>
  <mergeCells count="9">
    <mergeCell ref="BI3:BY3"/>
    <mergeCell ref="N11:O11"/>
    <mergeCell ref="AW3:BB3"/>
    <mergeCell ref="BC3:BH3"/>
    <mergeCell ref="R3:U3"/>
    <mergeCell ref="V3:Y3"/>
    <mergeCell ref="Z3:AC3"/>
    <mergeCell ref="AD3:AF3"/>
    <mergeCell ref="AK3:AV3"/>
  </mergeCells>
  <phoneticPr fontId="4" type="noConversion"/>
  <dataValidations count="11">
    <dataValidation allowBlank="1" sqref="CE6:XFD6 BI11 BI7 A6:E6 H9:I9 N9:O9 M6:BY6 CB6" xr:uid="{00000000-0002-0000-0000-000000000000}"/>
    <dataValidation type="list" allowBlank="1" sqref="J6" xr:uid="{00000000-0002-0000-0000-000001000000}">
      <formula1>Tube_Types_List</formula1>
    </dataValidation>
    <dataValidation type="list" allowBlank="1" sqref="L6" xr:uid="{00000000-0002-0000-0000-000002000000}">
      <formula1>"MIN, AVG"</formula1>
    </dataValidation>
    <dataValidation type="list" allowBlank="1" showInputMessage="1" promptTitle="$LIBRARY:MATERIAL@Fin L-Tension " prompt="Select a material to apply to this configuration. A valid material entry follows the form 'Library:Material'" sqref="CD6" xr:uid="{00000000-0002-0000-0000-000003000000}">
      <formula1>"Plain Carbon Steel,Cast Alloy Steel,ABS PC,Malleable Cast Iron,1060 Alloy,Brass,Copper,PBT General Purpose,Nickel,Rubber,SA-36,"</formula1>
    </dataValidation>
    <dataValidation type="list" allowBlank="1" promptTitle="$LIBRARY:MATERIAL@000000_S01c_Tu" prompt="Select a material to apply to this configuration. A valid material entry follows the form 'Library:Material'" sqref="F6:G6" xr:uid="{00000000-0002-0000-0000-000005000000}">
      <formula1>Material_List</formula1>
    </dataValidation>
    <dataValidation type="list" allowBlank="1" sqref="G6" xr:uid="{E3A5F20A-2A14-4384-AB21-6065A530C5FE}">
      <formula1>Fin_Material_List</formula1>
    </dataValidation>
    <dataValidation type="list" allowBlank="1" sqref="K6:M6 B6:E6" xr:uid="{00000000-0002-0000-0000-000004000000}">
      <formula1>Tube_Wall</formula1>
    </dataValidation>
    <dataValidation type="list" allowBlank="1" sqref="H6" xr:uid="{B710FDD8-0ACB-4962-BD8A-431E2A307A7C}">
      <formula1>Fin_Coating_List</formula1>
    </dataValidation>
    <dataValidation type="list" allowBlank="1" promptTitle="$LIBRARY:MATERIAL@000000_S01c_Tu" prompt="Select a material to apply to this configuration. A valid material entry follows the form 'Library:Material'" sqref="H6" xr:uid="{5006DF3E-F26F-4786-813A-7EE0706C9891}">
      <formula1>Fin_Coating_List</formula1>
    </dataValidation>
    <dataValidation type="list" allowBlank="1" sqref="I6" xr:uid="{C089BC4F-78CF-4EB7-BE60-1BB1EB01AC58}">
      <formula1>PMI_Req_List</formula1>
    </dataValidation>
    <dataValidation type="list" allowBlank="1" promptTitle="$LIBRARY:MATERIAL@000000_S01c_Tu" prompt="Select a material to apply to this configuration. A valid material entry follows the form 'Library:Material'" sqref="I6" xr:uid="{6E928E4D-8292-4667-9F1E-E4769A1EEF8A}">
      <formula1>PMI_Req_List</formula1>
    </dataValidation>
  </dataValidations>
  <pageMargins left="0.7" right="0.7" top="0.75" bottom="0.75" header="0.3" footer="0.3"/>
  <pageSetup orientation="portrait" r:id="rId1"/>
  <ignoredErrors>
    <ignoredError sqref="AI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9"/>
  <sheetViews>
    <sheetView topLeftCell="M1" zoomScale="85" zoomScaleNormal="85" workbookViewId="0">
      <selection activeCell="Q3" sqref="Q3:Q5"/>
    </sheetView>
  </sheetViews>
  <sheetFormatPr defaultRowHeight="15" x14ac:dyDescent="0.25"/>
  <cols>
    <col min="1" max="1" width="6" bestFit="1" customWidth="1"/>
    <col min="2" max="2" width="3" bestFit="1" customWidth="1"/>
    <col min="3" max="3" width="4.85546875" bestFit="1" customWidth="1"/>
    <col min="4" max="4" width="10.5703125" bestFit="1" customWidth="1"/>
    <col min="6" max="6" width="11.140625" bestFit="1" customWidth="1"/>
    <col min="7" max="7" width="5.28515625" bestFit="1" customWidth="1"/>
    <col min="9" max="9" width="22" bestFit="1" customWidth="1"/>
    <col min="10" max="10" width="10" bestFit="1" customWidth="1"/>
    <col min="11" max="11" width="10.85546875" bestFit="1" customWidth="1"/>
    <col min="13" max="13" width="23.85546875" bestFit="1" customWidth="1"/>
    <col min="15" max="15" width="17.28515625" bestFit="1" customWidth="1"/>
    <col min="17" max="17" width="16.28515625" bestFit="1" customWidth="1"/>
    <col min="19" max="19" width="13.42578125" bestFit="1" customWidth="1"/>
    <col min="21" max="21" width="16" bestFit="1" customWidth="1"/>
    <col min="22" max="22" width="12.7109375" bestFit="1" customWidth="1"/>
    <col min="23" max="23" width="15.140625" bestFit="1" customWidth="1"/>
    <col min="24" max="24" width="10.85546875" bestFit="1" customWidth="1"/>
    <col min="26" max="26" width="20" bestFit="1" customWidth="1"/>
    <col min="27" max="27" width="11.7109375" bestFit="1" customWidth="1"/>
    <col min="28" max="28" width="11.28515625" bestFit="1" customWidth="1"/>
    <col min="30" max="30" width="22.7109375" bestFit="1" customWidth="1"/>
    <col min="31" max="31" width="12.140625" bestFit="1" customWidth="1"/>
    <col min="32" max="32" width="11.28515625" bestFit="1" customWidth="1"/>
    <col min="34" max="34" width="19.85546875" bestFit="1" customWidth="1"/>
    <col min="35" max="35" width="9.42578125" bestFit="1" customWidth="1"/>
    <col min="36" max="36" width="7.7109375" bestFit="1" customWidth="1"/>
    <col min="37" max="37" width="19.42578125" bestFit="1" customWidth="1"/>
    <col min="38" max="38" width="19.42578125" customWidth="1"/>
    <col min="39" max="39" width="11.28515625" bestFit="1" customWidth="1"/>
  </cols>
  <sheetData>
    <row r="1" spans="1:39" x14ac:dyDescent="0.25">
      <c r="U1" t="s">
        <v>81</v>
      </c>
      <c r="Z1" t="s">
        <v>129</v>
      </c>
      <c r="AD1" t="s">
        <v>135</v>
      </c>
      <c r="AH1" t="s">
        <v>141</v>
      </c>
    </row>
    <row r="2" spans="1:39" x14ac:dyDescent="0.25">
      <c r="F2" s="20">
        <v>1</v>
      </c>
      <c r="G2" s="20">
        <v>2</v>
      </c>
      <c r="M2" t="s">
        <v>24</v>
      </c>
      <c r="O2" t="s">
        <v>132</v>
      </c>
      <c r="Q2" t="s">
        <v>148</v>
      </c>
      <c r="S2" t="s">
        <v>149</v>
      </c>
      <c r="U2" s="20">
        <v>1</v>
      </c>
      <c r="V2" s="20">
        <v>2</v>
      </c>
      <c r="W2" s="20">
        <v>3</v>
      </c>
      <c r="X2" s="20">
        <v>4</v>
      </c>
      <c r="Z2" s="20">
        <v>1</v>
      </c>
      <c r="AA2" s="20">
        <v>2</v>
      </c>
      <c r="AB2" s="20">
        <v>3</v>
      </c>
      <c r="AD2" s="20">
        <v>1</v>
      </c>
      <c r="AE2" s="20">
        <v>2</v>
      </c>
      <c r="AF2" s="20">
        <v>3</v>
      </c>
      <c r="AH2" s="6">
        <v>1</v>
      </c>
      <c r="AI2" s="6">
        <v>2</v>
      </c>
      <c r="AJ2" s="6">
        <v>3</v>
      </c>
      <c r="AK2" s="6">
        <v>4</v>
      </c>
      <c r="AL2" s="6">
        <v>5</v>
      </c>
    </row>
    <row r="3" spans="1:39" x14ac:dyDescent="0.25">
      <c r="A3">
        <v>0.06</v>
      </c>
      <c r="B3">
        <v>16</v>
      </c>
      <c r="C3" t="s">
        <v>23</v>
      </c>
      <c r="D3" t="s">
        <v>34</v>
      </c>
      <c r="F3" t="s">
        <v>30</v>
      </c>
      <c r="M3" t="s">
        <v>16</v>
      </c>
      <c r="O3" s="19" t="s">
        <v>131</v>
      </c>
      <c r="Q3" s="19" t="s">
        <v>150</v>
      </c>
      <c r="S3" s="19" t="s">
        <v>150</v>
      </c>
      <c r="U3" t="s">
        <v>80</v>
      </c>
      <c r="V3" t="s">
        <v>42</v>
      </c>
      <c r="W3" t="s">
        <v>142</v>
      </c>
      <c r="AD3" t="s">
        <v>136</v>
      </c>
      <c r="AE3" t="s">
        <v>137</v>
      </c>
      <c r="AI3" t="s">
        <v>138</v>
      </c>
      <c r="AJ3" t="s">
        <v>139</v>
      </c>
      <c r="AK3" t="s">
        <v>140</v>
      </c>
      <c r="AL3" t="s">
        <v>137</v>
      </c>
    </row>
    <row r="4" spans="1:39" x14ac:dyDescent="0.25">
      <c r="A4">
        <v>7.4999999999999997E-2</v>
      </c>
      <c r="B4">
        <v>15</v>
      </c>
      <c r="C4" t="s">
        <v>23</v>
      </c>
      <c r="D4" t="s">
        <v>34</v>
      </c>
      <c r="F4" t="s">
        <v>38</v>
      </c>
      <c r="I4" t="s">
        <v>62</v>
      </c>
      <c r="M4" t="s">
        <v>25</v>
      </c>
      <c r="O4" s="19" t="s">
        <v>133</v>
      </c>
      <c r="Q4" s="19" t="s">
        <v>151</v>
      </c>
      <c r="S4" s="19" t="s">
        <v>7</v>
      </c>
      <c r="U4" s="23" t="s">
        <v>10</v>
      </c>
      <c r="V4" s="24">
        <f>VLOOKUP(Sheet1!$C$6&amp;"x"&amp;Sheet1!$E$6,FinTube_Size_Table,5,FALSE)</f>
        <v>1.4E-2</v>
      </c>
      <c r="W4" s="24">
        <f>VLOOKUP(Sheet1!$C$6&amp;"x"&amp;Sheet1!$E$6,FinTube_Size_Table,4,FALSE)</f>
        <v>0.5</v>
      </c>
      <c r="X4" s="19" t="s">
        <v>63</v>
      </c>
      <c r="Z4" s="19">
        <v>1</v>
      </c>
      <c r="AA4" s="19" t="s">
        <v>106</v>
      </c>
      <c r="AB4" s="19" t="s">
        <v>63</v>
      </c>
      <c r="AD4" s="19">
        <v>0.5</v>
      </c>
      <c r="AE4" s="19">
        <v>1.4E-2</v>
      </c>
      <c r="AF4" s="19" t="s">
        <v>63</v>
      </c>
      <c r="AH4" s="19" t="str">
        <f>AI4&amp;"x"&amp;AJ4</f>
        <v>0.625x1.5</v>
      </c>
      <c r="AI4" s="19">
        <v>0.625</v>
      </c>
      <c r="AJ4" s="19">
        <v>1.5</v>
      </c>
      <c r="AK4" s="19">
        <v>0.5</v>
      </c>
      <c r="AL4" s="24">
        <f t="shared" ref="AL4:AL9" si="0">VLOOKUP(AK4,Raw_Fin_Table,2,FALSE)</f>
        <v>1.4E-2</v>
      </c>
      <c r="AM4" s="19" t="s">
        <v>63</v>
      </c>
    </row>
    <row r="5" spans="1:39" x14ac:dyDescent="0.25">
      <c r="A5">
        <v>8.5000000000000006E-2</v>
      </c>
      <c r="B5">
        <v>14</v>
      </c>
      <c r="C5" t="s">
        <v>23</v>
      </c>
      <c r="D5" t="s">
        <v>34</v>
      </c>
      <c r="F5" t="s">
        <v>36</v>
      </c>
      <c r="G5" t="s">
        <v>37</v>
      </c>
      <c r="I5" s="20">
        <v>1</v>
      </c>
      <c r="J5" s="20">
        <v>2</v>
      </c>
      <c r="K5" s="20">
        <v>3</v>
      </c>
      <c r="M5" t="s">
        <v>26</v>
      </c>
      <c r="O5" s="19" t="s">
        <v>134</v>
      </c>
      <c r="Q5" s="19" t="s">
        <v>7</v>
      </c>
      <c r="U5" s="23" t="s">
        <v>11</v>
      </c>
      <c r="V5" s="25">
        <f>V4</f>
        <v>1.4E-2</v>
      </c>
      <c r="W5" s="25">
        <f>W4</f>
        <v>0.5</v>
      </c>
      <c r="X5" s="19" t="s">
        <v>63</v>
      </c>
      <c r="Z5" s="19">
        <v>2</v>
      </c>
      <c r="AA5" s="19" t="s">
        <v>107</v>
      </c>
      <c r="AB5" s="19" t="s">
        <v>63</v>
      </c>
      <c r="AD5" s="19">
        <v>0.69899999999999995</v>
      </c>
      <c r="AE5" s="19">
        <v>1.6E-2</v>
      </c>
      <c r="AF5" s="19" t="s">
        <v>63</v>
      </c>
      <c r="AH5" s="19" t="str">
        <f t="shared" ref="AH5:AH9" si="1">AI5&amp;"x"&amp;AJ5</f>
        <v>0.75x1.625</v>
      </c>
      <c r="AI5" s="19">
        <v>0.75000000000000011</v>
      </c>
      <c r="AJ5" s="19">
        <v>1.625</v>
      </c>
      <c r="AK5" s="25">
        <f>AK$4</f>
        <v>0.5</v>
      </c>
      <c r="AL5" s="24">
        <f t="shared" si="0"/>
        <v>1.4E-2</v>
      </c>
      <c r="AM5" s="19" t="s">
        <v>63</v>
      </c>
    </row>
    <row r="6" spans="1:39" x14ac:dyDescent="0.25">
      <c r="A6">
        <v>0.11</v>
      </c>
      <c r="B6">
        <v>12</v>
      </c>
      <c r="C6" t="s">
        <v>23</v>
      </c>
      <c r="D6" t="s">
        <v>34</v>
      </c>
      <c r="F6" s="19">
        <v>3.5000000000000003E-2</v>
      </c>
      <c r="G6" s="19">
        <v>20</v>
      </c>
      <c r="I6" s="19" t="s">
        <v>23</v>
      </c>
      <c r="J6" s="19">
        <v>1</v>
      </c>
      <c r="K6" s="19" t="s">
        <v>63</v>
      </c>
      <c r="M6" t="s">
        <v>27</v>
      </c>
      <c r="O6" s="19" t="s">
        <v>7</v>
      </c>
      <c r="U6" s="23" t="s">
        <v>12</v>
      </c>
      <c r="V6" s="19">
        <v>1.6E-2</v>
      </c>
      <c r="W6" s="19">
        <v>0.63700000000000001</v>
      </c>
      <c r="X6" s="19" t="s">
        <v>63</v>
      </c>
      <c r="Z6" s="19">
        <v>0</v>
      </c>
      <c r="AA6" s="19" t="s">
        <v>108</v>
      </c>
      <c r="AB6" s="19" t="s">
        <v>63</v>
      </c>
      <c r="AD6" s="19" t="s">
        <v>7</v>
      </c>
      <c r="AE6" s="19"/>
      <c r="AF6" s="19"/>
      <c r="AH6" s="19" t="str">
        <f t="shared" si="1"/>
        <v>0.75x2</v>
      </c>
      <c r="AI6" s="25">
        <f>AI5</f>
        <v>0.75000000000000011</v>
      </c>
      <c r="AJ6" s="49">
        <f>AJ5+(2*0.1875)</f>
        <v>2</v>
      </c>
      <c r="AK6" s="19">
        <v>0.69899999999999995</v>
      </c>
      <c r="AL6" s="24">
        <f t="shared" si="0"/>
        <v>1.6E-2</v>
      </c>
      <c r="AM6" s="19" t="s">
        <v>63</v>
      </c>
    </row>
    <row r="7" spans="1:39" x14ac:dyDescent="0.25">
      <c r="A7">
        <v>0.13400000000000001</v>
      </c>
      <c r="B7">
        <v>10</v>
      </c>
      <c r="C7" t="s">
        <v>23</v>
      </c>
      <c r="D7" t="s">
        <v>34</v>
      </c>
      <c r="F7" s="19">
        <v>0.04</v>
      </c>
      <c r="G7" s="19">
        <v>19</v>
      </c>
      <c r="I7" s="19" t="s">
        <v>31</v>
      </c>
      <c r="J7" s="19">
        <v>2</v>
      </c>
      <c r="K7" s="19" t="s">
        <v>63</v>
      </c>
      <c r="M7" t="s">
        <v>28</v>
      </c>
      <c r="U7" s="23" t="s">
        <v>13</v>
      </c>
      <c r="V7" s="19">
        <v>1.4999999999999999E-2</v>
      </c>
      <c r="W7" s="19" t="s">
        <v>79</v>
      </c>
      <c r="X7" s="19" t="s">
        <v>63</v>
      </c>
      <c r="Z7" s="19" t="s">
        <v>109</v>
      </c>
      <c r="AA7" s="19" t="s">
        <v>109</v>
      </c>
      <c r="AB7" s="19"/>
      <c r="AH7" s="19" t="str">
        <f t="shared" si="1"/>
        <v>1x2.25</v>
      </c>
      <c r="AI7" s="19">
        <v>1</v>
      </c>
      <c r="AJ7" s="19">
        <v>2.25</v>
      </c>
      <c r="AK7" s="25">
        <f>AK$6</f>
        <v>0.69899999999999995</v>
      </c>
      <c r="AL7" s="24">
        <f t="shared" si="0"/>
        <v>1.6E-2</v>
      </c>
      <c r="AM7" s="19" t="s">
        <v>63</v>
      </c>
    </row>
    <row r="8" spans="1:39" x14ac:dyDescent="0.25">
      <c r="A8" s="7">
        <v>0.14799999999999999</v>
      </c>
      <c r="B8" s="7">
        <v>9</v>
      </c>
      <c r="C8" s="7" t="s">
        <v>23</v>
      </c>
      <c r="D8" s="7" t="s">
        <v>34</v>
      </c>
      <c r="F8" s="19">
        <v>4.2000000000000003E-2</v>
      </c>
      <c r="G8" s="19">
        <v>19</v>
      </c>
      <c r="I8" s="19" t="s">
        <v>7</v>
      </c>
      <c r="J8" s="19" t="s">
        <v>7</v>
      </c>
      <c r="K8" s="19" t="s">
        <v>7</v>
      </c>
      <c r="M8" t="s">
        <v>96</v>
      </c>
      <c r="U8" s="23" t="s">
        <v>7</v>
      </c>
      <c r="V8" s="23" t="s">
        <v>7</v>
      </c>
      <c r="W8" s="23" t="s">
        <v>7</v>
      </c>
      <c r="X8" s="19"/>
      <c r="AH8" s="19" t="str">
        <f t="shared" si="1"/>
        <v>1.25x2.5</v>
      </c>
      <c r="AI8" s="19">
        <v>1.25</v>
      </c>
      <c r="AJ8" s="19">
        <v>2.5</v>
      </c>
      <c r="AK8" s="25">
        <f t="shared" ref="AK8:AK9" si="2">AK$6</f>
        <v>0.69899999999999995</v>
      </c>
      <c r="AL8" s="24">
        <f t="shared" si="0"/>
        <v>1.6E-2</v>
      </c>
      <c r="AM8" s="19" t="s">
        <v>63</v>
      </c>
    </row>
    <row r="9" spans="1:39" x14ac:dyDescent="0.25">
      <c r="A9">
        <v>6.5000000000000002E-2</v>
      </c>
      <c r="B9">
        <v>16</v>
      </c>
      <c r="C9" t="s">
        <v>23</v>
      </c>
      <c r="D9" t="s">
        <v>35</v>
      </c>
      <c r="F9" s="19">
        <v>4.9000000000000002E-2</v>
      </c>
      <c r="G9" s="19">
        <v>18</v>
      </c>
      <c r="M9" t="s">
        <v>29</v>
      </c>
      <c r="AH9" s="19" t="str">
        <f t="shared" si="1"/>
        <v>1.5x2.75</v>
      </c>
      <c r="AI9" s="19">
        <v>1.5000000000000002</v>
      </c>
      <c r="AJ9" s="19">
        <v>2.75</v>
      </c>
      <c r="AK9" s="25">
        <f t="shared" si="2"/>
        <v>0.69899999999999995</v>
      </c>
      <c r="AL9" s="24">
        <f t="shared" si="0"/>
        <v>1.6E-2</v>
      </c>
      <c r="AM9" s="19" t="s">
        <v>63</v>
      </c>
    </row>
    <row r="10" spans="1:39" x14ac:dyDescent="0.25">
      <c r="A10">
        <v>7.4999999999999997E-2</v>
      </c>
      <c r="B10">
        <v>15</v>
      </c>
      <c r="C10" t="s">
        <v>23</v>
      </c>
      <c r="D10" t="s">
        <v>35</v>
      </c>
      <c r="F10" s="19">
        <v>4.4999999999999998E-2</v>
      </c>
      <c r="G10" s="19">
        <v>18</v>
      </c>
      <c r="AH10" s="19" t="s">
        <v>29</v>
      </c>
      <c r="AI10" s="19"/>
      <c r="AJ10" s="19"/>
      <c r="AK10" s="19"/>
      <c r="AL10" s="19"/>
      <c r="AM10" s="19"/>
    </row>
    <row r="11" spans="1:39" x14ac:dyDescent="0.25">
      <c r="A11">
        <v>8.3000000000000004E-2</v>
      </c>
      <c r="B11">
        <v>14</v>
      </c>
      <c r="C11" t="s">
        <v>23</v>
      </c>
      <c r="D11" t="s">
        <v>35</v>
      </c>
      <c r="F11" s="47">
        <v>0.06</v>
      </c>
      <c r="G11" s="19">
        <v>16</v>
      </c>
      <c r="V11">
        <f>IF(Sheet1!$C$6&lt;1,   0.015,   0.016)</f>
        <v>1.4999999999999999E-2</v>
      </c>
      <c r="W11">
        <f>IF(Sheet1!$C$6 &lt; 1,  0.5,  0.699)</f>
        <v>0.5</v>
      </c>
    </row>
    <row r="12" spans="1:39" x14ac:dyDescent="0.25">
      <c r="A12">
        <v>0.109</v>
      </c>
      <c r="B12">
        <v>12</v>
      </c>
      <c r="C12" t="s">
        <v>23</v>
      </c>
      <c r="D12" t="s">
        <v>35</v>
      </c>
      <c r="F12" s="19">
        <v>6.5000000000000002E-2</v>
      </c>
      <c r="G12" s="19">
        <v>16</v>
      </c>
    </row>
    <row r="13" spans="1:39" x14ac:dyDescent="0.25">
      <c r="A13">
        <v>0.13400000000000001</v>
      </c>
      <c r="B13">
        <v>10</v>
      </c>
      <c r="C13" t="s">
        <v>23</v>
      </c>
      <c r="D13" t="s">
        <v>35</v>
      </c>
      <c r="F13" s="19">
        <v>7.4999999999999997E-2</v>
      </c>
      <c r="G13" s="19">
        <v>15</v>
      </c>
    </row>
    <row r="14" spans="1:39" x14ac:dyDescent="0.25">
      <c r="A14">
        <v>0.14799999999999999</v>
      </c>
      <c r="B14">
        <v>9</v>
      </c>
      <c r="C14" t="s">
        <v>23</v>
      </c>
      <c r="D14" t="s">
        <v>35</v>
      </c>
      <c r="F14" s="19">
        <v>8.3000000000000004E-2</v>
      </c>
      <c r="G14" s="19">
        <v>14</v>
      </c>
    </row>
    <row r="15" spans="1:39" x14ac:dyDescent="0.25">
      <c r="A15" s="7">
        <v>4.9000000000000002E-2</v>
      </c>
      <c r="B15" s="7">
        <v>18</v>
      </c>
      <c r="C15" s="7" t="s">
        <v>23</v>
      </c>
      <c r="D15" s="7" t="s">
        <v>35</v>
      </c>
      <c r="F15" s="19">
        <v>8.5000000000000006E-2</v>
      </c>
      <c r="G15" s="19">
        <v>14</v>
      </c>
    </row>
    <row r="16" spans="1:39" x14ac:dyDescent="0.25">
      <c r="A16">
        <v>3.5000000000000003E-2</v>
      </c>
      <c r="B16">
        <v>20</v>
      </c>
      <c r="C16" t="s">
        <v>31</v>
      </c>
      <c r="D16" t="s">
        <v>33</v>
      </c>
      <c r="F16" s="19">
        <v>9.5000000000000001E-2</v>
      </c>
      <c r="G16" s="19">
        <v>13</v>
      </c>
    </row>
    <row r="17" spans="1:7" x14ac:dyDescent="0.25">
      <c r="A17">
        <v>4.9000000000000002E-2</v>
      </c>
      <c r="B17">
        <v>18</v>
      </c>
      <c r="C17" t="s">
        <v>31</v>
      </c>
      <c r="D17" t="s">
        <v>33</v>
      </c>
      <c r="F17" s="19">
        <v>0.109</v>
      </c>
      <c r="G17" s="19">
        <v>12</v>
      </c>
    </row>
    <row r="18" spans="1:7" x14ac:dyDescent="0.25">
      <c r="A18">
        <v>6.5000000000000002E-2</v>
      </c>
      <c r="B18">
        <v>16</v>
      </c>
      <c r="C18" t="s">
        <v>31</v>
      </c>
      <c r="D18" t="s">
        <v>33</v>
      </c>
      <c r="F18" s="19">
        <v>0.11</v>
      </c>
      <c r="G18" s="19">
        <v>12</v>
      </c>
    </row>
    <row r="19" spans="1:7" x14ac:dyDescent="0.25">
      <c r="A19">
        <v>8.3000000000000004E-2</v>
      </c>
      <c r="B19">
        <v>14</v>
      </c>
      <c r="C19" t="s">
        <v>31</v>
      </c>
      <c r="D19" t="s">
        <v>33</v>
      </c>
      <c r="F19" s="19">
        <v>0.13400000000000001</v>
      </c>
      <c r="G19" s="19">
        <v>10</v>
      </c>
    </row>
    <row r="20" spans="1:7" x14ac:dyDescent="0.25">
      <c r="A20">
        <v>0.109</v>
      </c>
      <c r="B20">
        <v>12</v>
      </c>
      <c r="C20" t="s">
        <v>31</v>
      </c>
      <c r="D20" t="s">
        <v>33</v>
      </c>
      <c r="F20" s="19">
        <v>0.14799999999999999</v>
      </c>
      <c r="G20" s="19">
        <v>9</v>
      </c>
    </row>
    <row r="21" spans="1:7" x14ac:dyDescent="0.25">
      <c r="A21">
        <v>0.13400000000000001</v>
      </c>
      <c r="B21">
        <v>10</v>
      </c>
      <c r="C21" t="s">
        <v>31</v>
      </c>
      <c r="D21" t="s">
        <v>33</v>
      </c>
      <c r="F21" s="19" t="s">
        <v>7</v>
      </c>
      <c r="G21" s="19"/>
    </row>
    <row r="22" spans="1:7" x14ac:dyDescent="0.25">
      <c r="A22" s="7">
        <v>0.14799999999999999</v>
      </c>
      <c r="B22" s="7">
        <v>9</v>
      </c>
      <c r="C22" s="7" t="s">
        <v>31</v>
      </c>
      <c r="D22" s="7" t="s">
        <v>33</v>
      </c>
    </row>
    <row r="23" spans="1:7" x14ac:dyDescent="0.25">
      <c r="A23">
        <v>3.5000000000000003E-2</v>
      </c>
      <c r="B23">
        <v>20</v>
      </c>
      <c r="C23" t="s">
        <v>31</v>
      </c>
      <c r="D23" t="s">
        <v>32</v>
      </c>
    </row>
    <row r="24" spans="1:7" x14ac:dyDescent="0.25">
      <c r="A24">
        <v>4.9000000000000002E-2</v>
      </c>
      <c r="B24">
        <v>18</v>
      </c>
      <c r="C24" t="s">
        <v>31</v>
      </c>
      <c r="D24" t="s">
        <v>32</v>
      </c>
    </row>
    <row r="25" spans="1:7" x14ac:dyDescent="0.25">
      <c r="A25">
        <v>6.5000000000000002E-2</v>
      </c>
      <c r="B25">
        <v>16</v>
      </c>
      <c r="C25" t="s">
        <v>31</v>
      </c>
      <c r="D25" t="s">
        <v>32</v>
      </c>
    </row>
    <row r="26" spans="1:7" x14ac:dyDescent="0.25">
      <c r="A26">
        <v>8.3000000000000004E-2</v>
      </c>
      <c r="B26">
        <v>14</v>
      </c>
      <c r="C26" t="s">
        <v>31</v>
      </c>
      <c r="D26" t="s">
        <v>32</v>
      </c>
    </row>
    <row r="27" spans="1:7" x14ac:dyDescent="0.25">
      <c r="A27">
        <v>0.109</v>
      </c>
      <c r="B27">
        <v>12</v>
      </c>
      <c r="C27" t="s">
        <v>31</v>
      </c>
      <c r="D27" t="s">
        <v>32</v>
      </c>
    </row>
    <row r="28" spans="1:7" x14ac:dyDescent="0.25">
      <c r="A28">
        <v>0.13400000000000001</v>
      </c>
      <c r="B28">
        <v>10</v>
      </c>
      <c r="C28" t="s">
        <v>31</v>
      </c>
      <c r="D28" t="s">
        <v>32</v>
      </c>
    </row>
    <row r="29" spans="1:7" x14ac:dyDescent="0.25">
      <c r="A29" s="7">
        <v>0.14799999999999999</v>
      </c>
      <c r="B29" s="7">
        <v>9</v>
      </c>
      <c r="C29" s="7" t="s">
        <v>31</v>
      </c>
      <c r="D29" s="7" t="s">
        <v>32</v>
      </c>
    </row>
  </sheetData>
  <sortState xmlns:xlrd2="http://schemas.microsoft.com/office/spreadsheetml/2017/richdata2" ref="F1:I25">
    <sortCondition ref="F1:F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Sheet1</vt:lpstr>
      <vt:lpstr>Data</vt:lpstr>
      <vt:lpstr>Band_Move_Direction_Table</vt:lpstr>
      <vt:lpstr>Band_Spacing</vt:lpstr>
      <vt:lpstr>BWG_Table</vt:lpstr>
      <vt:lpstr>Center_Band_Direction</vt:lpstr>
      <vt:lpstr>Center_Band_Move?</vt:lpstr>
      <vt:lpstr>Center_Band_Offset</vt:lpstr>
      <vt:lpstr>Center_Band_Offset_Direction</vt:lpstr>
      <vt:lpstr>Family</vt:lpstr>
      <vt:lpstr>Fin_Coating_List</vt:lpstr>
      <vt:lpstr>Fin_Material_List</vt:lpstr>
      <vt:lpstr>Fin_Size</vt:lpstr>
      <vt:lpstr>Fin_Type</vt:lpstr>
      <vt:lpstr>FinTube_Size_Table</vt:lpstr>
      <vt:lpstr>First_Band_Loc</vt:lpstr>
      <vt:lpstr>Material_List</vt:lpstr>
      <vt:lpstr>PMI_Req_List</vt:lpstr>
      <vt:lpstr>QTY_of_Bands</vt:lpstr>
      <vt:lpstr>QTY_of_Front_Spaces</vt:lpstr>
      <vt:lpstr>QTY_of_Mid_Spaces</vt:lpstr>
      <vt:lpstr>QTY_of_Rear_Spaces</vt:lpstr>
      <vt:lpstr>QTY_of_Spaces</vt:lpstr>
      <vt:lpstr>Raw_Fin_Table</vt:lpstr>
      <vt:lpstr>Tube_Dia</vt:lpstr>
      <vt:lpstr>Tube_Length</vt:lpstr>
      <vt:lpstr>Tube_Types_List</vt:lpstr>
      <vt:lpstr>Tube_Types_Table</vt:lpstr>
      <vt:lpstr>Tube_Wall</vt:lpstr>
      <vt:lpstr>Tube_Wall_Type_Table</vt:lpstr>
    </vt:vector>
  </TitlesOfParts>
  <Company>Harsco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Stietz</dc:creator>
  <cp:lastModifiedBy>Tietz, Steven</cp:lastModifiedBy>
  <dcterms:created xsi:type="dcterms:W3CDTF">2014-07-16T07:21:43Z</dcterms:created>
  <dcterms:modified xsi:type="dcterms:W3CDTF">2023-11-01T20:32:56Z</dcterms:modified>
</cp:coreProperties>
</file>