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8_{7436A9E6-4969-44C2-8B08-DE67781CD52B}" xr6:coauthVersionLast="47" xr6:coauthVersionMax="47" xr10:uidLastSave="{00000000-0000-0000-0000-000000000000}"/>
  <bookViews>
    <workbookView visibility="veryHidden" xWindow="-105" yWindow="0" windowWidth="14610" windowHeight="15705" tabRatio="599" xr2:uid="{4A6FFEF6-39E9-4213-B016-D88D8C1C5184}"/>
  </bookViews>
  <sheets>
    <sheet name="Data" sheetId="11" r:id="rId1"/>
    <sheet name="Solidworks" sheetId="14" r:id="rId2"/>
    <sheet name="Calcs" sheetId="15" r:id="rId3"/>
  </sheets>
  <externalReferences>
    <externalReference r:id="rId4"/>
  </externalReferences>
  <definedNames>
    <definedName name="Family" localSheetId="2">Calcs!#REF!</definedName>
    <definedName name="Family" localSheetId="0">Data!#REF!</definedName>
    <definedName name="Family" localSheetId="1">Solidworks!$A$1</definedName>
    <definedName name="Family">#REF!</definedName>
    <definedName name="locked">[1]Pulldowns_Lookups!$CE$4:$CE$6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5" l="1"/>
  <c r="L32" i="15" s="1"/>
  <c r="A13" i="15"/>
  <c r="X2" i="14" s="1"/>
  <c r="A12" i="15"/>
  <c r="L19" i="15" s="1"/>
  <c r="L20" i="15" s="1"/>
  <c r="A11" i="15"/>
  <c r="A10" i="15"/>
  <c r="A9" i="15"/>
  <c r="A8" i="15"/>
  <c r="A7" i="15"/>
  <c r="A6" i="15"/>
  <c r="R2" i="14" s="1"/>
  <c r="A5" i="15"/>
  <c r="O2" i="14" s="1"/>
  <c r="A4" i="15"/>
  <c r="H29" i="15" s="1"/>
  <c r="H30" i="15" s="1"/>
  <c r="A3" i="15"/>
  <c r="Z2" i="14" s="1"/>
  <c r="A2" i="15"/>
  <c r="AC2" i="14" s="1"/>
  <c r="A1" i="15"/>
  <c r="AO2" i="14"/>
  <c r="AN2" i="14"/>
  <c r="AM2" i="14"/>
  <c r="AL2" i="14"/>
  <c r="AK2" i="14"/>
  <c r="AJ2" i="14"/>
  <c r="AI2" i="14"/>
  <c r="AH2" i="14"/>
  <c r="AG2" i="14"/>
  <c r="AF2" i="14"/>
  <c r="AE2" i="14"/>
  <c r="AD2" i="14"/>
  <c r="AB2" i="14"/>
  <c r="AA2" i="14"/>
  <c r="W2" i="14"/>
  <c r="V2" i="14"/>
  <c r="U2" i="14"/>
  <c r="T2" i="14"/>
  <c r="S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2" i="14" s="1"/>
  <c r="AB64" i="11"/>
  <c r="AA64" i="11"/>
  <c r="Z64" i="11"/>
  <c r="Y64" i="11"/>
  <c r="A14" i="15" s="1"/>
  <c r="P2" i="14" s="1"/>
  <c r="AA63" i="11"/>
  <c r="Y56" i="11"/>
  <c r="X56" i="11"/>
  <c r="L21" i="15" l="1"/>
  <c r="L28" i="15"/>
  <c r="H36" i="15" s="1"/>
  <c r="A72" i="11" s="1"/>
  <c r="Q2" i="14"/>
  <c r="H19" i="15"/>
  <c r="H20" i="15" s="1"/>
  <c r="H21" i="15" s="1"/>
  <c r="H22" i="15" s="1"/>
  <c r="H23" i="15" s="1"/>
  <c r="H25" i="15" s="1"/>
  <c r="H34" i="15" l="1"/>
  <c r="H35" i="15"/>
  <c r="H37" i="15" s="1"/>
  <c r="H38" i="15" s="1"/>
  <c r="H39" i="15" s="1"/>
  <c r="E68" i="11" l="1"/>
  <c r="A68" i="11"/>
</calcChain>
</file>

<file path=xl/sharedStrings.xml><?xml version="1.0" encoding="utf-8"?>
<sst xmlns="http://schemas.openxmlformats.org/spreadsheetml/2006/main" count="102" uniqueCount="93">
  <si>
    <t xml:space="preserve"> </t>
  </si>
  <si>
    <t>Cofimco</t>
  </si>
  <si>
    <t>N. blades</t>
  </si>
  <si>
    <t>Blade pitch angle</t>
  </si>
  <si>
    <t>AR</t>
  </si>
  <si>
    <t>BR</t>
  </si>
  <si>
    <t>AT</t>
  </si>
  <si>
    <t>BT</t>
  </si>
  <si>
    <t>Hub Height</t>
  </si>
  <si>
    <t>Hub Center</t>
  </si>
  <si>
    <t>Disk diameter</t>
  </si>
  <si>
    <t>✶</t>
  </si>
  <si>
    <t>top of shaft to top of snap ring</t>
  </si>
  <si>
    <t>X-max</t>
  </si>
  <si>
    <t>location at X-top</t>
  </si>
  <si>
    <t>bottom of tip cap</t>
  </si>
  <si>
    <t>fan guard exp-mtl location</t>
  </si>
  <si>
    <t>bottom of fan ring</t>
  </si>
  <si>
    <t>plenum sidewall thickness</t>
  </si>
  <si>
    <t>X-min</t>
  </si>
  <si>
    <t>T</t>
  </si>
  <si>
    <t>top of tip cap</t>
  </si>
  <si>
    <t>Find bottom of fan ring</t>
  </si>
  <si>
    <t>top of fan shaft</t>
  </si>
  <si>
    <t>fan deck thickness</t>
  </si>
  <si>
    <t>inches</t>
  </si>
  <si>
    <t>fan ring thickness</t>
  </si>
  <si>
    <t>top of fan ring</t>
  </si>
  <si>
    <t>nominal fan ring depth</t>
  </si>
  <si>
    <t>Find top of fan ring</t>
  </si>
  <si>
    <t>total tip cap height</t>
  </si>
  <si>
    <t>Find top of tip cap</t>
  </si>
  <si>
    <t>Find fan opening elevation</t>
  </si>
  <si>
    <t>Find allowable stick up</t>
  </si>
  <si>
    <t>top of fan deck panel</t>
  </si>
  <si>
    <t>is tip cap sticking above fan deck?</t>
  </si>
  <si>
    <t>how much? (in)</t>
  </si>
  <si>
    <t>25% of tip cap height (in)</t>
  </si>
  <si>
    <t>how much (%)</t>
  </si>
  <si>
    <t>must reduce fan shaft length by</t>
  </si>
  <si>
    <t>required fan ring depth</t>
  </si>
  <si>
    <t>required fan ring depth (rounded)</t>
  </si>
  <si>
    <t>ft</t>
  </si>
  <si>
    <t>mm</t>
  </si>
  <si>
    <t>Pitch</t>
  </si>
  <si>
    <t>Angle</t>
  </si>
  <si>
    <t>(if no disk, leave blank)</t>
  </si>
  <si>
    <t>Minimum Gap:</t>
  </si>
  <si>
    <t>fan shaft diameter</t>
  </si>
  <si>
    <t>Fan diameter (ft)</t>
  </si>
  <si>
    <t>Xs Static deflection (mm)</t>
  </si>
  <si>
    <t>Xr Runing deflection (mm)</t>
  </si>
  <si>
    <t>Advanced options</t>
  </si>
  <si>
    <t>D7@Layout</t>
  </si>
  <si>
    <t>D12@Layout</t>
  </si>
  <si>
    <t>hub height@Layout</t>
  </si>
  <si>
    <t>half hub height@Layout</t>
  </si>
  <si>
    <t>T@Layout</t>
  </si>
  <si>
    <t>shaft@Layout</t>
  </si>
  <si>
    <t>LB@Layout</t>
  </si>
  <si>
    <t>DB@Layout</t>
  </si>
  <si>
    <t>hub diameter@Layout</t>
  </si>
  <si>
    <t>D11@Layout</t>
  </si>
  <si>
    <t>D10@Layout</t>
  </si>
  <si>
    <t>D9@Layout</t>
  </si>
  <si>
    <t>D8@Layout</t>
  </si>
  <si>
    <t>D6@Layout</t>
  </si>
  <si>
    <t>D13@Layout</t>
  </si>
  <si>
    <t>D5@sk:Blade</t>
  </si>
  <si>
    <t>D2@sk:Blade</t>
  </si>
  <si>
    <t>D1@sk:Blade</t>
  </si>
  <si>
    <t>D3@sk:Blade Taper</t>
  </si>
  <si>
    <t>D2@sk:Blade Taper</t>
  </si>
  <si>
    <t>D1@sk:Blade Taper</t>
  </si>
  <si>
    <t>D2@sk:Tip Cap</t>
  </si>
  <si>
    <t>D3@sk:Tip Cap</t>
  </si>
  <si>
    <t>D1@sk:Rounded End</t>
  </si>
  <si>
    <t>D1@sk:Support - Leg</t>
  </si>
  <si>
    <t>D1@Support - Feet</t>
  </si>
  <si>
    <t>D1@sk:Disk</t>
  </si>
  <si>
    <t>D1@Blade Pattern</t>
  </si>
  <si>
    <t>$STATE@Disk Support</t>
  </si>
  <si>
    <t>$STATE@Disk</t>
  </si>
  <si>
    <t>$STATE@Bushing</t>
  </si>
  <si>
    <t>$STATE@Hub</t>
  </si>
  <si>
    <t>$STATE@Blade</t>
  </si>
  <si>
    <t>$STATE@Blade Taper</t>
  </si>
  <si>
    <t>$STATE@Tip Cap</t>
  </si>
  <si>
    <t>$STATE@Rounded End</t>
  </si>
  <si>
    <t>$STATE@Support - Leg</t>
  </si>
  <si>
    <t>$STATE@Support - Feet</t>
  </si>
  <si>
    <t>$STATE@Bushing Bolt Heads</t>
  </si>
  <si>
    <t>$STATE@Blade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</si>
</sst>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theme="2" tint="-0.749961851863155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9"/>
      <color theme="0"/>
      <name val="Arial"/>
      <family val="2"/>
    </font>
    <font>
      <b/>
      <sz val="9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48"/>
      <color theme="0"/>
      <name val="Arial"/>
      <family val="2"/>
    </font>
    <font>
      <sz val="48"/>
      <color theme="9"/>
      <name val="Arial"/>
      <family val="2"/>
    </font>
    <font>
      <sz val="9"/>
      <name val="Arial"/>
      <family val="2"/>
    </font>
    <font>
      <sz val="16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0099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69FF"/>
        <bgColor indexed="64"/>
      </patternFill>
    </fill>
    <fill>
      <patternFill patternType="solid">
        <fgColor rgb="FFFFB9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/>
      <top style="medium">
        <color theme="0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 style="thin">
        <color rgb="FFFF0000"/>
      </left>
      <right/>
      <top style="thin">
        <color rgb="FFFF0000"/>
      </top>
      <bottom style="thin">
        <color theme="2" tint="-0.749992370372631"/>
      </bottom>
      <diagonal/>
    </border>
    <border>
      <left/>
      <right/>
      <top style="thin">
        <color rgb="FFFF0000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rgb="FFFF0000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rgb="FFFF0000"/>
      </right>
      <top style="thin">
        <color rgb="FFFF0000"/>
      </top>
      <bottom style="thin">
        <color theme="2" tint="-0.749992370372631"/>
      </bottom>
      <diagonal/>
    </border>
    <border>
      <left style="thin">
        <color rgb="FFFF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0.749992370372631"/>
      </left>
      <right style="thin">
        <color rgb="FFFF0000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rgb="FFFF0000"/>
      </bottom>
      <diagonal/>
    </border>
    <border>
      <left style="thin">
        <color theme="2" tint="-0.749992370372631"/>
      </left>
      <right style="thin">
        <color rgb="FFFF0000"/>
      </right>
      <top style="thin">
        <color theme="2" tint="-0.749992370372631"/>
      </top>
      <bottom style="thin">
        <color rgb="FFFF0000"/>
      </bottom>
      <diagonal/>
    </border>
  </borders>
  <cellStyleXfs count="29">
    <xf numFmtId="0" fontId="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0" fontId="4" fillId="4" borderId="4">
      <alignment horizontal="center"/>
    </xf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7" borderId="4">
      <alignment horizontal="center"/>
    </xf>
    <xf numFmtId="0" fontId="3" fillId="8" borderId="4">
      <alignment horizontal="center"/>
    </xf>
    <xf numFmtId="0" fontId="10" fillId="0" borderId="0"/>
    <xf numFmtId="0" fontId="11" fillId="0" borderId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9" fillId="2" borderId="1" xfId="0" applyFont="1" applyFill="1" applyBorder="1" applyAlignment="1">
      <alignment textRotation="45"/>
    </xf>
    <xf numFmtId="49" fontId="9" fillId="2" borderId="0" xfId="0" applyNumberFormat="1" applyFont="1" applyFill="1" applyAlignment="1">
      <alignment textRotation="45"/>
    </xf>
    <xf numFmtId="49" fontId="4" fillId="2" borderId="3" xfId="0" applyNumberFormat="1" applyFont="1" applyFill="1" applyBorder="1"/>
    <xf numFmtId="49" fontId="1" fillId="2" borderId="2" xfId="0" applyNumberFormat="1" applyFont="1" applyFill="1" applyBorder="1"/>
    <xf numFmtId="49" fontId="1" fillId="2" borderId="1" xfId="0" applyNumberFormat="1" applyFont="1" applyFill="1" applyBorder="1"/>
    <xf numFmtId="0" fontId="4" fillId="2" borderId="3" xfId="0" applyFont="1" applyFill="1" applyBorder="1"/>
    <xf numFmtId="0" fontId="8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 vertical="center"/>
    </xf>
    <xf numFmtId="0" fontId="12" fillId="9" borderId="4" xfId="24" applyAlignment="1">
      <alignment horizontal="right"/>
    </xf>
    <xf numFmtId="0" fontId="14" fillId="10" borderId="4" xfId="26" applyAlignment="1">
      <alignment horizontal="right"/>
    </xf>
    <xf numFmtId="0" fontId="15" fillId="2" borderId="6" xfId="27" applyFill="1" applyAlignment="1">
      <alignment horizontal="right"/>
    </xf>
    <xf numFmtId="0" fontId="0" fillId="2" borderId="3" xfId="0" applyFont="1" applyFill="1" applyBorder="1"/>
    <xf numFmtId="0" fontId="4" fillId="2" borderId="9" xfId="0" applyFont="1" applyFill="1" applyBorder="1"/>
    <xf numFmtId="0" fontId="0" fillId="2" borderId="8" xfId="0" applyFont="1" applyFill="1" applyBorder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/>
    <xf numFmtId="0" fontId="4" fillId="2" borderId="8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4" fillId="10" borderId="4" xfId="26"/>
    <xf numFmtId="0" fontId="12" fillId="9" borderId="4" xfId="24"/>
    <xf numFmtId="0" fontId="20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right" vertical="center"/>
    </xf>
    <xf numFmtId="0" fontId="20" fillId="2" borderId="3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right" vertical="center"/>
    </xf>
    <xf numFmtId="0" fontId="22" fillId="2" borderId="3" xfId="28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20" fillId="2" borderId="9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2" borderId="7" xfId="0" applyFont="1" applyFill="1" applyBorder="1" applyAlignment="1">
      <alignment horizontal="right" vertical="center"/>
    </xf>
    <xf numFmtId="0" fontId="20" fillId="2" borderId="7" xfId="0" applyFont="1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right" vertical="center"/>
    </xf>
    <xf numFmtId="0" fontId="8" fillId="11" borderId="0" xfId="0" applyFont="1" applyFill="1"/>
    <xf numFmtId="0" fontId="8" fillId="11" borderId="0" xfId="0" applyFont="1" applyFill="1" applyAlignment="1">
      <alignment horizontal="center"/>
    </xf>
    <xf numFmtId="0" fontId="16" fillId="2" borderId="3" xfId="0" applyFont="1" applyFill="1" applyBorder="1"/>
    <xf numFmtId="0" fontId="20" fillId="12" borderId="3" xfId="24" applyFont="1" applyFill="1" applyBorder="1" applyAlignment="1">
      <alignment horizontal="right" vertical="center"/>
    </xf>
    <xf numFmtId="0" fontId="23" fillId="11" borderId="12" xfId="24" applyFont="1" applyFill="1" applyBorder="1" applyAlignment="1">
      <alignment horizontal="right" vertical="center"/>
    </xf>
    <xf numFmtId="0" fontId="20" fillId="2" borderId="7" xfId="0" applyFont="1" applyFill="1" applyBorder="1" applyAlignment="1">
      <alignment horizontal="left" vertical="center"/>
    </xf>
    <xf numFmtId="0" fontId="23" fillId="11" borderId="4" xfId="24" applyFont="1" applyFill="1" applyAlignment="1">
      <alignment horizontal="right" vertical="center"/>
    </xf>
    <xf numFmtId="0" fontId="26" fillId="13" borderId="21" xfId="0" applyFont="1" applyFill="1" applyBorder="1" applyAlignment="1">
      <alignment horizontal="center" vertical="center"/>
    </xf>
    <xf numFmtId="0" fontId="21" fillId="11" borderId="21" xfId="24" applyFont="1" applyFill="1" applyBorder="1" applyAlignment="1">
      <alignment horizontal="right" vertical="center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2" borderId="28" xfId="0" applyFont="1" applyFill="1" applyBorder="1"/>
    <xf numFmtId="0" fontId="4" fillId="2" borderId="27" xfId="0" applyFont="1" applyFill="1" applyBorder="1"/>
    <xf numFmtId="0" fontId="4" fillId="2" borderId="32" xfId="0" applyFont="1" applyFill="1" applyBorder="1"/>
    <xf numFmtId="0" fontId="12" fillId="9" borderId="33" xfId="24" applyBorder="1" applyAlignment="1">
      <alignment horizontal="right"/>
    </xf>
    <xf numFmtId="0" fontId="4" fillId="2" borderId="34" xfId="0" applyFont="1" applyFill="1" applyBorder="1"/>
    <xf numFmtId="0" fontId="4" fillId="2" borderId="35" xfId="0" applyFont="1" applyFill="1" applyBorder="1"/>
    <xf numFmtId="0" fontId="4" fillId="2" borderId="36" xfId="0" applyFont="1" applyFill="1" applyBorder="1"/>
    <xf numFmtId="0" fontId="12" fillId="9" borderId="4" xfId="24" applyAlignment="1">
      <alignment horizontal="right" vertical="center"/>
    </xf>
    <xf numFmtId="49" fontId="0" fillId="0" borderId="0" xfId="0" applyNumberFormat="1" applyAlignment="1">
      <alignment vertical="center"/>
    </xf>
    <xf numFmtId="49" fontId="20" fillId="2" borderId="7" xfId="0" applyNumberFormat="1" applyFont="1" applyFill="1" applyBorder="1" applyAlignment="1">
      <alignment horizontal="right" vertical="center"/>
    </xf>
    <xf numFmtId="49" fontId="20" fillId="2" borderId="9" xfId="0" applyNumberFormat="1" applyFont="1" applyFill="1" applyBorder="1" applyAlignment="1">
      <alignment horizontal="right" vertical="center"/>
    </xf>
    <xf numFmtId="49" fontId="20" fillId="2" borderId="8" xfId="0" applyNumberFormat="1" applyFont="1" applyFill="1" applyBorder="1" applyAlignment="1">
      <alignment horizontal="right" vertical="center"/>
    </xf>
    <xf numFmtId="49" fontId="20" fillId="2" borderId="3" xfId="0" applyNumberFormat="1" applyFont="1" applyFill="1" applyBorder="1" applyAlignment="1">
      <alignment horizontal="right" vertical="center"/>
    </xf>
    <xf numFmtId="49" fontId="20" fillId="2" borderId="3" xfId="0" applyNumberFormat="1" applyFont="1" applyFill="1" applyBorder="1" applyAlignment="1">
      <alignment vertical="center"/>
    </xf>
    <xf numFmtId="0" fontId="26" fillId="13" borderId="21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  <xf numFmtId="0" fontId="25" fillId="2" borderId="14" xfId="0" applyFont="1" applyFill="1" applyBorder="1" applyAlignment="1">
      <alignment horizontal="right" vertical="center"/>
    </xf>
    <xf numFmtId="0" fontId="25" fillId="2" borderId="16" xfId="0" applyFont="1" applyFill="1" applyBorder="1" applyAlignment="1">
      <alignment horizontal="right" vertical="center"/>
    </xf>
    <xf numFmtId="0" fontId="25" fillId="2" borderId="0" xfId="0" applyFont="1" applyFill="1" applyBorder="1" applyAlignment="1">
      <alignment horizontal="right" vertical="center"/>
    </xf>
    <xf numFmtId="0" fontId="25" fillId="2" borderId="18" xfId="0" applyFont="1" applyFill="1" applyBorder="1" applyAlignment="1">
      <alignment horizontal="right" vertical="center"/>
    </xf>
    <xf numFmtId="0" fontId="25" fillId="2" borderId="19" xfId="0" applyFont="1" applyFill="1" applyBorder="1" applyAlignment="1">
      <alignment horizontal="righ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horizontal="left" vertical="center"/>
    </xf>
    <xf numFmtId="0" fontId="24" fillId="2" borderId="15" xfId="0" applyFont="1" applyFill="1" applyBorder="1" applyAlignment="1">
      <alignment horizontal="left" vertical="center"/>
    </xf>
    <xf numFmtId="0" fontId="24" fillId="2" borderId="16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4" fillId="2" borderId="17" xfId="0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left" vertical="center"/>
    </xf>
    <xf numFmtId="0" fontId="24" fillId="2" borderId="2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29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31" xfId="0" applyFont="1" applyFill="1" applyBorder="1" applyAlignment="1">
      <alignment horizontal="center"/>
    </xf>
    <xf numFmtId="0" fontId="14" fillId="10" borderId="4" xfId="26" applyAlignment="1">
      <alignment horizontal="center"/>
    </xf>
    <xf numFmtId="0" fontId="13" fillId="10" borderId="5" xfId="25" applyAlignment="1">
      <alignment horizontal="center"/>
    </xf>
    <xf numFmtId="0" fontId="13" fillId="10" borderId="9" xfId="25" applyBorder="1" applyAlignment="1">
      <alignment horizontal="center"/>
    </xf>
    <xf numFmtId="0" fontId="13" fillId="10" borderId="11" xfId="25" applyBorder="1" applyAlignment="1">
      <alignment horizontal="center"/>
    </xf>
    <xf numFmtId="0" fontId="13" fillId="10" borderId="10" xfId="25" applyBorder="1" applyAlignment="1">
      <alignment horizontal="center"/>
    </xf>
  </cellXfs>
  <cellStyles count="29">
    <cellStyle name="40% - Accent1 2" xfId="7" xr:uid="{45B30649-5396-403F-B26E-6A99CF1BC93B}"/>
    <cellStyle name="40% - Accent1 3" xfId="8" xr:uid="{7A740078-CAF7-4431-8BF1-0BA18780A2AC}"/>
    <cellStyle name="Accent2" xfId="18" builtinId="33" customBuiltin="1"/>
    <cellStyle name="Accent4" xfId="19" builtinId="41" customBuiltin="1"/>
    <cellStyle name="Calculation" xfId="26" builtinId="22"/>
    <cellStyle name="Explanatory Text" xfId="28" builtinId="53"/>
    <cellStyle name="Input" xfId="24" builtinId="20"/>
    <cellStyle name="Linked Cell" xfId="27" builtinId="24"/>
    <cellStyle name="Normal" xfId="0" builtinId="0"/>
    <cellStyle name="Normal 10" xfId="15" xr:uid="{27D6D4EB-1484-427F-993F-CFAAFD23BDA2}"/>
    <cellStyle name="Normal 11" xfId="1" xr:uid="{D2E591B5-CC3A-47D0-A33D-85E9586123A0}"/>
    <cellStyle name="Normal 12" xfId="22" xr:uid="{E4B72053-E1E8-452E-A43A-344CD29CE4C3}"/>
    <cellStyle name="Normal 13" xfId="23" xr:uid="{C78586AD-4DFC-47F3-9963-5C7F2B853416}"/>
    <cellStyle name="Normal 2" xfId="2" xr:uid="{9E37828B-A9A0-4E24-AE65-C772A1F78930}"/>
    <cellStyle name="Normal 3" xfId="3" xr:uid="{5C3C4F89-E603-4D04-9AAC-F511C8ABA710}"/>
    <cellStyle name="Normal 3 2" xfId="9" xr:uid="{C78D0E84-D8C5-4AB7-AD0B-C21FADAAB145}"/>
    <cellStyle name="Normal 4" xfId="4" xr:uid="{9CDE1949-A4D7-45B6-ADB6-BA7F07512369}"/>
    <cellStyle name="Normal 4 2" xfId="10" xr:uid="{9051DB3F-66AE-45B5-8E99-AA2CBE43BC11}"/>
    <cellStyle name="Normal 5" xfId="5" xr:uid="{2F5F276D-F4A8-4564-99A1-B204BDB9582F}"/>
    <cellStyle name="Normal 5 2" xfId="11" xr:uid="{FB04140D-1E64-4ADA-A635-B6CBC32B7CA4}"/>
    <cellStyle name="Normal 6" xfId="6" xr:uid="{691A6A55-197C-4661-AC8B-E71BDBA81CCD}"/>
    <cellStyle name="Normal 7" xfId="12" xr:uid="{1C58E801-C8BD-4816-9CC9-9A9C8BF4FE4E}"/>
    <cellStyle name="Normal 8" xfId="13" xr:uid="{095C3535-EA68-4018-A84B-FBB74825BB3F}"/>
    <cellStyle name="Normal 9" xfId="14" xr:uid="{E11F0CA3-61F9-4738-8DF0-F61FBA548072}"/>
    <cellStyle name="Output" xfId="25" builtinId="21"/>
    <cellStyle name="Percent 2" xfId="16" xr:uid="{B9CF1976-11A5-4CBF-B868-F323D925D94B}"/>
    <cellStyle name="Style 1" xfId="17" xr:uid="{15F49AB2-2D36-45DE-B6D0-C1432AEE90B0}"/>
    <cellStyle name="Style 2" xfId="20" xr:uid="{2BB95000-2AE1-40E8-8748-6FBE1AA53D20}"/>
    <cellStyle name="Style 3" xfId="21" xr:uid="{761D2468-7EE6-4329-AC73-B48F9889B647}"/>
  </cellStyles>
  <dxfs count="0"/>
  <tableStyles count="0" defaultTableStyle="TableStyleMedium2" defaultPivotStyle="PivotStyleLight16"/>
  <colors>
    <mruColors>
      <color rgb="FFFF97FF"/>
      <color rgb="FFFFB9FF"/>
      <color rgb="FFFF69FF"/>
      <color rgb="FFC800C8"/>
      <color rgb="FF990099"/>
      <color rgb="FFCC0099"/>
      <color rgb="FF3366CC"/>
      <color rgb="FF007CA8"/>
      <color rgb="FFFF5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27</xdr:col>
      <xdr:colOff>99242</xdr:colOff>
      <xdr:row>10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027798-DBB0-CB5A-EACE-CF1E08A7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91450" cy="20193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182217</xdr:colOff>
      <xdr:row>40</xdr:row>
      <xdr:rowOff>164933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FB6966-529F-14EC-B6E9-F952D4B7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19325" cy="7820025"/>
        </a:xfrm>
        <a:prstGeom prst="rect">
          <a:avLst/>
        </a:prstGeom>
      </xdr:spPr>
    </xdr:pic>
    <xdr:clientData/>
  </xdr:twoCellAnchor>
  <xdr:twoCellAnchor editAs="absolute">
    <xdr:from>
      <xdr:col>12</xdr:col>
      <xdr:colOff>30472</xdr:colOff>
      <xdr:row>0</xdr:row>
      <xdr:rowOff>0</xdr:rowOff>
    </xdr:from>
    <xdr:to>
      <xdr:col>12</xdr:col>
      <xdr:colOff>120307</xdr:colOff>
      <xdr:row>40</xdr:row>
      <xdr:rowOff>3008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9B34B6-9362-0CC3-F6C4-7180EE4DA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564" y="0"/>
          <a:ext cx="95250" cy="7658100"/>
        </a:xfrm>
        <a:prstGeom prst="rect">
          <a:avLst/>
        </a:prstGeom>
      </xdr:spPr>
    </xdr:pic>
    <xdr:clientData/>
  </xdr:twoCellAnchor>
  <xdr:twoCellAnchor editAs="absolute">
    <xdr:from>
      <xdr:col>14</xdr:col>
      <xdr:colOff>67918</xdr:colOff>
      <xdr:row>0</xdr:row>
      <xdr:rowOff>0</xdr:rowOff>
    </xdr:from>
    <xdr:to>
      <xdr:col>19</xdr:col>
      <xdr:colOff>353669</xdr:colOff>
      <xdr:row>40</xdr:row>
      <xdr:rowOff>88733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809A3FA-82F5-75B8-59C9-75C153B8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3826" y="0"/>
          <a:ext cx="1524000" cy="7743825"/>
        </a:xfrm>
        <a:prstGeom prst="rect">
          <a:avLst/>
        </a:prstGeom>
      </xdr:spPr>
    </xdr:pic>
    <xdr:clientData/>
  </xdr:twoCellAnchor>
  <xdr:twoCellAnchor editAs="absolute">
    <xdr:from>
      <xdr:col>21</xdr:col>
      <xdr:colOff>43898</xdr:colOff>
      <xdr:row>0</xdr:row>
      <xdr:rowOff>0</xdr:rowOff>
    </xdr:from>
    <xdr:to>
      <xdr:col>21</xdr:col>
      <xdr:colOff>210411</xdr:colOff>
      <xdr:row>40</xdr:row>
      <xdr:rowOff>164933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D38D01-1219-E7E0-81A5-8C4309CC8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1773" y="0"/>
          <a:ext cx="166513" cy="7823033"/>
        </a:xfrm>
        <a:prstGeom prst="rect">
          <a:avLst/>
        </a:prstGeom>
      </xdr:spPr>
    </xdr:pic>
    <xdr:clientData/>
  </xdr:twoCellAnchor>
  <xdr:twoCellAnchor editAs="absolute">
    <xdr:from>
      <xdr:col>23</xdr:col>
      <xdr:colOff>36515</xdr:colOff>
      <xdr:row>0</xdr:row>
      <xdr:rowOff>0</xdr:rowOff>
    </xdr:from>
    <xdr:to>
      <xdr:col>27</xdr:col>
      <xdr:colOff>98722</xdr:colOff>
      <xdr:row>40</xdr:row>
      <xdr:rowOff>164933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A285FE-D5CA-3810-8176-51B784A3A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83723" y="0"/>
          <a:ext cx="1046116" cy="78200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38</xdr:row>
      <xdr:rowOff>119071</xdr:rowOff>
    </xdr:from>
    <xdr:to>
      <xdr:col>27</xdr:col>
      <xdr:colOff>88053</xdr:colOff>
      <xdr:row>53</xdr:row>
      <xdr:rowOff>42871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2A0D6D-DF74-FB47-73CA-AE4123381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397609"/>
          <a:ext cx="7731890" cy="2687847"/>
        </a:xfrm>
        <a:prstGeom prst="rect">
          <a:avLst/>
        </a:prstGeom>
      </xdr:spPr>
    </xdr:pic>
    <xdr:clientData/>
  </xdr:twoCellAnchor>
  <xdr:twoCellAnchor editAs="absolute">
    <xdr:from>
      <xdr:col>12</xdr:col>
      <xdr:colOff>120556</xdr:colOff>
      <xdr:row>22</xdr:row>
      <xdr:rowOff>5013</xdr:rowOff>
    </xdr:from>
    <xdr:to>
      <xdr:col>13</xdr:col>
      <xdr:colOff>186729</xdr:colOff>
      <xdr:row>23</xdr:row>
      <xdr:rowOff>15541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DFC3BD4-AED8-CBF1-6219-6BD4558B1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8026" y="4196013"/>
          <a:ext cx="209550" cy="180975"/>
        </a:xfrm>
        <a:prstGeom prst="rect">
          <a:avLst/>
        </a:prstGeom>
      </xdr:spPr>
    </xdr:pic>
    <xdr:clientData/>
  </xdr:twoCellAnchor>
  <xdr:twoCellAnchor editAs="absolute">
    <xdr:from>
      <xdr:col>8</xdr:col>
      <xdr:colOff>33130</xdr:colOff>
      <xdr:row>56</xdr:row>
      <xdr:rowOff>16565</xdr:rowOff>
    </xdr:from>
    <xdr:to>
      <xdr:col>19</xdr:col>
      <xdr:colOff>47211</xdr:colOff>
      <xdr:row>61</xdr:row>
      <xdr:rowOff>173935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6EB94F6-8961-CE8F-11AD-2ADA16FB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4087" y="10543761"/>
          <a:ext cx="3105150" cy="110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100287</xdr:rowOff>
    </xdr:from>
    <xdr:to>
      <xdr:col>19</xdr:col>
      <xdr:colOff>1234327</xdr:colOff>
      <xdr:row>14</xdr:row>
      <xdr:rowOff>182096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4037B0-FB8E-BA0A-F6DE-5CA7154D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00287"/>
          <a:ext cx="8978152" cy="2805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murr\AppData\Local\Microsoft\Windows\INetCache\Content.Outlook\JZDD1KF8\prego_3_2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U1_Form"/>
      <sheetName val="Inputs_Calcs"/>
      <sheetName val="Material"/>
      <sheetName val="Pulldowns_Lookups"/>
      <sheetName val="Prego_to_Mikey"/>
      <sheetName val="Solver"/>
      <sheetName val="BOM_Input"/>
      <sheetName val="BOM_Notes"/>
      <sheetName val="PN_Entry"/>
      <sheetName val="BOM"/>
      <sheetName val="Design_Data"/>
      <sheetName val="Weights"/>
      <sheetName val="Tube_End"/>
      <sheetName val="Smithco_Files"/>
      <sheetName val="Calc_Eng"/>
      <sheetName val="Calc_Met"/>
      <sheetName val="Nozzle_Loads"/>
      <sheetName val="Noz_Calc_Eng"/>
      <sheetName val="Noz_Calc_Met"/>
      <sheetName val="Vacuum_Calc"/>
      <sheetName val="Detl_Vac"/>
      <sheetName val="Hydro_Eng"/>
      <sheetName val="Hydro_Met"/>
      <sheetName val="Noz_Reinf"/>
      <sheetName val="NP_Dwg"/>
      <sheetName val="Flg_Stress"/>
      <sheetName val="Detl_Calc_Eng"/>
      <sheetName val="Detl_Calc_Met"/>
      <sheetName val="SC_BOM"/>
      <sheetName val="SC_Calcs"/>
      <sheetName val="Plug_Torque"/>
      <sheetName val="Weld_Metal"/>
      <sheetName val="Bundle_Slope"/>
      <sheetName val="Nozzle_Slope"/>
      <sheetName val="Part_Upload"/>
      <sheetName val="Plate_Sch"/>
      <sheetName val="BOM_Upload"/>
      <sheetName val="Lifting_Lug_Calc"/>
      <sheetName val="Header_Pad_Calc_L"/>
      <sheetName val="Header_Pad_Calc_R"/>
      <sheetName val="Sketch_Calcs"/>
      <sheetName val="Calcs"/>
      <sheetName val="Charpy_Check_CS"/>
      <sheetName val="Charpy_Check_Alloy"/>
      <sheetName val="Charpy_Table"/>
      <sheetName val="Flg_Rating"/>
      <sheetName val="Pipe_Sch"/>
      <sheetName val="Flg_Dims"/>
      <sheetName val="Grayloc_Dims"/>
      <sheetName val="Vis_PN"/>
      <sheetName val="Shop_Notes_Input"/>
      <sheetName val="Shop_Notes"/>
      <sheetName val="Vacuum_Tables"/>
      <sheetName val="App 13 calcs (Eng)"/>
      <sheetName val="App 13 calcs (Met)"/>
      <sheetName val="FEA"/>
      <sheetName val="Stress Table"/>
      <sheetName val="Flange Rating"/>
      <sheetName val="TBF"/>
      <sheetName val="Prego_to_Inv"/>
      <sheetName val="In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CE5" t="str">
            <v>Locked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B02E-698D-405C-8C8C-CF854AD2C43B}">
  <sheetPr>
    <pageSetUpPr fitToPage="1"/>
  </sheetPr>
  <dimension ref="A1:AL147"/>
  <sheetViews>
    <sheetView showGridLines="0" tabSelected="1" zoomScale="75" zoomScaleNormal="100" workbookViewId="0">
      <selection activeCell="C1" sqref="C1"/>
    </sheetView>
  </sheetViews>
  <sheetFormatPr defaultColWidth="3.7109375" defaultRowHeight="15" customHeight="1"/>
  <cols>
    <col min="1" max="1" width="3.7109375" style="67" customWidth="1"/>
    <col min="2" max="2" width="3.7109375" style="28"/>
    <col min="3" max="3" width="3.7109375" style="28" customWidth="1"/>
    <col min="4" max="4" width="4" style="28" bestFit="1" customWidth="1"/>
    <col min="5" max="5" width="4" style="29" bestFit="1" customWidth="1"/>
    <col min="6" max="6" width="3.7109375" style="25"/>
    <col min="7" max="7" width="3.7109375" style="28"/>
    <col min="8" max="8" width="3.7109375" style="27" customWidth="1"/>
    <col min="9" max="9" width="3.28515625" style="28" customWidth="1"/>
    <col min="10" max="10" width="3.7109375" style="28" hidden="1" customWidth="1"/>
    <col min="11" max="11" width="1.7109375" style="28" hidden="1" customWidth="1"/>
    <col min="12" max="12" width="10.7109375" style="28" customWidth="1"/>
    <col min="13" max="13" width="2.140625" style="28" customWidth="1"/>
    <col min="14" max="14" width="11.5703125" style="25" customWidth="1"/>
    <col min="15" max="18" width="3.7109375" style="28"/>
    <col min="19" max="19" width="3.7109375" style="28" customWidth="1"/>
    <col min="20" max="20" width="5.5703125" style="28" customWidth="1"/>
    <col min="21" max="21" width="5.7109375" style="28" customWidth="1"/>
    <col min="22" max="22" width="3.42578125" style="28" customWidth="1"/>
    <col min="23" max="23" width="8.42578125" style="28" customWidth="1"/>
    <col min="24" max="24" width="3.7109375" style="28"/>
    <col min="25" max="25" width="4" style="28" bestFit="1" customWidth="1"/>
    <col min="26" max="26" width="4.140625" style="28" bestFit="1" customWidth="1"/>
    <col min="27" max="27" width="3" style="28" bestFit="1" customWidth="1"/>
    <col min="28" max="28" width="5" style="28" bestFit="1" customWidth="1"/>
    <col min="29" max="39" width="3.7109375" style="28"/>
    <col min="40" max="40" width="5.140625" style="28" bestFit="1" customWidth="1"/>
    <col min="41" max="16384" width="3.7109375" style="28"/>
  </cols>
  <sheetData>
    <row r="1" spans="1:38" ht="15" customHeight="1">
      <c r="A1" s="63"/>
      <c r="B1" s="31" t="s">
        <v>53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38" ht="15" customHeight="1">
      <c r="A2" s="63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8" ht="15" customHeight="1">
      <c r="A3" s="63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38" ht="15" customHeight="1">
      <c r="A4" s="63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38" ht="15" customHeight="1">
      <c r="A5" s="63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38" ht="15" customHeight="1">
      <c r="A6" s="63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38" ht="15" customHeight="1">
      <c r="A7" s="63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38" ht="15" customHeight="1">
      <c r="A8" s="63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38" ht="15" customHeight="1">
      <c r="A9" s="63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38" ht="15" customHeight="1">
      <c r="A10" s="63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38" ht="15" customHeight="1">
      <c r="A11" s="63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38" ht="15" customHeight="1">
      <c r="A12" s="63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38" ht="15" customHeight="1">
      <c r="A13" s="63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38" ht="15" customHeight="1">
      <c r="A14" s="63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38" ht="15" customHeight="1">
      <c r="A15" s="63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38" ht="21.75" customHeight="1">
      <c r="A16" s="63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L16" s="27"/>
    </row>
    <row r="17" spans="1:38" ht="11.25" customHeight="1">
      <c r="A17" s="63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2"/>
      <c r="M17" s="31"/>
      <c r="N17" s="31" t="s">
        <v>42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L17" s="27"/>
    </row>
    <row r="18" spans="1:38" ht="15" customHeight="1">
      <c r="A18" s="63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L18" s="27"/>
    </row>
    <row r="19" spans="1:38" ht="15" customHeight="1">
      <c r="A19" s="63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L19" s="27"/>
    </row>
    <row r="20" spans="1:38" ht="7.5" customHeight="1">
      <c r="A20" s="63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L20" s="27"/>
    </row>
    <row r="21" spans="1:38" ht="12" customHeight="1">
      <c r="A21" s="63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2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L21" s="27"/>
    </row>
    <row r="22" spans="1:38" ht="21.75" customHeight="1">
      <c r="A22" s="63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L22" s="27"/>
    </row>
    <row r="23" spans="1:38" ht="13.5" customHeight="1">
      <c r="A23" s="63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2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L23" s="27"/>
    </row>
    <row r="24" spans="1:38" ht="15" customHeight="1">
      <c r="A24" s="63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L24" s="27"/>
    </row>
    <row r="25" spans="1:38" ht="15" customHeight="1">
      <c r="A25" s="63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38" ht="15" customHeight="1">
      <c r="A26" s="63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L26" s="27"/>
    </row>
    <row r="27" spans="1:38" ht="15" customHeight="1">
      <c r="A27" s="63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L27" s="27"/>
    </row>
    <row r="28" spans="1:38" ht="15" customHeight="1">
      <c r="A28" s="63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L28" s="27"/>
    </row>
    <row r="29" spans="1:38" ht="15" customHeight="1">
      <c r="A29" s="63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L29" s="27"/>
    </row>
    <row r="30" spans="1:38" ht="15" customHeight="1">
      <c r="A30" s="63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L30" s="27"/>
    </row>
    <row r="31" spans="1:38" ht="15" customHeight="1">
      <c r="A31" s="63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C31" s="30"/>
      <c r="AL31" s="27"/>
    </row>
    <row r="32" spans="1:38" ht="15" customHeight="1">
      <c r="A32" s="63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L32" s="27"/>
    </row>
    <row r="33" spans="1:38" ht="15" customHeight="1">
      <c r="A33" s="63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L33" s="27"/>
    </row>
    <row r="34" spans="1:38" ht="15" customHeight="1">
      <c r="A34" s="6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38" ht="15" customHeight="1">
      <c r="A35" s="63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38" ht="15" customHeight="1">
      <c r="A36" s="6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38" ht="21" customHeight="1">
      <c r="A37" s="6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8" ht="14.25" customHeight="1">
      <c r="A38" s="6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3"/>
      <c r="M38" s="31"/>
      <c r="N38" s="32"/>
      <c r="O38" s="31"/>
      <c r="P38" s="31"/>
      <c r="Q38" s="31"/>
      <c r="R38" s="31"/>
      <c r="S38" s="31"/>
      <c r="T38" s="31"/>
      <c r="U38" s="32"/>
      <c r="V38" s="31"/>
      <c r="W38" s="32"/>
      <c r="X38" s="31"/>
      <c r="Y38" s="31"/>
      <c r="Z38" s="31"/>
      <c r="AA38" s="31"/>
    </row>
    <row r="39" spans="1:38" ht="15" customHeight="1">
      <c r="A39" s="63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38" ht="15" customHeight="1">
      <c r="A40" s="63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38" ht="15" customHeight="1">
      <c r="A41" s="63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38" ht="15" customHeight="1">
      <c r="A42" s="63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38" ht="15" customHeight="1">
      <c r="A43" s="63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38" ht="15" customHeight="1">
      <c r="A44" s="63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38" ht="15" customHeight="1">
      <c r="A45" s="63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38" ht="15" customHeight="1">
      <c r="A46" s="63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38" ht="15" customHeight="1">
      <c r="A47" s="63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38" ht="15" customHeight="1">
      <c r="A48" s="63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8" ht="15" customHeight="1">
      <c r="A49" s="63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8" ht="15" customHeight="1">
      <c r="A50" s="63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8" ht="15" customHeight="1">
      <c r="A51" s="63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8" ht="15" customHeight="1">
      <c r="A52" s="63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8" ht="7.5" customHeight="1">
      <c r="A53" s="63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8" ht="12">
      <c r="A54" s="64"/>
      <c r="B54" s="37"/>
      <c r="C54" s="37"/>
      <c r="D54" s="37"/>
      <c r="E54" s="40"/>
      <c r="P54" s="27"/>
    </row>
    <row r="55" spans="1:28" ht="12">
      <c r="A55" s="65"/>
      <c r="F55" s="39"/>
      <c r="N55" s="26" t="s">
        <v>46</v>
      </c>
      <c r="W55" s="37"/>
      <c r="X55" s="37"/>
      <c r="Y55" s="37"/>
    </row>
    <row r="56" spans="1:28">
      <c r="A56" s="65"/>
      <c r="F56" s="39"/>
      <c r="H56"/>
      <c r="I56"/>
      <c r="J56"/>
      <c r="K56"/>
      <c r="L56"/>
      <c r="M56"/>
      <c r="N56" s="42"/>
      <c r="O56"/>
      <c r="P56"/>
      <c r="Q56"/>
      <c r="R56"/>
      <c r="S56"/>
      <c r="T56"/>
      <c r="V56" s="34"/>
      <c r="W56" s="50" t="s">
        <v>44</v>
      </c>
      <c r="X56" s="69" t="str">
        <f>_xlfn.FLOOR.MATH(L23,5)&amp;"°"</f>
        <v>0°</v>
      </c>
      <c r="Y56" s="69" t="str">
        <f>_xlfn.CEILING.MATH(L23,5)&amp;"°"</f>
        <v>0°</v>
      </c>
      <c r="Z56" s="35"/>
    </row>
    <row r="57" spans="1:28">
      <c r="A57" s="65"/>
      <c r="F57" s="39"/>
      <c r="H57"/>
      <c r="I57"/>
      <c r="J57"/>
      <c r="K57"/>
      <c r="L57"/>
      <c r="M57"/>
      <c r="N57"/>
      <c r="O57"/>
      <c r="P57"/>
      <c r="Q57"/>
      <c r="R57"/>
      <c r="S57"/>
      <c r="T57"/>
      <c r="V57" s="34"/>
      <c r="W57" s="51" t="s">
        <v>45</v>
      </c>
      <c r="X57" s="69"/>
      <c r="Y57" s="69"/>
      <c r="Z57" s="35"/>
    </row>
    <row r="58" spans="1:28">
      <c r="A58" s="65"/>
      <c r="F58" s="39"/>
      <c r="H58"/>
      <c r="I58"/>
      <c r="J58"/>
      <c r="K58"/>
      <c r="L58"/>
      <c r="M58"/>
      <c r="N58"/>
      <c r="O58"/>
      <c r="P58"/>
      <c r="Q58"/>
      <c r="R58"/>
      <c r="S58"/>
      <c r="T58"/>
      <c r="V58" s="34"/>
      <c r="W58" s="48" t="s">
        <v>4</v>
      </c>
      <c r="X58" s="49"/>
      <c r="Y58" s="49"/>
      <c r="Z58" s="35"/>
    </row>
    <row r="59" spans="1:28">
      <c r="A59" s="65"/>
      <c r="F59" s="39"/>
      <c r="H59"/>
      <c r="I59"/>
      <c r="J59"/>
      <c r="K59"/>
      <c r="L59"/>
      <c r="M59"/>
      <c r="N59"/>
      <c r="O59"/>
      <c r="P59"/>
      <c r="Q59"/>
      <c r="R59"/>
      <c r="S59"/>
      <c r="T59"/>
      <c r="V59" s="34"/>
      <c r="W59" s="48" t="s">
        <v>5</v>
      </c>
      <c r="X59" s="49"/>
      <c r="Y59" s="49"/>
      <c r="Z59" s="35"/>
    </row>
    <row r="60" spans="1:28">
      <c r="A60" s="65"/>
      <c r="F60" s="39"/>
      <c r="H60" s="41"/>
      <c r="I60"/>
      <c r="J60"/>
      <c r="K60"/>
      <c r="L60"/>
      <c r="M60"/>
      <c r="N60"/>
      <c r="O60"/>
      <c r="P60"/>
      <c r="Q60"/>
      <c r="R60"/>
      <c r="S60"/>
      <c r="T60"/>
      <c r="V60" s="34"/>
      <c r="W60" s="48" t="s">
        <v>6</v>
      </c>
      <c r="X60" s="49"/>
      <c r="Y60" s="49"/>
      <c r="Z60" s="35"/>
    </row>
    <row r="61" spans="1:28" ht="15" customHeight="1">
      <c r="A61" s="66"/>
      <c r="B61" s="38"/>
      <c r="C61" s="38"/>
      <c r="D61" s="38"/>
      <c r="E61" s="38"/>
      <c r="F61" s="28"/>
      <c r="H61"/>
      <c r="I61"/>
      <c r="J61"/>
      <c r="K61"/>
      <c r="L61"/>
      <c r="M61"/>
      <c r="N61"/>
      <c r="O61"/>
      <c r="P61"/>
      <c r="Q61"/>
      <c r="R61"/>
      <c r="S61"/>
      <c r="T61"/>
      <c r="V61" s="34"/>
      <c r="W61" s="48" t="s">
        <v>7</v>
      </c>
      <c r="X61" s="49"/>
      <c r="Y61" s="49"/>
      <c r="Z61" s="35"/>
    </row>
    <row r="62" spans="1:28" ht="15" customHeight="1">
      <c r="E62" s="28"/>
      <c r="F62" s="28"/>
      <c r="H62"/>
      <c r="I62"/>
      <c r="J62"/>
      <c r="K62"/>
      <c r="L62"/>
      <c r="M62"/>
      <c r="N62"/>
      <c r="O62"/>
      <c r="P62"/>
      <c r="Q62"/>
      <c r="R62"/>
      <c r="S62"/>
      <c r="T62"/>
      <c r="W62" s="38"/>
      <c r="X62" s="38"/>
      <c r="Y62" s="38"/>
    </row>
    <row r="63" spans="1:28" ht="15" customHeight="1">
      <c r="E63" s="28"/>
      <c r="F63" s="28"/>
      <c r="H63"/>
      <c r="I63" s="41"/>
      <c r="J63"/>
      <c r="K63"/>
      <c r="L63"/>
      <c r="M63"/>
      <c r="N63"/>
      <c r="O63"/>
      <c r="P63"/>
      <c r="Q63"/>
      <c r="R63"/>
      <c r="S63"/>
      <c r="T63"/>
      <c r="V63" s="43" t="s">
        <v>11</v>
      </c>
      <c r="W63" s="28" t="s">
        <v>47</v>
      </c>
      <c r="Y63" s="45"/>
      <c r="Z63" s="28" t="s">
        <v>43</v>
      </c>
      <c r="AA63" s="26" t="str">
        <f>IF(AB63=4000,"&lt;","≤")</f>
        <v>≤</v>
      </c>
      <c r="AB63" s="47"/>
    </row>
    <row r="64" spans="1:28" ht="15" customHeight="1">
      <c r="E64" s="28"/>
      <c r="F64" s="28"/>
      <c r="H64"/>
      <c r="I64"/>
      <c r="J64"/>
      <c r="K64"/>
      <c r="L64"/>
      <c r="M64"/>
      <c r="N64"/>
      <c r="O64"/>
      <c r="P64"/>
      <c r="Q64"/>
      <c r="R64"/>
      <c r="S64"/>
      <c r="T64"/>
      <c r="Y64" s="44" t="str">
        <f>IF(ISNUMBER(AB63)=FALSE,"",Y63+50)</f>
        <v/>
      </c>
      <c r="Z64" s="28" t="str">
        <f>IF(ISNUMBER(AB63)=FALSE,"","mm")</f>
        <v/>
      </c>
      <c r="AA64" s="26" t="str">
        <f>IF(ISNUMBER(AB63)=FALSE,"",IF(AA63="&lt;","&gt;=","&gt;"))</f>
        <v/>
      </c>
      <c r="AB64" s="28" t="str">
        <f>IF(ISNUMBER(AB63)=FALSE,"",AB63)</f>
        <v/>
      </c>
    </row>
    <row r="66" spans="1:30" ht="15" customHeight="1">
      <c r="AD66" s="27"/>
    </row>
    <row r="67" spans="1:30" ht="15" customHeight="1" thickBot="1">
      <c r="A67" s="64"/>
      <c r="B67" s="37"/>
      <c r="C67" s="37"/>
      <c r="D67" s="37"/>
      <c r="E67" s="40"/>
      <c r="F67" s="46"/>
      <c r="G67" s="37"/>
      <c r="H67" s="36"/>
      <c r="I67" s="37"/>
      <c r="J67" s="37"/>
      <c r="K67" s="37"/>
      <c r="L67" s="37"/>
      <c r="M67" s="37"/>
      <c r="N67" s="46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30" ht="15" customHeight="1">
      <c r="A68" s="70" t="str">
        <f>IF(ISNUMBER(Calcs!H39)=FALSE,"",Calcs!H39&amp;"""")</f>
        <v/>
      </c>
      <c r="B68" s="71"/>
      <c r="C68" s="71"/>
      <c r="D68" s="71"/>
      <c r="E68" s="81" t="str">
        <f>IF(ISNUMBER(Calcs!H39)=FALSE,"","FAN RING DEPTH")</f>
        <v/>
      </c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3"/>
      <c r="X68" s="35"/>
      <c r="AC68" s="35"/>
    </row>
    <row r="69" spans="1:30" ht="15" customHeight="1">
      <c r="A69" s="72"/>
      <c r="B69" s="73"/>
      <c r="C69" s="73"/>
      <c r="D69" s="73"/>
      <c r="E69" s="84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6"/>
      <c r="X69" s="35"/>
      <c r="AC69" s="35"/>
    </row>
    <row r="70" spans="1:30" ht="15" customHeight="1">
      <c r="A70" s="72"/>
      <c r="B70" s="73"/>
      <c r="C70" s="73"/>
      <c r="D70" s="73"/>
      <c r="E70" s="8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6"/>
      <c r="X70" s="35"/>
      <c r="AC70" s="35"/>
    </row>
    <row r="71" spans="1:30" ht="15" customHeight="1" thickBot="1">
      <c r="A71" s="74"/>
      <c r="B71" s="75"/>
      <c r="C71" s="75"/>
      <c r="D71" s="75"/>
      <c r="E71" s="87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9"/>
      <c r="X71" s="35"/>
      <c r="AC71" s="35"/>
    </row>
    <row r="72" spans="1:30" ht="15" customHeight="1">
      <c r="A72" s="76" t="str">
        <f>IF(Calcs!H36&gt;25,"SHORTEN FAN SHAFT LENGTH BY "&amp;Calcs!H37&amp;"""","")</f>
        <v/>
      </c>
      <c r="B72" s="77"/>
      <c r="C72" s="77"/>
      <c r="D72" s="77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9"/>
      <c r="V72" s="38"/>
      <c r="W72" s="38"/>
      <c r="X72" s="38"/>
      <c r="Y72" s="38"/>
      <c r="Z72" s="38"/>
      <c r="AA72" s="38"/>
      <c r="AB72" s="38"/>
    </row>
    <row r="73" spans="1:30" ht="15" customHeight="1">
      <c r="A73" s="80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9"/>
    </row>
    <row r="74" spans="1:30" ht="15" customHeight="1">
      <c r="A74" s="68"/>
      <c r="E74" s="28"/>
      <c r="F74" s="28"/>
      <c r="H74" s="28"/>
      <c r="N74" s="28"/>
    </row>
    <row r="75" spans="1:30" ht="15" customHeight="1">
      <c r="A75" s="68"/>
      <c r="E75" s="28"/>
      <c r="F75" s="28"/>
      <c r="H75" s="28"/>
      <c r="N75" s="28"/>
    </row>
    <row r="76" spans="1:30" ht="15" customHeight="1">
      <c r="E76" s="28"/>
      <c r="F76" s="28"/>
    </row>
    <row r="77" spans="1:30" ht="15" customHeight="1">
      <c r="E77" s="28"/>
      <c r="F77" s="28"/>
    </row>
    <row r="78" spans="1:30" ht="15" customHeight="1">
      <c r="E78" s="28"/>
      <c r="F78" s="28"/>
    </row>
    <row r="79" spans="1:30" ht="15" customHeight="1">
      <c r="E79" s="28"/>
      <c r="F79" s="28"/>
    </row>
    <row r="80" spans="1:30" ht="15" customHeight="1">
      <c r="E80" s="28"/>
      <c r="F80" s="28"/>
    </row>
    <row r="81" spans="5:6" ht="15" customHeight="1">
      <c r="E81" s="28"/>
      <c r="F81" s="28"/>
    </row>
    <row r="82" spans="5:6" ht="15" customHeight="1">
      <c r="E82" s="28"/>
      <c r="F82" s="28"/>
    </row>
    <row r="83" spans="5:6" ht="15" customHeight="1">
      <c r="E83" s="28"/>
      <c r="F83" s="28"/>
    </row>
    <row r="84" spans="5:6" ht="15" customHeight="1">
      <c r="E84" s="28"/>
      <c r="F84" s="28"/>
    </row>
    <row r="85" spans="5:6" ht="15" customHeight="1">
      <c r="E85" s="28"/>
      <c r="F85" s="28"/>
    </row>
    <row r="86" spans="5:6" ht="15" customHeight="1">
      <c r="E86" s="28"/>
      <c r="F86" s="28"/>
    </row>
    <row r="87" spans="5:6" ht="15" customHeight="1">
      <c r="E87" s="28"/>
      <c r="F87" s="28"/>
    </row>
    <row r="88" spans="5:6" ht="15" customHeight="1">
      <c r="E88" s="28"/>
      <c r="F88" s="28"/>
    </row>
    <row r="89" spans="5:6" ht="15" customHeight="1">
      <c r="E89" s="28"/>
      <c r="F89" s="28"/>
    </row>
    <row r="90" spans="5:6" ht="15" customHeight="1">
      <c r="E90" s="28"/>
      <c r="F90" s="28"/>
    </row>
    <row r="91" spans="5:6" ht="15" customHeight="1">
      <c r="E91" s="28"/>
      <c r="F91" s="28"/>
    </row>
    <row r="92" spans="5:6" ht="15" customHeight="1">
      <c r="E92" s="28"/>
      <c r="F92" s="28"/>
    </row>
    <row r="93" spans="5:6" ht="15" customHeight="1">
      <c r="E93" s="28"/>
      <c r="F93" s="28"/>
    </row>
    <row r="94" spans="5:6" ht="15" customHeight="1">
      <c r="E94" s="28"/>
      <c r="F94" s="28"/>
    </row>
    <row r="95" spans="5:6" ht="15" customHeight="1">
      <c r="E95" s="28"/>
      <c r="F95" s="28"/>
    </row>
    <row r="96" spans="5:6" ht="15" customHeight="1">
      <c r="E96" s="28"/>
      <c r="F96" s="28"/>
    </row>
    <row r="97" spans="5:6" ht="15" customHeight="1">
      <c r="E97" s="28"/>
      <c r="F97" s="28"/>
    </row>
    <row r="98" spans="5:6" ht="15" customHeight="1">
      <c r="E98" s="28"/>
      <c r="F98" s="28"/>
    </row>
    <row r="99" spans="5:6" ht="15" customHeight="1">
      <c r="E99" s="28"/>
      <c r="F99" s="28"/>
    </row>
    <row r="100" spans="5:6" ht="15" customHeight="1">
      <c r="E100" s="28"/>
      <c r="F100" s="28"/>
    </row>
    <row r="101" spans="5:6" ht="15" customHeight="1">
      <c r="E101" s="28"/>
      <c r="F101" s="28"/>
    </row>
    <row r="102" spans="5:6" ht="15" customHeight="1">
      <c r="E102" s="28"/>
      <c r="F102" s="28"/>
    </row>
    <row r="103" spans="5:6" ht="15" customHeight="1">
      <c r="E103" s="28"/>
      <c r="F103" s="28"/>
    </row>
    <row r="104" spans="5:6" ht="15" customHeight="1">
      <c r="E104" s="28"/>
      <c r="F104" s="28"/>
    </row>
    <row r="105" spans="5:6" ht="15" customHeight="1">
      <c r="E105" s="28"/>
      <c r="F105" s="28"/>
    </row>
    <row r="106" spans="5:6" ht="15" customHeight="1">
      <c r="E106" s="28"/>
      <c r="F106" s="28"/>
    </row>
    <row r="107" spans="5:6" ht="15" customHeight="1">
      <c r="E107" s="28"/>
      <c r="F107" s="28"/>
    </row>
    <row r="108" spans="5:6" ht="15" customHeight="1">
      <c r="E108" s="28"/>
      <c r="F108" s="28"/>
    </row>
    <row r="109" spans="5:6" ht="15" customHeight="1">
      <c r="E109" s="28"/>
      <c r="F109" s="28"/>
    </row>
    <row r="110" spans="5:6" ht="15" customHeight="1">
      <c r="E110" s="28"/>
      <c r="F110" s="28"/>
    </row>
    <row r="111" spans="5:6" ht="15" customHeight="1">
      <c r="E111" s="28"/>
      <c r="F111" s="28"/>
    </row>
    <row r="112" spans="5:6" ht="15" customHeight="1">
      <c r="E112" s="28"/>
      <c r="F112" s="28"/>
    </row>
    <row r="113" spans="5:6" ht="15" customHeight="1">
      <c r="E113" s="28"/>
      <c r="F113" s="28"/>
    </row>
    <row r="114" spans="5:6" ht="15" customHeight="1">
      <c r="E114" s="28"/>
      <c r="F114" s="28"/>
    </row>
    <row r="115" spans="5:6" ht="15" customHeight="1">
      <c r="E115" s="28"/>
      <c r="F115" s="28"/>
    </row>
    <row r="116" spans="5:6" ht="15" customHeight="1">
      <c r="E116" s="28"/>
      <c r="F116" s="28"/>
    </row>
    <row r="117" spans="5:6" ht="15" customHeight="1">
      <c r="E117" s="28"/>
      <c r="F117" s="28"/>
    </row>
    <row r="118" spans="5:6" ht="15" customHeight="1">
      <c r="E118" s="28"/>
      <c r="F118" s="28"/>
    </row>
    <row r="119" spans="5:6" ht="15" customHeight="1">
      <c r="E119" s="28"/>
      <c r="F119" s="28"/>
    </row>
    <row r="120" spans="5:6" ht="15" customHeight="1">
      <c r="E120" s="28"/>
      <c r="F120" s="28"/>
    </row>
    <row r="121" spans="5:6" ht="15" customHeight="1">
      <c r="E121" s="28"/>
      <c r="F121" s="28"/>
    </row>
    <row r="122" spans="5:6" ht="15" customHeight="1">
      <c r="E122" s="28"/>
      <c r="F122" s="28"/>
    </row>
    <row r="123" spans="5:6" ht="15" customHeight="1">
      <c r="E123" s="28"/>
      <c r="F123" s="28"/>
    </row>
    <row r="124" spans="5:6" ht="15" customHeight="1">
      <c r="E124" s="28"/>
      <c r="F124" s="28"/>
    </row>
    <row r="125" spans="5:6" ht="15" customHeight="1">
      <c r="E125" s="28"/>
      <c r="F125" s="28"/>
    </row>
    <row r="126" spans="5:6" ht="15" customHeight="1">
      <c r="E126" s="28"/>
      <c r="F126" s="28"/>
    </row>
    <row r="127" spans="5:6" ht="15" customHeight="1">
      <c r="E127" s="28"/>
      <c r="F127" s="28"/>
    </row>
    <row r="128" spans="5:6" ht="15" customHeight="1">
      <c r="E128" s="28"/>
      <c r="F128" s="28"/>
    </row>
    <row r="129" spans="5:6" ht="15" customHeight="1">
      <c r="E129" s="28"/>
      <c r="F129" s="28"/>
    </row>
    <row r="130" spans="5:6" ht="15" customHeight="1">
      <c r="E130" s="28"/>
      <c r="F130" s="28"/>
    </row>
    <row r="131" spans="5:6" ht="15" customHeight="1">
      <c r="E131" s="28"/>
      <c r="F131" s="28"/>
    </row>
    <row r="132" spans="5:6" ht="15" customHeight="1">
      <c r="E132" s="28"/>
      <c r="F132" s="28"/>
    </row>
    <row r="133" spans="5:6" ht="15" customHeight="1">
      <c r="E133" s="28"/>
      <c r="F133" s="28"/>
    </row>
    <row r="134" spans="5:6" ht="15" customHeight="1">
      <c r="E134" s="28"/>
      <c r="F134" s="28"/>
    </row>
    <row r="135" spans="5:6" ht="15" customHeight="1">
      <c r="E135" s="28"/>
      <c r="F135" s="28"/>
    </row>
    <row r="136" spans="5:6" ht="15" customHeight="1">
      <c r="E136" s="28"/>
      <c r="F136" s="28"/>
    </row>
    <row r="137" spans="5:6" ht="15" customHeight="1">
      <c r="E137" s="28"/>
      <c r="F137" s="28"/>
    </row>
    <row r="138" spans="5:6" ht="15" customHeight="1">
      <c r="E138" s="28"/>
      <c r="F138" s="28"/>
    </row>
    <row r="139" spans="5:6" ht="15" customHeight="1">
      <c r="E139" s="28"/>
      <c r="F139" s="28"/>
    </row>
    <row r="140" spans="5:6" ht="15" customHeight="1">
      <c r="E140" s="28"/>
      <c r="F140" s="28"/>
    </row>
    <row r="141" spans="5:6" ht="15" customHeight="1">
      <c r="E141" s="28"/>
      <c r="F141" s="28"/>
    </row>
    <row r="142" spans="5:6" ht="15" customHeight="1">
      <c r="E142" s="28"/>
      <c r="F142" s="28"/>
    </row>
    <row r="143" spans="5:6" ht="15" customHeight="1">
      <c r="E143" s="28"/>
      <c r="F143" s="28"/>
    </row>
    <row r="144" spans="5:6" ht="15" customHeight="1">
      <c r="E144" s="28"/>
      <c r="F144" s="28"/>
    </row>
    <row r="145" spans="5:6" ht="15" customHeight="1">
      <c r="E145" s="28"/>
      <c r="F145" s="28"/>
    </row>
    <row r="146" spans="5:6" ht="15" customHeight="1">
      <c r="E146" s="28"/>
      <c r="F146" s="28"/>
    </row>
    <row r="147" spans="5:6" ht="15" customHeight="1">
      <c r="E147" s="28"/>
      <c r="F147" s="28"/>
    </row>
  </sheetData>
  <mergeCells count="5">
    <mergeCell ref="X56:X57"/>
    <mergeCell ref="A68:D71"/>
    <mergeCell ref="Y56:Y57"/>
    <mergeCell ref="A72:U73"/>
    <mergeCell ref="E68:W71"/>
  </mergeCells>
  <pageMargins left="0.7" right="0.7" top="0.75" bottom="0.75" header="0.3" footer="0.3"/>
  <pageSetup scale="5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DD2E-A0A8-413A-B028-F18FA4A767CE}">
  <dimension ref="A1:AO31"/>
  <sheetViews>
    <sheetView topLeftCell="V1" zoomScaleNormal="100" workbookViewId="0">
      <selection activeCell="AP1" sqref="AP1"/>
    </sheetView>
  </sheetViews>
  <sheetFormatPr defaultColWidth="6.7109375" defaultRowHeight="15"/>
  <cols>
    <col min="1" max="1" width="6.7109375" style="7"/>
    <col min="2" max="16384" width="6.7109375" style="1"/>
  </cols>
  <sheetData>
    <row r="1" spans="1:41" s="3" customFormat="1" ht="163.5" customHeight="1">
      <c r="A1" s="4" t="s">
        <v>0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  <c r="AO1" s="3" t="s">
        <v>92</v>
      </c>
    </row>
    <row r="2" spans="1:41" s="2" customFormat="1">
      <c r="A2" s="5" t="s">
        <v>1</v>
      </c>
      <c r="B2" s="2">
        <f>IF(Calcs!A1=0,2438.4,Calcs!A1*304.8)</f>
        <v>2438.4</v>
      </c>
      <c r="C2" s="2">
        <f>Calcs!A13/2</f>
        <v>180</v>
      </c>
      <c r="D2" s="2">
        <f>IF(Calcs!A11=0,61,Calcs!A11)</f>
        <v>61</v>
      </c>
      <c r="E2" s="2">
        <f>IF(Calcs!A12=0,30,Calcs!A12)</f>
        <v>30</v>
      </c>
      <c r="F2" s="2">
        <f>IF(Calcs!A21=2.9375,23,19)</f>
        <v>23</v>
      </c>
      <c r="G2" s="2">
        <f>Calcs!A21*25.4</f>
        <v>74.612499999999997</v>
      </c>
      <c r="H2" s="2">
        <f>IF(Calcs!A21=2.9375,124,89)</f>
        <v>124</v>
      </c>
      <c r="I2" s="2">
        <f>IF(Calcs!A21=2.9375,137,105)</f>
        <v>137</v>
      </c>
      <c r="J2" s="2">
        <f>I2*1.75</f>
        <v>239.75</v>
      </c>
      <c r="K2" s="2">
        <f>IF(Calcs!A6=0,82,Calcs!A6)</f>
        <v>82</v>
      </c>
      <c r="L2" s="2">
        <f>IF(Calcs!A7=0,22,Calcs!A7)</f>
        <v>22</v>
      </c>
      <c r="M2" s="2">
        <f>IF(Calcs!A8=0,61,Calcs!A8)</f>
        <v>61</v>
      </c>
      <c r="N2" s="2">
        <f>IF(Calcs!A9=0,33,Calcs!A9)</f>
        <v>33</v>
      </c>
      <c r="O2" s="2">
        <f>IF(Calcs!A5=0,57,IF(Calcs!A4&lt;Calcs!A5,Calcs!A4,Calcs!A5))</f>
        <v>57</v>
      </c>
      <c r="P2" s="2">
        <f>IF(ISNUMBER(Calcs!A14)=FALSE,158.02386,Calcs!A14+ABS(Calcs!A4-Calcs!A5))</f>
        <v>158.02386000000001</v>
      </c>
      <c r="Q2" s="2">
        <f>Calcs!A13</f>
        <v>360</v>
      </c>
      <c r="R2" s="2">
        <f>IF(Calcs!A6=0,82,Calcs!A6)</f>
        <v>82</v>
      </c>
      <c r="S2" s="2">
        <f>IF(Calcs!A7=0,22,Calcs!A7)</f>
        <v>22</v>
      </c>
      <c r="T2" s="2">
        <f>B2/4</f>
        <v>609.6</v>
      </c>
      <c r="U2" s="2">
        <f>B2+80</f>
        <v>2518.4</v>
      </c>
      <c r="V2" s="2">
        <f>Calcs!A13*0.4</f>
        <v>144</v>
      </c>
      <c r="W2" s="2">
        <f>IF(Calcs!A7=0,22,Calcs!A7)</f>
        <v>22</v>
      </c>
      <c r="X2" s="2">
        <f>Calcs!A13*0.4+20</f>
        <v>164</v>
      </c>
      <c r="Y2" s="2">
        <f>Solidworks!B2</f>
        <v>2438.4</v>
      </c>
      <c r="Z2" s="2">
        <f>IF(Calcs!A3=0,10,Calcs!A3)</f>
        <v>10</v>
      </c>
      <c r="AA2" s="2">
        <f>IF(Calcs!A21=2.9375,105,70)</f>
        <v>105</v>
      </c>
      <c r="AB2" s="2">
        <f>Calcs!A13</f>
        <v>360</v>
      </c>
      <c r="AC2" s="2">
        <f>IF(Calcs!A2=0,5,Calcs!A2)</f>
        <v>5</v>
      </c>
      <c r="AD2" s="2" t="str">
        <f>IF(ISNUMBER(Data!N56)=FALSE,"S","U")</f>
        <v>S</v>
      </c>
      <c r="AE2" s="2" t="str">
        <f>IF(ISNUMBER(Data!N56)=FALSE,"S","U")</f>
        <v>S</v>
      </c>
      <c r="AF2" s="2" t="str">
        <f>IF(ISNUMBER(Data!L17)=FALSE,"S","U")</f>
        <v>S</v>
      </c>
      <c r="AG2" s="2" t="str">
        <f>IF(ISNUMBER(Data!L17)=FALSE,"S","U")</f>
        <v>S</v>
      </c>
      <c r="AH2" s="2" t="str">
        <f>IF(ISNUMBER(Data!L17)=FALSE,"S","U")</f>
        <v>S</v>
      </c>
      <c r="AI2" s="2" t="str">
        <f>IF(ISNUMBER(Data!L17)=FALSE,"S","U")</f>
        <v>S</v>
      </c>
      <c r="AJ2" s="2" t="str">
        <f>IF(ISNUMBER(Data!L17)=FALSE,"S","U")</f>
        <v>S</v>
      </c>
      <c r="AK2" s="2" t="str">
        <f>IF(ISNUMBER(Data!L17)=FALSE,"S","U")</f>
        <v>S</v>
      </c>
      <c r="AL2" s="2" t="str">
        <f>IF(ISNUMBER(Data!L17)=FALSE,"S","U")</f>
        <v>S</v>
      </c>
      <c r="AM2" s="2" t="str">
        <f>IF(ISNUMBER(Data!L17)=FALSE,"S","U")</f>
        <v>S</v>
      </c>
      <c r="AN2" s="2" t="str">
        <f>IF(ISNUMBER(Data!L17)=FALSE,"S","U")</f>
        <v>S</v>
      </c>
      <c r="AO2" s="2" t="str">
        <f>IF(ISNUMBER(Data!L17)=FALSE,"S","U")</f>
        <v>S</v>
      </c>
    </row>
    <row r="3" spans="1:41">
      <c r="A3" s="6"/>
    </row>
    <row r="19" ht="14.25" customHeight="1"/>
    <row r="31" ht="13.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F100-CE34-4799-8006-DDCB074E9F6F}">
  <dimension ref="A1:AM130"/>
  <sheetViews>
    <sheetView showGridLines="0" zoomScaleNormal="100" workbookViewId="0">
      <selection activeCell="A22" sqref="A22"/>
    </sheetView>
  </sheetViews>
  <sheetFormatPr defaultColWidth="9.140625" defaultRowHeight="15"/>
  <cols>
    <col min="1" max="1" width="9.140625" style="11" customWidth="1"/>
    <col min="2" max="5" width="9.140625" style="8" customWidth="1"/>
    <col min="6" max="6" width="3.5703125" style="8" customWidth="1"/>
    <col min="7" max="7" width="6" style="9" customWidth="1"/>
    <col min="8" max="8" width="9.140625" style="11" customWidth="1"/>
    <col min="9" max="9" width="9.140625" style="8"/>
    <col min="10" max="10" width="9.140625" style="11"/>
    <col min="11" max="13" width="9.140625" style="8"/>
    <col min="14" max="14" width="8" style="8" customWidth="1"/>
    <col min="15" max="15" width="7" style="8" bestFit="1" customWidth="1"/>
    <col min="16" max="16" width="5.5703125" style="8" customWidth="1"/>
    <col min="17" max="17" width="6" style="8" bestFit="1" customWidth="1"/>
    <col min="18" max="19" width="9.140625" style="8"/>
    <col min="20" max="20" width="19.140625" style="8" customWidth="1"/>
    <col min="21" max="21" width="4" style="8" bestFit="1" customWidth="1"/>
    <col min="22" max="22" width="2.7109375" style="8" customWidth="1"/>
    <col min="23" max="23" width="3" style="8" bestFit="1" customWidth="1"/>
    <col min="24" max="24" width="1.85546875" style="8" customWidth="1"/>
    <col min="25" max="25" width="3" style="8" customWidth="1"/>
    <col min="26" max="26" width="5.85546875" style="8" bestFit="1" customWidth="1"/>
    <col min="27" max="34" width="9.140625" style="8"/>
    <col min="35" max="35" width="11" style="8" customWidth="1"/>
    <col min="36" max="36" width="6" style="8" bestFit="1" customWidth="1"/>
    <col min="37" max="16384" width="9.140625" style="8"/>
  </cols>
  <sheetData>
    <row r="1" spans="1:10">
      <c r="A1" s="14">
        <f>IF(Data!L17&gt;20,Data!L17/12,Data!L17)</f>
        <v>0</v>
      </c>
      <c r="B1" s="8" t="s">
        <v>49</v>
      </c>
      <c r="G1" s="8"/>
      <c r="H1" s="8"/>
      <c r="J1" s="8"/>
    </row>
    <row r="2" spans="1:10" ht="15.75" thickBot="1">
      <c r="A2" s="15">
        <f>Data!L21</f>
        <v>0</v>
      </c>
      <c r="B2" s="8" t="s">
        <v>2</v>
      </c>
      <c r="D2" s="17"/>
      <c r="G2" s="8"/>
      <c r="H2" s="8"/>
      <c r="J2" s="8"/>
    </row>
    <row r="3" spans="1:10" ht="15" customHeight="1" thickTop="1" thickBot="1">
      <c r="A3" s="15">
        <f>Data!L23</f>
        <v>0</v>
      </c>
      <c r="B3" s="8" t="s">
        <v>3</v>
      </c>
      <c r="D3" s="17"/>
      <c r="G3" s="8"/>
      <c r="H3" s="8"/>
      <c r="J3" s="8"/>
    </row>
    <row r="4" spans="1:10" ht="15.75" thickTop="1">
      <c r="A4" s="14">
        <f>IF(Data!N38="mm",Data!L38,Data!L38*25.4)</f>
        <v>0</v>
      </c>
      <c r="B4" s="8" t="s">
        <v>50</v>
      </c>
      <c r="D4" s="17"/>
      <c r="G4" s="8"/>
      <c r="H4" s="8"/>
      <c r="J4" s="8"/>
    </row>
    <row r="5" spans="1:10">
      <c r="A5" s="14">
        <f>IF(Data!W38="mm",Data!U38,Data!U38*25.4)</f>
        <v>0</v>
      </c>
      <c r="B5" s="8" t="s">
        <v>51</v>
      </c>
      <c r="D5" s="17"/>
      <c r="G5" s="8"/>
      <c r="H5" s="8"/>
      <c r="J5" s="8"/>
    </row>
    <row r="6" spans="1:10">
      <c r="A6" s="14">
        <f>((Data!Y58-Data!X58)/5)*(Data!L23-_xlfn.FLOOR.MATH(Data!L23,5))+Data!X58</f>
        <v>0</v>
      </c>
      <c r="B6" s="12" t="s">
        <v>4</v>
      </c>
      <c r="D6" s="17"/>
      <c r="G6" s="8"/>
      <c r="H6" s="8"/>
      <c r="J6" s="8"/>
    </row>
    <row r="7" spans="1:10">
      <c r="A7" s="14">
        <f>((Data!Y59-Data!X59)/5)*(Data!L23-_xlfn.FLOOR.MATH(Data!L23,5))+Data!X59</f>
        <v>0</v>
      </c>
      <c r="B7" s="12" t="s">
        <v>5</v>
      </c>
      <c r="D7" s="17"/>
      <c r="G7" s="8"/>
      <c r="H7" s="8"/>
      <c r="J7" s="8"/>
    </row>
    <row r="8" spans="1:10">
      <c r="A8" s="14">
        <f>((Data!Y60-Data!X60)/5)*(Data!L23-_xlfn.FLOOR.MATH(Data!L23,5))+Data!X60</f>
        <v>0</v>
      </c>
      <c r="B8" s="8" t="s">
        <v>6</v>
      </c>
      <c r="D8" s="17"/>
      <c r="G8" s="8"/>
      <c r="H8" s="8"/>
      <c r="J8" s="8"/>
    </row>
    <row r="9" spans="1:10">
      <c r="A9" s="14">
        <f>((Data!Y61-Data!X61)/5)*(Data!L23-_xlfn.FLOOR.MATH(Data!L23,5))+Data!X61</f>
        <v>0</v>
      </c>
      <c r="B9" s="8" t="s">
        <v>7</v>
      </c>
      <c r="D9" s="17"/>
      <c r="G9" s="8"/>
      <c r="H9" s="8"/>
      <c r="J9" s="8"/>
    </row>
    <row r="10" spans="1:10">
      <c r="A10" s="23">
        <f>IF(Calcs!A21&gt;=2.9375,22,19)</f>
        <v>22</v>
      </c>
      <c r="B10" s="8" t="s">
        <v>20</v>
      </c>
      <c r="D10" s="17"/>
      <c r="G10" s="8"/>
      <c r="H10" s="8"/>
      <c r="J10" s="8"/>
    </row>
    <row r="11" spans="1:10" ht="15.75" thickBot="1">
      <c r="A11" s="15">
        <f>Data!H60</f>
        <v>0</v>
      </c>
      <c r="B11" s="8" t="s">
        <v>8</v>
      </c>
      <c r="D11" s="17"/>
      <c r="G11" s="8"/>
      <c r="H11" s="8"/>
      <c r="J11" s="8"/>
    </row>
    <row r="12" spans="1:10" ht="16.5" thickTop="1" thickBot="1">
      <c r="A12" s="15">
        <f>Data!I63</f>
        <v>0</v>
      </c>
      <c r="B12" s="8" t="s">
        <v>9</v>
      </c>
      <c r="D12" s="17"/>
      <c r="G12" s="8"/>
      <c r="H12" s="8"/>
      <c r="J12" s="8"/>
    </row>
    <row r="13" spans="1:10" ht="15.75" thickTop="1">
      <c r="A13" s="14">
        <f>IF(ISNUMBER(Data!N56)=TRUE,Data!N56,360)</f>
        <v>360</v>
      </c>
      <c r="B13" s="8" t="s">
        <v>10</v>
      </c>
      <c r="D13" s="17"/>
      <c r="G13" s="8"/>
      <c r="H13" s="8"/>
      <c r="J13" s="8"/>
    </row>
    <row r="14" spans="1:10">
      <c r="A14" s="14" t="str">
        <f>IF(Data!L17*304.8&lt;Data!AB63,Data!Y63,Data!Y64)</f>
        <v/>
      </c>
      <c r="B14" s="8" t="s">
        <v>11</v>
      </c>
      <c r="D14" s="17"/>
      <c r="G14" s="8"/>
      <c r="H14" s="8"/>
      <c r="J14" s="8"/>
    </row>
    <row r="15" spans="1:10">
      <c r="A15" s="53"/>
      <c r="B15" s="54"/>
      <c r="C15" s="54"/>
      <c r="D15" s="55"/>
      <c r="G15" s="8"/>
      <c r="H15" s="8"/>
      <c r="J15" s="8"/>
    </row>
    <row r="16" spans="1:10">
      <c r="A16" s="93" t="s">
        <v>52</v>
      </c>
      <c r="B16" s="94"/>
      <c r="C16" s="95"/>
      <c r="D16" s="57"/>
      <c r="E16" s="52"/>
      <c r="G16" s="8"/>
      <c r="H16" s="8"/>
      <c r="J16" s="8"/>
    </row>
    <row r="17" spans="1:39">
      <c r="A17" s="58">
        <v>4.375</v>
      </c>
      <c r="B17" s="8" t="s">
        <v>12</v>
      </c>
      <c r="D17" s="59"/>
      <c r="E17" s="52"/>
      <c r="G17" s="8"/>
      <c r="H17" s="90" t="s">
        <v>22</v>
      </c>
      <c r="I17" s="91"/>
      <c r="J17" s="92"/>
      <c r="L17" s="90" t="s">
        <v>29</v>
      </c>
      <c r="M17" s="91"/>
      <c r="N17" s="92"/>
    </row>
    <row r="18" spans="1:39">
      <c r="A18" s="58">
        <v>0.375</v>
      </c>
      <c r="B18" s="8" t="s">
        <v>18</v>
      </c>
      <c r="D18" s="59"/>
      <c r="E18" s="52"/>
      <c r="G18" s="8"/>
      <c r="H18" s="13">
        <v>0</v>
      </c>
      <c r="I18" s="8" t="s">
        <v>14</v>
      </c>
      <c r="L18" s="13">
        <v>0</v>
      </c>
      <c r="M18" s="8" t="s">
        <v>14</v>
      </c>
    </row>
    <row r="19" spans="1:39">
      <c r="A19" s="58">
        <v>0.13439999999999999</v>
      </c>
      <c r="B19" s="8" t="s">
        <v>24</v>
      </c>
      <c r="D19" s="59"/>
      <c r="E19" s="52"/>
      <c r="G19" s="8"/>
      <c r="H19" s="14">
        <f>IF(A4&gt;A5,-A4,-A5)</f>
        <v>0</v>
      </c>
      <c r="I19" s="8" t="s">
        <v>13</v>
      </c>
      <c r="L19" s="23">
        <f>L18-A12-A10+(A17*25.4)</f>
        <v>89.125</v>
      </c>
      <c r="M19" s="8" t="s">
        <v>23</v>
      </c>
    </row>
    <row r="20" spans="1:39">
      <c r="A20" s="58">
        <v>0.13439999999999999</v>
      </c>
      <c r="B20" s="8" t="s">
        <v>26</v>
      </c>
      <c r="D20" s="59"/>
      <c r="E20" s="52"/>
      <c r="G20" s="8"/>
      <c r="H20" s="14">
        <f>H19-A9</f>
        <v>0</v>
      </c>
      <c r="I20" s="8" t="s">
        <v>15</v>
      </c>
      <c r="L20" s="23">
        <f>L19+(A18*25.4)-(A20*25.4)</f>
        <v>95.236240000000009</v>
      </c>
      <c r="M20" s="8" t="s">
        <v>27</v>
      </c>
    </row>
    <row r="21" spans="1:39">
      <c r="A21" s="62">
        <v>2.9375</v>
      </c>
      <c r="B21" s="60" t="s">
        <v>48</v>
      </c>
      <c r="C21" s="60"/>
      <c r="D21" s="61"/>
      <c r="E21" s="52"/>
      <c r="G21" s="8"/>
      <c r="H21" s="14" t="e">
        <f>H20-A14</f>
        <v>#VALUE!</v>
      </c>
      <c r="I21" s="8" t="s">
        <v>16</v>
      </c>
      <c r="L21" s="23">
        <f>L20/25.4</f>
        <v>3.7494582677165362</v>
      </c>
      <c r="M21" s="8" t="s">
        <v>25</v>
      </c>
    </row>
    <row r="22" spans="1:39">
      <c r="A22" s="21"/>
      <c r="B22" s="20"/>
      <c r="C22" s="20"/>
      <c r="D22" s="56"/>
      <c r="G22" s="8"/>
      <c r="H22" s="14" t="e">
        <f>H21-(0.07*25.4)</f>
        <v>#VALUE!</v>
      </c>
      <c r="I22" s="8" t="s">
        <v>17</v>
      </c>
    </row>
    <row r="23" spans="1:39">
      <c r="D23" s="17"/>
      <c r="G23" s="8"/>
      <c r="H23" s="14" t="e">
        <f>ABS(H22/25.4)</f>
        <v>#VALUE!</v>
      </c>
      <c r="I23" s="8" t="s">
        <v>25</v>
      </c>
    </row>
    <row r="24" spans="1:39">
      <c r="D24" s="17"/>
      <c r="G24" s="8"/>
    </row>
    <row r="25" spans="1:39">
      <c r="D25" s="17"/>
      <c r="G25" s="8"/>
      <c r="H25" s="96" t="e">
        <f>H23+L21</f>
        <v>#VALUE!</v>
      </c>
      <c r="I25" s="96"/>
      <c r="J25" s="96"/>
      <c r="K25" s="96"/>
      <c r="L25" s="96"/>
      <c r="M25" s="8" t="s">
        <v>28</v>
      </c>
    </row>
    <row r="26" spans="1:39">
      <c r="D26" s="17"/>
      <c r="G26" s="8"/>
      <c r="I26" s="11"/>
      <c r="K26" s="11"/>
      <c r="L26" s="11"/>
    </row>
    <row r="27" spans="1:39">
      <c r="D27" s="17"/>
      <c r="G27" s="8"/>
      <c r="H27" s="90" t="s">
        <v>31</v>
      </c>
      <c r="I27" s="91"/>
      <c r="J27" s="92"/>
      <c r="L27" s="90" t="s">
        <v>32</v>
      </c>
      <c r="M27" s="91"/>
      <c r="N27" s="92"/>
    </row>
    <row r="28" spans="1:39">
      <c r="D28" s="17"/>
      <c r="G28" s="8"/>
      <c r="H28" s="24">
        <v>0</v>
      </c>
      <c r="I28" s="8" t="s">
        <v>14</v>
      </c>
      <c r="L28" s="23">
        <f>L20+(A19*25.4)</f>
        <v>98.65</v>
      </c>
      <c r="M28" s="8" t="s">
        <v>34</v>
      </c>
      <c r="N28" s="10"/>
    </row>
    <row r="29" spans="1:39">
      <c r="D29" s="17"/>
      <c r="G29" s="8"/>
      <c r="H29" s="23">
        <f>IF(A4&lt;A5,-A4,-A5)</f>
        <v>0</v>
      </c>
      <c r="I29" s="8" t="s">
        <v>19</v>
      </c>
    </row>
    <row r="30" spans="1:39">
      <c r="D30" s="17"/>
      <c r="G30" s="8"/>
      <c r="H30" s="23">
        <f>H29+A8</f>
        <v>0</v>
      </c>
      <c r="I30" s="8" t="s">
        <v>21</v>
      </c>
      <c r="L30" s="90" t="s">
        <v>33</v>
      </c>
      <c r="M30" s="91"/>
      <c r="N30" s="92"/>
    </row>
    <row r="31" spans="1:39">
      <c r="F31" s="9"/>
      <c r="G31" s="19"/>
      <c r="L31" s="23">
        <f>(A8+A9)</f>
        <v>0</v>
      </c>
      <c r="M31" s="10" t="s">
        <v>30</v>
      </c>
      <c r="O31" s="20"/>
      <c r="P31" s="20"/>
      <c r="Q31" s="20"/>
      <c r="R31" s="20"/>
      <c r="S31" s="20"/>
      <c r="T31" s="20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6"/>
    </row>
    <row r="32" spans="1:39">
      <c r="B32" s="9"/>
      <c r="C32" s="9"/>
      <c r="D32" s="9"/>
      <c r="E32" s="9"/>
      <c r="F32" s="10"/>
      <c r="G32" s="8"/>
      <c r="H32" s="8"/>
      <c r="J32" s="8"/>
      <c r="L32" s="23">
        <f>(L31*0.25)/25.4</f>
        <v>0</v>
      </c>
      <c r="M32" s="8" t="s">
        <v>37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spans="2:39">
      <c r="B33" s="9"/>
      <c r="C33" s="9"/>
      <c r="D33" s="9"/>
      <c r="E33" s="9"/>
      <c r="F33" s="10"/>
      <c r="G33" s="8"/>
      <c r="H33" s="8"/>
      <c r="J33" s="8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2:39">
      <c r="B34" s="9"/>
      <c r="C34" s="9"/>
      <c r="D34" s="9"/>
      <c r="E34" s="9"/>
      <c r="F34" s="10"/>
      <c r="G34" s="8"/>
      <c r="H34" s="98" t="b">
        <f>IF(H30&gt;L28,TRUE,FALSE)</f>
        <v>0</v>
      </c>
      <c r="I34" s="99"/>
      <c r="J34" s="99"/>
      <c r="K34" s="99"/>
      <c r="L34" s="100"/>
      <c r="M34" s="8" t="s">
        <v>35</v>
      </c>
    </row>
    <row r="35" spans="2:39">
      <c r="B35" s="9"/>
      <c r="C35" s="10"/>
      <c r="D35" s="10"/>
      <c r="E35" s="10"/>
      <c r="G35" s="11"/>
      <c r="H35" s="97">
        <f>IF(H30&lt;L28,0,(H30-L28)/25.4)</f>
        <v>0</v>
      </c>
      <c r="I35" s="97"/>
      <c r="J35" s="97"/>
      <c r="K35" s="97"/>
      <c r="L35" s="97"/>
      <c r="M35" s="8" t="s">
        <v>36</v>
      </c>
    </row>
    <row r="36" spans="2:39">
      <c r="B36" s="9"/>
      <c r="C36" s="10"/>
      <c r="D36" s="10"/>
      <c r="E36" s="10"/>
      <c r="G36" s="11"/>
      <c r="H36" s="97">
        <f>IF(H30&lt;L28,0,((H30-L28)/L31)*100)</f>
        <v>0</v>
      </c>
      <c r="I36" s="97"/>
      <c r="J36" s="97"/>
      <c r="K36" s="97"/>
      <c r="L36" s="97"/>
      <c r="M36" s="8" t="s">
        <v>38</v>
      </c>
    </row>
    <row r="37" spans="2:39">
      <c r="C37" s="10"/>
      <c r="D37" s="10"/>
      <c r="E37" s="10"/>
      <c r="G37" s="11"/>
      <c r="H37" s="97">
        <f>IF(H35-L32&lt;0,0,_xlfn.CEILING.MATH(H35-L32,0.5))</f>
        <v>0</v>
      </c>
      <c r="I37" s="97"/>
      <c r="J37" s="97"/>
      <c r="K37" s="97"/>
      <c r="L37" s="97"/>
      <c r="M37" s="8" t="s">
        <v>39</v>
      </c>
    </row>
    <row r="38" spans="2:39">
      <c r="C38" s="10"/>
      <c r="D38" s="10"/>
      <c r="E38" s="10"/>
      <c r="G38" s="11"/>
      <c r="H38" s="97" t="e">
        <f>IF(H37=0,H25,H25+H37)</f>
        <v>#VALUE!</v>
      </c>
      <c r="I38" s="97"/>
      <c r="J38" s="97"/>
      <c r="K38" s="97"/>
      <c r="L38" s="97"/>
      <c r="M38" s="8" t="s">
        <v>40</v>
      </c>
    </row>
    <row r="39" spans="2:39">
      <c r="C39" s="10"/>
      <c r="D39" s="10"/>
      <c r="E39" s="10"/>
      <c r="G39" s="11"/>
      <c r="H39" s="97" t="e">
        <f>_xlfn.CEILING.MATH(H38,2)</f>
        <v>#VALUE!</v>
      </c>
      <c r="I39" s="97"/>
      <c r="J39" s="97"/>
      <c r="K39" s="97"/>
      <c r="L39" s="97"/>
      <c r="M39" s="8" t="s">
        <v>41</v>
      </c>
    </row>
    <row r="40" spans="2:39">
      <c r="G40" s="22"/>
    </row>
    <row r="41" spans="2:39">
      <c r="G41" s="22"/>
    </row>
    <row r="42" spans="2:39">
      <c r="G42" s="22"/>
    </row>
    <row r="43" spans="2:39">
      <c r="G43" s="22"/>
      <c r="Q43" s="11"/>
    </row>
    <row r="44" spans="2:39">
      <c r="G44" s="22"/>
      <c r="Q44" s="11"/>
    </row>
    <row r="45" spans="2:39">
      <c r="Q45" s="11"/>
    </row>
    <row r="46" spans="2:39">
      <c r="Q46" s="11"/>
    </row>
    <row r="47" spans="2:39">
      <c r="G47" s="8"/>
      <c r="Q47" s="11"/>
    </row>
    <row r="48" spans="2:39">
      <c r="G48" s="8"/>
      <c r="Q48" s="11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 ht="5.0999999999999996" customHeight="1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  <row r="109" spans="7:7">
      <c r="G109" s="8"/>
    </row>
    <row r="110" spans="7:7">
      <c r="G110" s="8"/>
    </row>
    <row r="111" spans="7:7">
      <c r="G111" s="8"/>
    </row>
    <row r="112" spans="7:7">
      <c r="G112" s="8"/>
    </row>
    <row r="113" spans="7:7">
      <c r="G113" s="8"/>
    </row>
    <row r="114" spans="7:7">
      <c r="G114" s="8"/>
    </row>
    <row r="115" spans="7:7">
      <c r="G115" s="8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</sheetData>
  <mergeCells count="13">
    <mergeCell ref="H39:L39"/>
    <mergeCell ref="H34:L34"/>
    <mergeCell ref="H35:L35"/>
    <mergeCell ref="H36:L36"/>
    <mergeCell ref="H37:L37"/>
    <mergeCell ref="H38:L38"/>
    <mergeCell ref="L30:N30"/>
    <mergeCell ref="H17:J17"/>
    <mergeCell ref="L17:N17"/>
    <mergeCell ref="A16:C16"/>
    <mergeCell ref="H25:L25"/>
    <mergeCell ref="H27:J27"/>
    <mergeCell ref="L27:N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Solidworks</vt:lpstr>
      <vt:lpstr>Calcs</vt:lpstr>
      <vt:lpstr>Solidworks!Family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Murr, Alexander</dc:creator>
  <cp:lastModifiedBy>Murr, Alexander</cp:lastModifiedBy>
  <cp:lastPrinted>2023-04-20T13:25:32Z</cp:lastPrinted>
  <dcterms:created xsi:type="dcterms:W3CDTF">2022-01-26T16:12:11Z</dcterms:created>
  <dcterms:modified xsi:type="dcterms:W3CDTF">2023-06-02T19:25:09Z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vice">
    <vt:lpwstr>
    </vt:lpwstr>
  </property>
  <property fmtid="{D5CDD505-2E9C-101B-9397-08002B2CF9AE}" pid="3" name="ItemNo">
    <vt:lpwstr>
    </vt:lpwstr>
  </property>
  <property fmtid="{D5CDD505-2E9C-101B-9397-08002B2CF9AE}" pid="4" name="Customer Project">
    <vt:lpwstr>
    </vt:lpwstr>
  </property>
  <property fmtid="{D5CDD505-2E9C-101B-9397-08002B2CF9AE}" pid="5" name="StatusHeader">
    <vt:lpwstr>
    </vt:lpwstr>
  </property>
  <property fmtid="{D5CDD505-2E9C-101B-9397-08002B2CF9AE}" pid="6" name="CustomerTag">
    <vt:lpwstr>
    </vt:lpwstr>
  </property>
  <property fmtid="{D5CDD505-2E9C-101B-9397-08002B2CF9AE}" pid="7" name="EngFirm">
    <vt:lpwstr>
    </vt:lpwstr>
  </property>
  <property fmtid="{D5CDD505-2E9C-101B-9397-08002B2CF9AE}" pid="8" name="StatusCert">
    <vt:lpwstr>08/07/2017 09:28:41.674</vt:lpwstr>
  </property>
  <property fmtid="{D5CDD505-2E9C-101B-9397-08002B2CF9AE}" pid="9" name="StatusStructure">
    <vt:lpwstr>
    </vt:lpwstr>
  </property>
  <property fmtid="{D5CDD505-2E9C-101B-9397-08002B2CF9AE}" pid="10" name="Model">
    <vt:lpwstr>
    </vt:lpwstr>
  </property>
  <property fmtid="{D5CDD505-2E9C-101B-9397-08002B2CF9AE}" pid="11" name="ProjectMgr">
    <vt:lpwstr>
    </vt:lpwstr>
  </property>
  <property fmtid="{D5CDD505-2E9C-101B-9397-08002B2CF9AE}" pid="12" name="ProjectLocation">
    <vt:lpwstr>United States</vt:lpwstr>
  </property>
  <property fmtid="{D5CDD505-2E9C-101B-9397-08002B2CF9AE}" pid="13" name="JobNumber">
    <vt:lpwstr>
    </vt:lpwstr>
  </property>
  <property fmtid="{D5CDD505-2E9C-101B-9397-08002B2CF9AE}" pid="14" name="Customer">
    <vt:lpwstr>
    </vt:lpwstr>
  </property>
  <property fmtid="{D5CDD505-2E9C-101B-9397-08002B2CF9AE}" pid="15" name="CustomerPO">
    <vt:lpwstr>
    </vt:lpwstr>
  </property>
  <property fmtid="{D5CDD505-2E9C-101B-9397-08002B2CF9AE}" pid="16" name="StatusPaperwork">
    <vt:lpwstr>
    </vt:lpwstr>
  </property>
  <property fmtid="{D5CDD505-2E9C-101B-9397-08002B2CF9AE}" pid="17" name="Unit_Quantity">
    <vt:lpwstr>
    </vt:lpwstr>
  </property>
  <property fmtid="{D5CDD505-2E9C-101B-9397-08002B2CF9AE}" pid="18" name="SalesRep">
    <vt:lpwstr>
    </vt:lpwstr>
  </property>
  <property fmtid="{D5CDD505-2E9C-101B-9397-08002B2CF9AE}" pid="19" name="ProjectEng">
    <vt:lpwstr>
    </vt:lpwstr>
  </property>
  <property fmtid="{D5CDD505-2E9C-101B-9397-08002B2CF9AE}" pid="20" name="Revision">
    <vt:lpwstr>1</vt:lpwstr>
  </property>
</Properties>
</file>