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40" yWindow="225" windowWidth="14805" windowHeight="7890"/>
  </bookViews>
  <sheets>
    <sheet name="Scoring" sheetId="6" r:id="rId1"/>
    <sheet name="Loan amount, rate vs score" sheetId="7" r:id="rId2"/>
    <sheet name="Parameters, weights" sheetId="2" r:id="rId3"/>
    <sheet name="Parameters" sheetId="3" state="hidden" r:id="rId4"/>
  </sheets>
  <calcPr calcId="152511"/>
</workbook>
</file>

<file path=xl/calcChain.xml><?xml version="1.0" encoding="utf-8"?>
<calcChain xmlns="http://schemas.openxmlformats.org/spreadsheetml/2006/main">
  <c r="AA26" i="3" l="1"/>
  <c r="AA15" i="3"/>
  <c r="AA16" i="3"/>
  <c r="AA17" i="3"/>
  <c r="AA18" i="3"/>
  <c r="AA19" i="3"/>
  <c r="AA20" i="3"/>
  <c r="AA21" i="3"/>
  <c r="AA22" i="3"/>
  <c r="AA23" i="3"/>
  <c r="AA24" i="3"/>
  <c r="AA25" i="3"/>
  <c r="AA14" i="3"/>
  <c r="AB14" i="3" s="1"/>
  <c r="X15" i="3"/>
  <c r="X16" i="3"/>
  <c r="X17" i="3"/>
  <c r="X18" i="3"/>
  <c r="X19" i="3"/>
  <c r="X20" i="3"/>
  <c r="X21" i="3"/>
  <c r="X22" i="3"/>
  <c r="X23" i="3"/>
  <c r="X24" i="3"/>
  <c r="X25" i="3"/>
  <c r="X26" i="3"/>
  <c r="X14" i="3"/>
  <c r="N6" i="2" l="1"/>
  <c r="P7" i="2"/>
  <c r="N8" i="2"/>
  <c r="Q6" i="2"/>
  <c r="P6" i="2"/>
  <c r="Q5" i="2"/>
  <c r="P5" i="2"/>
  <c r="Q4" i="2"/>
  <c r="P4" i="2"/>
  <c r="N4" i="2"/>
  <c r="Q8" i="2" l="1"/>
  <c r="Q7" i="2"/>
  <c r="P8" i="2"/>
  <c r="N7" i="2"/>
  <c r="N5" i="2"/>
  <c r="S8" i="2" l="1"/>
  <c r="BF14" i="3" l="1"/>
  <c r="BF15" i="3"/>
  <c r="BG15" i="3"/>
  <c r="BG16" i="3" s="1"/>
  <c r="BG17" i="3" s="1"/>
  <c r="BG18" i="3" s="1"/>
  <c r="BG19" i="3" s="1"/>
  <c r="BF16" i="3"/>
  <c r="BF17" i="3"/>
  <c r="BF18" i="3"/>
  <c r="BF19" i="3"/>
  <c r="BF20" i="3"/>
  <c r="BF21" i="3"/>
  <c r="BF22" i="3"/>
  <c r="BF23" i="3"/>
  <c r="BF24" i="3"/>
  <c r="BF25" i="3"/>
  <c r="BF26" i="3"/>
  <c r="BH14" i="3" l="1"/>
  <c r="AV25" i="3" l="1"/>
  <c r="AW25" i="3"/>
  <c r="AU25" i="3"/>
  <c r="AT15" i="3"/>
  <c r="AT16" i="3"/>
  <c r="AT17" i="3"/>
  <c r="AT18" i="3"/>
  <c r="AT19" i="3"/>
  <c r="AT20" i="3"/>
  <c r="AT21" i="3"/>
  <c r="AT22" i="3"/>
  <c r="AT23" i="3"/>
  <c r="AT24" i="3"/>
  <c r="AT14" i="3"/>
  <c r="AX14" i="3" l="1"/>
  <c r="AX25" i="3"/>
  <c r="E24" i="3"/>
  <c r="AP42" i="3" l="1"/>
  <c r="AO42" i="3"/>
  <c r="AN42" i="3"/>
  <c r="AI21" i="3"/>
  <c r="AH21" i="3"/>
  <c r="AG21" i="3"/>
  <c r="AB27" i="3"/>
  <c r="Z27" i="3"/>
  <c r="Y27" i="3"/>
  <c r="T37" i="3"/>
  <c r="S37" i="3"/>
  <c r="R37" i="3"/>
  <c r="L35" i="3"/>
  <c r="M35" i="3"/>
  <c r="K35" i="3"/>
  <c r="E22" i="3"/>
  <c r="F22" i="3"/>
  <c r="D22" i="3"/>
  <c r="BA15" i="3" l="1"/>
  <c r="BA14" i="3"/>
  <c r="BC14" i="3" l="1"/>
  <c r="AM28" i="3"/>
  <c r="AM29" i="3"/>
  <c r="AM30" i="3"/>
  <c r="AM31" i="3"/>
  <c r="AM32" i="3"/>
  <c r="AM33" i="3"/>
  <c r="AM34" i="3"/>
  <c r="AM35" i="3"/>
  <c r="AM36" i="3"/>
  <c r="AM37" i="3"/>
  <c r="AM38" i="3"/>
  <c r="AM39" i="3"/>
  <c r="AM40" i="3"/>
  <c r="AM41" i="3"/>
  <c r="AM15" i="3"/>
  <c r="AM16" i="3"/>
  <c r="AM17" i="3"/>
  <c r="AM18" i="3"/>
  <c r="AM19" i="3"/>
  <c r="AM20" i="3"/>
  <c r="AM21" i="3"/>
  <c r="AM22" i="3"/>
  <c r="AM23" i="3"/>
  <c r="AM24" i="3"/>
  <c r="AM25" i="3"/>
  <c r="AM26" i="3"/>
  <c r="AM27" i="3"/>
  <c r="AM14" i="3"/>
  <c r="AF15" i="3"/>
  <c r="AF16" i="3"/>
  <c r="AF17" i="3"/>
  <c r="AF18" i="3"/>
  <c r="AF19" i="3"/>
  <c r="AF20" i="3"/>
  <c r="AF14" i="3"/>
  <c r="AJ14" i="3" l="1"/>
  <c r="AQ14" i="3"/>
  <c r="Q15" i="3"/>
  <c r="Q16" i="3"/>
  <c r="Q17" i="3"/>
  <c r="Q18" i="3"/>
  <c r="Q19" i="3"/>
  <c r="Q20" i="3"/>
  <c r="Q21" i="3"/>
  <c r="Q22" i="3"/>
  <c r="Q23" i="3"/>
  <c r="Q24" i="3"/>
  <c r="Q25" i="3"/>
  <c r="Q26" i="3"/>
  <c r="Q27" i="3"/>
  <c r="Q28" i="3"/>
  <c r="Q29" i="3"/>
  <c r="Q30" i="3"/>
  <c r="Q31" i="3"/>
  <c r="Q32" i="3"/>
  <c r="Q33" i="3"/>
  <c r="Q34" i="3"/>
  <c r="Q35" i="3"/>
  <c r="Q36" i="3"/>
  <c r="Q14" i="3"/>
  <c r="J15" i="3"/>
  <c r="J16" i="3"/>
  <c r="J17" i="3"/>
  <c r="J18" i="3"/>
  <c r="J19" i="3"/>
  <c r="J20" i="3"/>
  <c r="J21" i="3"/>
  <c r="J22" i="3"/>
  <c r="J23" i="3"/>
  <c r="J24" i="3"/>
  <c r="J25" i="3"/>
  <c r="J26" i="3"/>
  <c r="J27" i="3"/>
  <c r="J28" i="3"/>
  <c r="J29" i="3"/>
  <c r="J30" i="3"/>
  <c r="J31" i="3"/>
  <c r="J32" i="3"/>
  <c r="J33" i="3"/>
  <c r="J34" i="3"/>
  <c r="J14" i="3"/>
  <c r="AC14" i="3" l="1"/>
  <c r="N14" i="3"/>
  <c r="U14" i="3"/>
  <c r="C15" i="3"/>
  <c r="C16" i="3"/>
  <c r="C17" i="3"/>
  <c r="C18" i="3"/>
  <c r="C19" i="3"/>
  <c r="C20" i="3"/>
  <c r="C21" i="3"/>
  <c r="C14" i="3"/>
  <c r="G14" i="3" l="1"/>
  <c r="S6" i="2" l="1"/>
  <c r="S7" i="2"/>
  <c r="S5" i="2"/>
  <c r="S4" i="2"/>
  <c r="U4" i="2" l="1"/>
</calcChain>
</file>

<file path=xl/comments1.xml><?xml version="1.0" encoding="utf-8"?>
<comments xmlns="http://schemas.openxmlformats.org/spreadsheetml/2006/main">
  <authors>
    <author>Author</author>
  </authors>
  <commentList>
    <comment ref="B23" authorId="0" shapeId="0">
      <text>
        <r>
          <rPr>
            <b/>
            <sz val="9"/>
            <color indexed="81"/>
            <rFont val="Tahoma"/>
            <family val="2"/>
          </rPr>
          <t>Author:</t>
        </r>
        <r>
          <rPr>
            <sz val="9"/>
            <color indexed="81"/>
            <rFont val="Tahoma"/>
            <family val="2"/>
          </rPr>
          <t xml:space="preserve">
Տվյալը վերցնում է ԱՔՌԱ-ից</t>
        </r>
      </text>
    </comment>
    <comment ref="B27" authorId="0" shapeId="0">
      <text>
        <r>
          <rPr>
            <b/>
            <sz val="9"/>
            <color indexed="81"/>
            <rFont val="Tahoma"/>
            <family val="2"/>
          </rPr>
          <t>Author:</t>
        </r>
        <r>
          <rPr>
            <sz val="9"/>
            <color indexed="81"/>
            <rFont val="Tahoma"/>
            <family val="2"/>
          </rPr>
          <t xml:space="preserve">
Ոլորտները ենթակա են թվարկման
</t>
        </r>
      </text>
    </comment>
    <comment ref="C27" authorId="0" shapeId="0">
      <text>
        <r>
          <rPr>
            <b/>
            <sz val="9"/>
            <color indexed="81"/>
            <rFont val="Tahoma"/>
            <family val="2"/>
          </rPr>
          <t>Author:</t>
        </r>
        <r>
          <rPr>
            <sz val="9"/>
            <color indexed="81"/>
            <rFont val="Tahoma"/>
            <family val="2"/>
          </rPr>
          <t xml:space="preserve">
Տվյալը ստանում ենք ՀԾ-ում մուտքագրված տվյալից, իսկ եթե բացակայում է ընկնում է &lt;Այլ&gt;-ի տակ, և հաշվարկվում է &lt;Այլ&gt; արժեքին համապատասխան</t>
        </r>
      </text>
    </comment>
    <comment ref="D27" authorId="0" shapeId="0">
      <text>
        <r>
          <rPr>
            <b/>
            <sz val="9"/>
            <color indexed="81"/>
            <rFont val="Tahoma"/>
            <family val="2"/>
          </rPr>
          <t>Author:</t>
        </r>
        <r>
          <rPr>
            <sz val="9"/>
            <color indexed="81"/>
            <rFont val="Tahoma"/>
            <family val="2"/>
          </rPr>
          <t xml:space="preserve">
Տվյալը ստանում է հաճախորդի լրացված դիմումից</t>
        </r>
      </text>
    </comment>
  </commentList>
</comments>
</file>

<file path=xl/comments2.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Կլինի կոնկրետ դաշտ որտեղ ոլորտները կնշվեն յուրաքանչյուր աշխատայցի կողմից և այնտեղից պետք է ոլորտը կարդա</t>
        </r>
      </text>
    </comment>
  </commentList>
</comments>
</file>

<file path=xl/comments3.xml><?xml version="1.0" encoding="utf-8"?>
<comments xmlns="http://schemas.openxmlformats.org/spreadsheetml/2006/main">
  <authors>
    <author>Author</author>
  </authors>
  <commentList>
    <comment ref="E13" authorId="0" shapeId="0">
      <text>
        <r>
          <rPr>
            <b/>
            <sz val="9"/>
            <color indexed="81"/>
            <rFont val="Tahoma"/>
            <family val="2"/>
          </rPr>
          <t>Author:</t>
        </r>
        <r>
          <rPr>
            <sz val="9"/>
            <color indexed="81"/>
            <rFont val="Tahoma"/>
            <family val="2"/>
          </rPr>
          <t xml:space="preserve">
cumultive number of NPL / cumulative total number of loans</t>
        </r>
      </text>
    </comment>
    <comment ref="F13" authorId="0" shapeId="0">
      <text>
        <r>
          <rPr>
            <b/>
            <sz val="9"/>
            <color indexed="81"/>
            <rFont val="Tahoma"/>
            <family val="2"/>
          </rPr>
          <t>Author:</t>
        </r>
        <r>
          <rPr>
            <sz val="9"/>
            <color indexed="81"/>
            <rFont val="Tahoma"/>
            <family val="2"/>
          </rPr>
          <t xml:space="preserve">
from cumulative curve trandline, assuming equal quantities
</t>
        </r>
      </text>
    </comment>
    <comment ref="L13" authorId="0" shapeId="0">
      <text>
        <r>
          <rPr>
            <b/>
            <sz val="9"/>
            <color indexed="81"/>
            <rFont val="Tahoma"/>
            <family val="2"/>
          </rPr>
          <t>Author:</t>
        </r>
        <r>
          <rPr>
            <sz val="9"/>
            <color indexed="81"/>
            <rFont val="Tahoma"/>
            <family val="2"/>
          </rPr>
          <t xml:space="preserve">
cumultive number of NPL / cumulative total number of loans</t>
        </r>
      </text>
    </comment>
    <comment ref="M13" authorId="0" shapeId="0">
      <text>
        <r>
          <rPr>
            <b/>
            <sz val="9"/>
            <color indexed="81"/>
            <rFont val="Tahoma"/>
            <family val="2"/>
          </rPr>
          <t>Author:</t>
        </r>
        <r>
          <rPr>
            <sz val="9"/>
            <color indexed="81"/>
            <rFont val="Tahoma"/>
            <family val="2"/>
          </rPr>
          <t xml:space="preserve">
from cumulative curve trandline, assuming equal quantities
</t>
        </r>
      </text>
    </comment>
    <comment ref="S13" authorId="0" shapeId="0">
      <text>
        <r>
          <rPr>
            <b/>
            <sz val="9"/>
            <color indexed="81"/>
            <rFont val="Tahoma"/>
            <family val="2"/>
          </rPr>
          <t>Author:</t>
        </r>
        <r>
          <rPr>
            <sz val="9"/>
            <color indexed="81"/>
            <rFont val="Tahoma"/>
            <family val="2"/>
          </rPr>
          <t xml:space="preserve">
cumultive number of NPL / cumulative total number of loans</t>
        </r>
      </text>
    </comment>
    <comment ref="T13" authorId="0" shapeId="0">
      <text>
        <r>
          <rPr>
            <b/>
            <sz val="9"/>
            <color indexed="81"/>
            <rFont val="Tahoma"/>
            <family val="2"/>
          </rPr>
          <t>Author:</t>
        </r>
        <r>
          <rPr>
            <sz val="9"/>
            <color indexed="81"/>
            <rFont val="Tahoma"/>
            <family val="2"/>
          </rPr>
          <t xml:space="preserve">
from cumulative curve trandline, assuming equal quantities
</t>
        </r>
      </text>
    </comment>
    <comment ref="Z13" authorId="0" shapeId="0">
      <text>
        <r>
          <rPr>
            <b/>
            <sz val="9"/>
            <color indexed="81"/>
            <rFont val="Tahoma"/>
            <family val="2"/>
          </rPr>
          <t>Author:</t>
        </r>
        <r>
          <rPr>
            <sz val="9"/>
            <color indexed="81"/>
            <rFont val="Tahoma"/>
            <family val="2"/>
          </rPr>
          <t xml:space="preserve">
cumultive number of NPL / cumulative total number of loans</t>
        </r>
      </text>
    </comment>
    <comment ref="AB13" authorId="0" shapeId="0">
      <text>
        <r>
          <rPr>
            <b/>
            <sz val="9"/>
            <color indexed="81"/>
            <rFont val="Tahoma"/>
            <family val="2"/>
          </rPr>
          <t>Author:</t>
        </r>
        <r>
          <rPr>
            <sz val="9"/>
            <color indexed="81"/>
            <rFont val="Tahoma"/>
            <family val="2"/>
          </rPr>
          <t xml:space="preserve">
from cumulative curve trandline, assuming equal quantities
</t>
        </r>
      </text>
    </comment>
    <comment ref="AH13" authorId="0" shapeId="0">
      <text>
        <r>
          <rPr>
            <b/>
            <sz val="9"/>
            <color indexed="81"/>
            <rFont val="Tahoma"/>
            <family val="2"/>
          </rPr>
          <t>Author:</t>
        </r>
        <r>
          <rPr>
            <sz val="9"/>
            <color indexed="81"/>
            <rFont val="Tahoma"/>
            <family val="2"/>
          </rPr>
          <t xml:space="preserve">
cumultive number of NPL / cumulative total number of loans</t>
        </r>
      </text>
    </comment>
    <comment ref="AI13" authorId="0" shapeId="0">
      <text>
        <r>
          <rPr>
            <b/>
            <sz val="9"/>
            <color indexed="81"/>
            <rFont val="Tahoma"/>
            <family val="2"/>
          </rPr>
          <t>Author:</t>
        </r>
        <r>
          <rPr>
            <sz val="9"/>
            <color indexed="81"/>
            <rFont val="Tahoma"/>
            <family val="2"/>
          </rPr>
          <t xml:space="preserve">
from cumulative curve trandline, assuming equal quantities
</t>
        </r>
      </text>
    </comment>
    <comment ref="AO13" authorId="0" shapeId="0">
      <text>
        <r>
          <rPr>
            <b/>
            <sz val="9"/>
            <color indexed="81"/>
            <rFont val="Tahoma"/>
            <family val="2"/>
          </rPr>
          <t>Author:</t>
        </r>
        <r>
          <rPr>
            <sz val="9"/>
            <color indexed="81"/>
            <rFont val="Tahoma"/>
            <family val="2"/>
          </rPr>
          <t xml:space="preserve">
cumultive number of NPL / cumulative total number of loans</t>
        </r>
      </text>
    </comment>
    <comment ref="AP13" authorId="0" shapeId="0">
      <text>
        <r>
          <rPr>
            <b/>
            <sz val="9"/>
            <color indexed="81"/>
            <rFont val="Tahoma"/>
            <family val="2"/>
          </rPr>
          <t>Author:</t>
        </r>
        <r>
          <rPr>
            <sz val="9"/>
            <color indexed="81"/>
            <rFont val="Tahoma"/>
            <family val="2"/>
          </rPr>
          <t xml:space="preserve">
from cumulative curve trandline, assuming equal quantities
</t>
        </r>
      </text>
    </comment>
    <comment ref="AV13" authorId="0" shapeId="0">
      <text>
        <r>
          <rPr>
            <b/>
            <sz val="9"/>
            <color indexed="81"/>
            <rFont val="Tahoma"/>
            <family val="2"/>
          </rPr>
          <t>Author:</t>
        </r>
        <r>
          <rPr>
            <sz val="9"/>
            <color indexed="81"/>
            <rFont val="Tahoma"/>
            <family val="2"/>
          </rPr>
          <t xml:space="preserve">
cumultive number of NPL / cumulative total number of loans</t>
        </r>
      </text>
    </comment>
    <comment ref="AW13" authorId="0" shapeId="0">
      <text>
        <r>
          <rPr>
            <b/>
            <sz val="9"/>
            <color indexed="81"/>
            <rFont val="Tahoma"/>
            <family val="2"/>
          </rPr>
          <t>Author:</t>
        </r>
        <r>
          <rPr>
            <sz val="9"/>
            <color indexed="81"/>
            <rFont val="Tahoma"/>
            <family val="2"/>
          </rPr>
          <t xml:space="preserve">
from cumulative curve trandline, assuming equal quantities
</t>
        </r>
      </text>
    </comment>
  </commentList>
</comments>
</file>

<file path=xl/sharedStrings.xml><?xml version="1.0" encoding="utf-8"?>
<sst xmlns="http://schemas.openxmlformats.org/spreadsheetml/2006/main" count="395" uniqueCount="198">
  <si>
    <t>NPL</t>
  </si>
  <si>
    <t>Fico</t>
  </si>
  <si>
    <t>OTI</t>
  </si>
  <si>
    <t>FICO Standartalized</t>
  </si>
  <si>
    <t>NPL (from cumul.)</t>
  </si>
  <si>
    <t>OTI Standartalized</t>
  </si>
  <si>
    <t>AGE</t>
  </si>
  <si>
    <t>Age Standartalized</t>
  </si>
  <si>
    <t>OSM</t>
  </si>
  <si>
    <t>OSM Standartalized</t>
  </si>
  <si>
    <t>Patikner</t>
  </si>
  <si>
    <t>Patikner Standartalized</t>
  </si>
  <si>
    <t>NPL comululative</t>
  </si>
  <si>
    <t>credit amount</t>
  </si>
  <si>
    <t>Experience</t>
  </si>
  <si>
    <t>Experience Standartalized</t>
  </si>
  <si>
    <t>Standartalized</t>
  </si>
  <si>
    <t>Parameter</t>
  </si>
  <si>
    <t>FICO</t>
  </si>
  <si>
    <t>x+</t>
  </si>
  <si>
    <t>*ln(X)+</t>
  </si>
  <si>
    <t>*X^</t>
  </si>
  <si>
    <t>* x^2+</t>
  </si>
  <si>
    <t>Տարիք</t>
  </si>
  <si>
    <t>Coeficient for Weigth</t>
  </si>
  <si>
    <t>shift</t>
  </si>
  <si>
    <t>&lt;=2</t>
  </si>
  <si>
    <t>[3; 6)</t>
  </si>
  <si>
    <t>[6; 9)</t>
  </si>
  <si>
    <t>[9; 12)</t>
  </si>
  <si>
    <t>[12; 15)</t>
  </si>
  <si>
    <t>[15; 18)</t>
  </si>
  <si>
    <t>[18; 21)</t>
  </si>
  <si>
    <t>[21; 24)</t>
  </si>
  <si>
    <t>[24; 27)</t>
  </si>
  <si>
    <t>[27; 30)</t>
  </si>
  <si>
    <t>&gt;=30</t>
  </si>
  <si>
    <t>Sex (1 - man)</t>
  </si>
  <si>
    <t>Տեղեկատվություն և կապ այլ ճյուղեր</t>
  </si>
  <si>
    <t>Էլեկտրականության, գազի, գոլորշու և լավորակ օդի մատա</t>
  </si>
  <si>
    <t>Առևտրի այլ ճյուղեր</t>
  </si>
  <si>
    <t>Սննդի արդյունաբերություն</t>
  </si>
  <si>
    <t>Կեցության և հանրային սննդի կազմակերպում այլ ճյուղեր</t>
  </si>
  <si>
    <t>Հանքագործական արդյունաբերություն և բացահանքերի շահա</t>
  </si>
  <si>
    <t>Տնտնեսության այլ ճյուղեր</t>
  </si>
  <si>
    <t xml:space="preserve">Մշակող արդյունաբերության այլ ճյուղեր  </t>
  </si>
  <si>
    <t>Խմիչքների արդյունաբերություն</t>
  </si>
  <si>
    <t>*X+</t>
  </si>
  <si>
    <t>*e^x*</t>
  </si>
  <si>
    <t>Sector</t>
  </si>
  <si>
    <r>
      <t>Միջազգային</t>
    </r>
    <r>
      <rPr>
        <i/>
        <sz val="10"/>
        <color rgb="FF000000"/>
        <rFont val="Calibri"/>
        <family val="2"/>
      </rPr>
      <t xml:space="preserve"> </t>
    </r>
    <r>
      <rPr>
        <i/>
        <sz val="10"/>
        <color rgb="FF000000"/>
        <rFont val="Sylfaen"/>
        <family val="1"/>
      </rPr>
      <t>կազմակերպություններ</t>
    </r>
    <r>
      <rPr>
        <i/>
        <sz val="10"/>
        <color rgb="FF000000"/>
        <rFont val="Calibri"/>
        <family val="2"/>
      </rPr>
      <t xml:space="preserve">/ </t>
    </r>
    <r>
      <rPr>
        <i/>
        <sz val="10"/>
        <color rgb="FF000000"/>
        <rFont val="Sylfaen"/>
        <family val="1"/>
      </rPr>
      <t>դեսպանատներ</t>
    </r>
    <r>
      <rPr>
        <i/>
        <sz val="10"/>
        <color rgb="FF000000"/>
        <rFont val="Calibri"/>
        <family val="2"/>
      </rPr>
      <t>2*</t>
    </r>
  </si>
  <si>
    <r>
      <t>Աուդիտ</t>
    </r>
    <r>
      <rPr>
        <i/>
        <sz val="10"/>
        <color rgb="FF000000"/>
        <rFont val="Calibri"/>
        <family val="2"/>
      </rPr>
      <t xml:space="preserve">, </t>
    </r>
    <r>
      <rPr>
        <i/>
        <sz val="10"/>
        <color rgb="FF000000"/>
        <rFont val="Sylfaen"/>
        <family val="1"/>
      </rPr>
      <t>հաշվապահական</t>
    </r>
    <r>
      <rPr>
        <i/>
        <sz val="10"/>
        <color rgb="FF000000"/>
        <rFont val="Calibri"/>
        <family val="2"/>
      </rPr>
      <t xml:space="preserve"> </t>
    </r>
    <r>
      <rPr>
        <i/>
        <sz val="10"/>
        <color rgb="FF000000"/>
        <rFont val="Sylfaen"/>
        <family val="1"/>
      </rPr>
      <t>հաշվառում</t>
    </r>
    <r>
      <rPr>
        <i/>
        <sz val="10"/>
        <color rgb="FF000000"/>
        <rFont val="Calibri"/>
        <family val="2"/>
      </rPr>
      <t xml:space="preserve">, </t>
    </r>
    <r>
      <rPr>
        <i/>
        <sz val="10"/>
        <color rgb="FF000000"/>
        <rFont val="Sylfaen"/>
        <family val="1"/>
      </rPr>
      <t>ապահովագրություն</t>
    </r>
    <r>
      <rPr>
        <i/>
        <sz val="10"/>
        <color rgb="FF000000"/>
        <rFont val="Calibri"/>
        <family val="2"/>
      </rPr>
      <t xml:space="preserve">, </t>
    </r>
    <r>
      <rPr>
        <i/>
        <sz val="10"/>
        <color rgb="FF000000"/>
        <rFont val="Sylfaen"/>
        <family val="1"/>
      </rPr>
      <t>վարկային</t>
    </r>
    <r>
      <rPr>
        <i/>
        <sz val="10"/>
        <color rgb="FF000000"/>
        <rFont val="Calibri"/>
        <family val="2"/>
      </rPr>
      <t xml:space="preserve"> </t>
    </r>
    <r>
      <rPr>
        <i/>
        <sz val="10"/>
        <color rgb="FF000000"/>
        <rFont val="Sylfaen"/>
        <family val="1"/>
      </rPr>
      <t>կազմակերպություններ</t>
    </r>
    <r>
      <rPr>
        <i/>
        <sz val="10"/>
        <color rgb="FF000000"/>
        <rFont val="Calibri"/>
        <family val="2"/>
      </rPr>
      <t>3*</t>
    </r>
  </si>
  <si>
    <r>
      <t>Արդարադատության</t>
    </r>
    <r>
      <rPr>
        <i/>
        <sz val="10"/>
        <color rgb="FF000000"/>
        <rFont val="Calibri"/>
        <family val="2"/>
      </rPr>
      <t>/</t>
    </r>
    <r>
      <rPr>
        <i/>
        <sz val="10"/>
        <color rgb="FF000000"/>
        <rFont val="Sylfaen"/>
        <family val="1"/>
      </rPr>
      <t>Պաշտպանության</t>
    </r>
    <r>
      <rPr>
        <i/>
        <sz val="10"/>
        <color rgb="FF000000"/>
        <rFont val="Calibri"/>
        <family val="2"/>
      </rPr>
      <t xml:space="preserve">  </t>
    </r>
    <r>
      <rPr>
        <i/>
        <sz val="10"/>
        <color rgb="FF000000"/>
        <rFont val="Sylfaen"/>
        <family val="1"/>
      </rPr>
      <t>ոլորտ</t>
    </r>
    <r>
      <rPr>
        <i/>
        <sz val="10"/>
        <color rgb="FF000000"/>
        <rFont val="Calibri"/>
        <family val="2"/>
      </rPr>
      <t>4*</t>
    </r>
  </si>
  <si>
    <r>
      <t>Առողջապահություն</t>
    </r>
    <r>
      <rPr>
        <i/>
        <sz val="10"/>
        <color rgb="FF000000"/>
        <rFont val="Calibri"/>
        <family val="2"/>
      </rPr>
      <t>6*</t>
    </r>
  </si>
  <si>
    <t>Ենթադրենք ունենք՝</t>
  </si>
  <si>
    <t>M</t>
  </si>
  <si>
    <t>Կանխատեսվող NPL</t>
  </si>
  <si>
    <t>MAX հնարավոր</t>
  </si>
  <si>
    <t>SCORE</t>
  </si>
  <si>
    <t>FINAL SCORE</t>
  </si>
  <si>
    <t>Min հնարավոր 
կանխատեսվող NPL</t>
  </si>
  <si>
    <t>Ոլորտ</t>
  </si>
  <si>
    <t>Սեռ</t>
  </si>
  <si>
    <t>Առողջապահություն6*</t>
  </si>
  <si>
    <t>Կետ</t>
  </si>
  <si>
    <t xml:space="preserve">Սքորինգի ուղին՝ Տ1, Տ2 թե Տ3, տեղեկատվության ստացման աղբյուրը, և վարկի պայմանները որոշելու համար ստուգվում է </t>
  </si>
  <si>
    <t xml:space="preserve">Տոկոսադրույքը կախված է՝   </t>
  </si>
  <si>
    <t>Տ1</t>
  </si>
  <si>
    <t>Ոլորտից կամ աշխատավարաձային նախագծի պատկանելիությունից, վարկի արժույթից։ Եթե չի համապատասխանում ոլորտին/կամ որևէ աշխատավարձային նախագծին ապա սքորից։ Ընդ որում տրվում է բոլոր հնարավոր տարբերակներից լավագույն տոկոսադրույքը</t>
  </si>
  <si>
    <t xml:space="preserve">Տ2 </t>
  </si>
  <si>
    <t>Սքորից և վարկի արժույթից</t>
  </si>
  <si>
    <t>Տ3</t>
  </si>
  <si>
    <t>S1</t>
  </si>
  <si>
    <t>S2</t>
  </si>
  <si>
    <t xml:space="preserve">Վարկային պատմություն </t>
  </si>
  <si>
    <t>Տ2</t>
  </si>
  <si>
    <t xml:space="preserve">FICO սքոր և վարկային պատմություն </t>
  </si>
  <si>
    <t xml:space="preserve">Հաշվարկվում է </t>
  </si>
  <si>
    <t>Պարզ սքորինգ</t>
  </si>
  <si>
    <t>Social parameters</t>
  </si>
  <si>
    <t xml:space="preserve">Պարզ սքորինգ </t>
  </si>
  <si>
    <t>Աշխատավայրի ոլորտ</t>
  </si>
  <si>
    <t>Բարդ սքորինգ</t>
  </si>
  <si>
    <t>Total Score</t>
  </si>
  <si>
    <t>Վարկի տեսակ</t>
  </si>
  <si>
    <t>Ցուցանիշ</t>
  </si>
  <si>
    <t>Ժամկետ</t>
  </si>
  <si>
    <t>Սպառողական վարկ</t>
  </si>
  <si>
    <t>Վերականգնվող սահմանաչափ</t>
  </si>
  <si>
    <t>No maturity or what customer has choosen</t>
  </si>
  <si>
    <t>Բոլոր վարկերը</t>
  </si>
  <si>
    <t>&lt;18</t>
  </si>
  <si>
    <t>Ամսական զուտ եկամուտ</t>
  </si>
  <si>
    <t>Ոլորտ/Սքոր</t>
  </si>
  <si>
    <t>Սպառողական</t>
  </si>
  <si>
    <t>Վերականգնվող</t>
  </si>
  <si>
    <t>Տոկոսադրույք</t>
  </si>
  <si>
    <t>ՏՏ և հեռահաղորդակցության ոլորտ</t>
  </si>
  <si>
    <t>X 14</t>
  </si>
  <si>
    <t>X 8</t>
  </si>
  <si>
    <t>16% AMD, 15% USD, EUR</t>
  </si>
  <si>
    <t>X 12</t>
  </si>
  <si>
    <t>Միջազգային կազմակերպություններ/ դեսպանատներ</t>
  </si>
  <si>
    <t>Աուդիտ, հաշվապահական հաշվառում, ապահովագրություն, վարկային կազմակերպություններ</t>
  </si>
  <si>
    <t>Արդարադատության/_x000D_
Պաշտպանության _x000D_
 ոլորտ</t>
  </si>
  <si>
    <t>X 11</t>
  </si>
  <si>
    <t>X 7</t>
  </si>
  <si>
    <t>Հանքարդյունաբերություն և էներգետիկա</t>
  </si>
  <si>
    <t>X 13</t>
  </si>
  <si>
    <t>17% AMD, 16% USD/EUR</t>
  </si>
  <si>
    <t>Առողջապահություն</t>
  </si>
  <si>
    <t>18% AMD, 16% USD/EUR</t>
  </si>
  <si>
    <t>Այլ</t>
  </si>
  <si>
    <t>X 6</t>
  </si>
  <si>
    <t>20% AMD, 18% USD/EUR</t>
  </si>
  <si>
    <t>X 4</t>
  </si>
  <si>
    <t>24% AMD, 21% USD/EUR</t>
  </si>
  <si>
    <t>Աշխատավարձ</t>
  </si>
  <si>
    <t>19% AMD, 16% USD/EUR</t>
  </si>
  <si>
    <t>21% AMD, 18% USD/EUR</t>
  </si>
  <si>
    <t>Միջիմ մնացորդ</t>
  </si>
  <si>
    <t>X 2</t>
  </si>
  <si>
    <t>X 3</t>
  </si>
  <si>
    <t>Formula</t>
  </si>
  <si>
    <t>Weights</t>
  </si>
  <si>
    <t>Օրինակ 1</t>
  </si>
  <si>
    <t xml:space="preserve">Հաճախորդը դիմել է 700,000 ՀՀ դրամ, իր աշխատավարձը կազմում է 100,000 ՀՀ դրամ։ Տ1-ով հաշվարկի դեպքում հաճախորդին կարող ենք տալ 400,000 ՀՀ դրամ 16%-ով։ Տ3-ի դեպքում հաճախորդին կարող ենք տալ 600,000 -24%: Հաճախորդին առաջարկում ենք 400,000 -16% և 600,000 -24%: Նա կարող է ընտրել դրանցից ցանկացածը </t>
  </si>
  <si>
    <t xml:space="preserve">Հաճախորդը դիմել է 700,000 ՀՀ դրամ, իր աշխատավարձը չի ստանում բանկի միջոցով, սակայն Նորքում գրանցված է 100,000 ՀՀ դրամ աշխատավարձ։ Տ2-ով հաշվարկի դեպքում կարող ենք տալ 500,000 ՀՀ դրամ 16%: Սակայն հաճախորդը նաև ունի հաշիվ, որի 6 ամսվա միջին մնացորդը կազմում է 200,000 ՀՀ դրամ և Տ2-ով կարող ենք տալ 600,000 ՀՀ դրամ։ Հաճախորդին առաջարկվում է 600,000 ՀՀ դրամ 16%: </t>
  </si>
  <si>
    <t xml:space="preserve">Հաճախորդը դիմել է 700,000 ՀՀ դրամ, իր աշխատավարձը չի ստանում բանկի միջոցով, սակայն Նորքում գրանցված է 100,000 ՀՀ դրամ աշխատավարձ։ Տ2-ով հաշվարկի դեպքում կարող ենք տալ 500,000 ՀՀ դրամ 16%: Հաճախորդը չունի min 3 ամսվա հաշիվ (կամ միջին մնացորդը 50,000 ՀՀ դրամ է)։ Տ3-ով հաշվարկի դեպքում հաճախորդին կարող ենք տալ 600,000 ՀՀ դրամ -24%-ով։ Հաճախորդին առաջարկում ենք 400,000 -16% և 600,000 -24%: Նա կարող է ընտրել դրանցից ցանկացածը </t>
  </si>
  <si>
    <t xml:space="preserve">Հաճախորդը դիմել է 700,000 ՀՀ դրամ, իր աշխատավարձը չի ստանում բանկի միջոցով, սակայն Նորքում գրանցված է 100,000 ՀՀ դրամ աշխատավարձ։ Տ2-ով հաշվարկի դեպքում կարող ենք տալ 500,000 ՀՀ դրամ 16%: Հաճախորդը չունի min 3 ամսվա հաշիվ (կամ միջին մնացորդը 50,000 ՀՀ դրամ է)։ Տ3-ով հաշվարկի դեպքում հաճախորդին կարող ենք տալ 1 մլն ՀՀ դրամ -24%-ով։ Հաճախորդին առաջարկում ենք 400,000 -16% և 700,000 -24%: Նա կարող է ընտրել դրանցից ցանկացածը </t>
  </si>
  <si>
    <t>Հաճախորդի խումբ</t>
  </si>
  <si>
    <t>Համակարգ</t>
  </si>
  <si>
    <t>Պայման</t>
  </si>
  <si>
    <t xml:space="preserve">Պարզ սքորինգ &lt; 1 մլն              բարդ սքորինգ  &gt; 1 մլն․ </t>
  </si>
  <si>
    <t>Հաճախորդը դիմել է 400,000 ՀՀ դրամի համար, չի ստանում աշխատավարձ բանկով և չունի Նորքում գրանցված եկամուտ։ Սքորի հիման վրա կարող է տրամադրվել 200,000 ՀՀ դրամ - 24 %-ով, Սակայն հաճախորդը նաև ունի հաշիվ, որի 6 ամսվա միջին մնացորդը կազմում է 150,000 ՀՀ դրամ և Տ3-ով կարող ենք տալ 300,000 ՀՀ դրամ-24%-ով։ Հաճախորդին առաջարկվում է 300,000 ՀՀ   - 24%</t>
  </si>
  <si>
    <t>Հաճախորդը դիմել է 2,000,000 ՀՀ դրամի համար, չի ստանում աշխատավարձ բանկով և չունի Նորքում գրանցված եկամուտ։ Հաճախորդը նաև ունի հաշիվ, որի 6 ամսվա միջին մնացորդը կազմում է 500,000 ՀՀ դրամ և Տ3-ով կարող ենք տալ 1,000,000 ՀՀ դրամ-24%-ով։ Հաճախորդին առաջարկվում է 1,000,000 ՀՀ   - 24%</t>
  </si>
  <si>
    <t xml:space="preserve">Հաճախորդը դիմել է 2,000,000 ՀՀ դրամի համար, չի ստանում աշխատավարձ բանկով և չունի Նորքում գրանցված եկամուտ։ Հաճախորդը չունի min 3 ամսվա հաշիվ (կամ միջին մնացորդը 50,000 ՀՀ դրամ է)։ Տ3-ով հաշվարկի դեպքում հաճախորդին կարող ենք տալ 1 մլն ՀՀ դրամ -24%-ով։ Հաճախորդին առաջարկում ենք տալ 1,000,000 ՀՀ դրամ-24%-ով։ </t>
  </si>
  <si>
    <t>Ընդհանուր անգրավ վարկային պարտավրություններ բոլոր բանկերում կախված են՝</t>
  </si>
  <si>
    <t>• Հաշվարկվում է Տ1։                                                                                                                                                                                                                           • Եթե գումարը, որին հաճախորդը դիմել է հնարավոր չէ տրամադրել հաշվարկվում է Տ3։ Եթե առկա է տոկոսադրույքների տարբերություն, ապա երկու տարբերական էլ առաջարկվում են և հաճախորդը ինքն է ընտրում թե որ տարբերակն է վերցնում։ Օրինակ 1, Օրինակ 3</t>
  </si>
  <si>
    <t xml:space="preserve">• Հաշվարկվում է Տ2-ը սկզբում հիմք ընդունելով Նորքի գրանցված եկամուտը։ 
• Եթե գումարը որին հաճախորդը դիմել է հնարավոր չէ տրամադրել հաշվարկվում է Տ2 միջին մնացորդի հիման վրա (միջին մնացորդի պահանջը նկարագրված է 2-րդ կետում)։ Օրինակ 1                                                                                                                                                                                            • Եթե դա էլ չի բավարարում, ապա հաշվարկվում է Տ3։ Եթե առկա է տոկոսադրույքների տարբերություն, ապա երկու տարբերական էլ առաջարկվում են և հաճախորդը ինքն է ընտրում թե որ տարբերակն է վերցնում։ Օրինակ 2, Օրինակ 3 </t>
  </si>
  <si>
    <t>Օրինակ 2</t>
  </si>
  <si>
    <t>Օրինակ 3</t>
  </si>
  <si>
    <t>• Հաշվարկվում է Տ3-ը մինչև 1 մլն պարզ սքորինգով: Յուրաքանչյուր սքորին բանաձևի համաձայն համապատասխանում է կոնկրետ գումար։                                                                                                                                                                                    • Եթե գումարը որին հաճախորդը դիմել է հնարավոր չէ տրամադրել հաշվարկվում է Տ3 միջին մնացորդի հիման վրա (միջին մնացորդի պահանջը նկարագրված է 2-րդ կետում)։  Օրինակ 1                                                                                                                                                                                       • Եթե 1 մլն-ից ավել է, ապա պետք է բավարարի 2-րդ կետում նկարագրված միջին մնացորդի պահանջին։ Եթե չի բավարարում 2-րդ կետում նկարագրված միջին մնացորդի պահանջին, ապա առաջարկվում է հասանելի գումարը։ Օրինակ2, Օրինակ 3</t>
  </si>
  <si>
    <t>1․ Աշխատավարձը ստանում է բանկի միջոցով առնվազն երկու ամիս - (Տ1)</t>
  </si>
  <si>
    <t>Նույնը ինչ վերևում, սակայն հաշվում ենք նաև անգրավ վարկեր այլ բանկերում</t>
  </si>
  <si>
    <r>
      <rPr>
        <b/>
        <sz val="11"/>
        <color rgb="FFFF0000"/>
        <rFont val="Calibri"/>
        <family val="2"/>
        <scheme val="minor"/>
      </rPr>
      <t>Օրինակ առավելագույն վարկերի մասո</t>
    </r>
    <r>
      <rPr>
        <sz val="11"/>
        <color rgb="FFFF0000"/>
        <rFont val="Calibri"/>
        <family val="2"/>
        <scheme val="minor"/>
      </rPr>
      <t xml:space="preserve">վ։  Հաճախորդը դիմել է 5 մլն ՀՀ դրամի։ Աշխատավարձը կազմում է 2 մլն։ Համաձայն սքորինգի իրեն հասնում է 8 մլն ՀՀ դրամ։ Սակայն հաճախորդը այլ բանկում ունի անգրավ 7 մլն ՀՀ դրամ  վարկ։ Ուստի հաճախորդին կարող ենք առաջարկել10մլն-7 մլն =3 մլն ՀՀ դրամ։  </t>
    </r>
  </si>
  <si>
    <r>
      <rPr>
        <b/>
        <sz val="11"/>
        <color rgb="FFFF0000"/>
        <rFont val="Calibri"/>
        <family val="2"/>
        <scheme val="minor"/>
      </rPr>
      <t>Օրինակ պատիկի մասով։</t>
    </r>
    <r>
      <rPr>
        <sz val="11"/>
        <color rgb="FFFF0000"/>
        <rFont val="Calibri"/>
        <family val="2"/>
        <scheme val="minor"/>
      </rPr>
      <t xml:space="preserve">  Հաճախորդը դիմել է 400,000 ՀՀ դրամի։ Աշխատավարձը կազմում է 100,000։ Համաձայն սքորինգի իրեն հասնում է 4 ապատիկ ՝400,000 ՀՀ դրամ։ Սակայն հաճախորդը ունի մեր բանկում ևս 200,000 ՀՀ դրամ անապահով վարկ։ Ուստի հաճախորդին կարող ենք առաջարկել 400,000-200,000=200,000 ՀՀ դրամ։  </t>
    </r>
  </si>
  <si>
    <t>Notes</t>
  </si>
  <si>
    <t>OTI = ամսական մարումներ(անուիտետով)+ ակընկալվող վարկի ամսական մարում/եկամուտ։ 
Ամսական մարումների համար տվյալը վերցնում է ԱՔՌԱ-ից (հաշվարկվում է բոլոր գործող վարկերի համար)
Եկամուտ՝ տվյալը վերցնում է ըստ յուրաքանչյուր տարբերակի։                                                                                OTI &lt;= 60%, եթե 60%-ից ավել է, ապա առաջարկվում է ավելի փոքր գումար</t>
  </si>
  <si>
    <t>Հաճախորդին առաջարկում է կամ իր կողմից նշված գումարը, իսկ եթե սահմանված որևէ պարամետրերից մեկը չի բավարում, ապա ավելի փոքր գումար։</t>
  </si>
  <si>
    <r>
      <rPr>
        <b/>
        <sz val="11"/>
        <color theme="1"/>
        <rFont val="Calibri"/>
        <family val="2"/>
        <scheme val="minor"/>
      </rPr>
      <t>Եկամտի հաշվարկ Տ2</t>
    </r>
    <r>
      <rPr>
        <sz val="11"/>
        <color theme="1"/>
        <rFont val="Calibri"/>
        <family val="2"/>
        <scheme val="minor"/>
      </rPr>
      <t xml:space="preserve">  Նորք տեղեկատվական բազայում առկա վերջին աշխատավարձը կամ 6 ամսվա միջին մնացորդը, եթե Նորք տեղեկատվական բազայի եկամուտը բավարար չէ վարկի ստացման համար։ Անհրաժեշտ է ստուգում թե անձը դեռևս աշխատում է թե ոչ, որի համար պետք է համեմատվի ազատման ամսաթիվը, և եթե ազատման ամսաթիվ սյան մեջ գրանցված է արժեք, որը փոքր է ընթացիկ ամսաթվի արժեքից այն պետք է ընդունել որպես ազատման ամսաթիվ։ Հակառակ դեքպում ոչ։ Եթե այլևս չի աշխատում վարկը տրամադրվում է Տ3-ի համաձայն</t>
    </r>
  </si>
  <si>
    <t xml:space="preserve"> </t>
  </si>
  <si>
    <r>
      <rPr>
        <b/>
        <sz val="11"/>
        <color theme="1"/>
        <rFont val="Calibri"/>
        <family val="2"/>
        <scheme val="minor"/>
      </rPr>
      <t>Եկամտի հաշվարկ Տ3</t>
    </r>
    <r>
      <rPr>
        <sz val="11"/>
        <color theme="1"/>
        <rFont val="Calibri"/>
        <family val="2"/>
        <scheme val="minor"/>
      </rPr>
      <t xml:space="preserve">։ Վերջին 6 ամսվա միջին մնացորդը </t>
    </r>
  </si>
  <si>
    <t xml:space="preserve">decline </t>
  </si>
  <si>
    <t>Manual reviewe if score is not less then 600 otherwise decline.</t>
  </si>
  <si>
    <t xml:space="preserve">Եթե վարկը անժամկետ է, ապա OTI հաշվարկի համար ընդունվում է 5 տարին։ Տարիքի ցուցանիշը հաշվարիվում է առավելագույն ժամկետը որոշելու համար։ 
</t>
  </si>
  <si>
    <t>The lowest of avarage monthly balance for the last 6  and 1 months</t>
  </si>
  <si>
    <t xml:space="preserve">Առավելագույն անգրավ վարկերի գումարը մեր բանկում կախված է՝ </t>
  </si>
  <si>
    <t>Մեր բանկում առավելագույն գումարը որոշվում է հիմք ընդունելով Ամերիաբանկում գործող առանց գրավի ապահովվածության վարկերի մնացորդների կամ մայր գումարների հանրագումրը (մնացորդը՝ վարի, ֆակտորինգ, մայր գումարներ՝ վարկային քարտ, օվերդրաֆտ, այլ արժեք)։ Որպես անգրավ վարկ վերցնում ենք՝ ԱՔՌԱ-ից Գրավի առարկան դաշտի հետևյալ արժեքների հանրագումարը (ֆինանսական հոսք, ապրանք/արտադրանք, առանց արժեքի)։ Այսինքն եթե առկա է այլ անապահով վարկ մեր բանկում ապա այդ գումարը դուրս է գալիս հասանելի պատիկից և առավելագույն գումարից։ Տես օրինակ։</t>
  </si>
  <si>
    <t>Եթե հաճախորդը դիմել է վարկի 1 շաբաթվա ընթացքում 1-ից ավել անգամ դա բերում է ձեռքով դիտման</t>
  </si>
  <si>
    <r>
      <rPr>
        <b/>
        <sz val="11"/>
        <color theme="1"/>
        <rFont val="Calibri"/>
        <family val="2"/>
        <scheme val="minor"/>
      </rPr>
      <t xml:space="preserve">                                                                                                                     Եկամտի հաշվարկ Տ1</t>
    </r>
    <r>
      <rPr>
        <sz val="11"/>
        <color theme="1"/>
        <rFont val="Calibri"/>
        <family val="2"/>
        <scheme val="minor"/>
      </rPr>
      <t xml:space="preserve">                                                                                      I. 3 և ավել ամիս ստանալու դեպքում -վերջին  3 ամսվա միջին աշխատավարձը, ընդ որում վերջին ամսում պետք է լինի որևէ արժեք (օրինակ, Նոյեմբերի 13-ին հաշվարկի դեպքում վերցնում ենք՝ Հոկտեմբեր, Սեպտեմբեր և Օգոստոսի միջինը ) 
II. 2 ամիս ստանալու դեպքում - վերջին 2 ամսվա միջին աշխատավարձը վերևում ներկայացվածի սկզբունոքով։                                                                  I և II տարբերակի դեպքում, եթե հաշվարկված միջին աշխատավարձը ավելի փոքր է, քան նորքում գրանցված վերջին աշխատավարձը, ապա վերցնում ենք Նորքի աշխատավարձը։ Հակառակ դեպքում Հաշվարկված միջինը համեմատվում է  3 /2 ամսվա նվազագույն աշխատավարձի հետ և եթե առկա է 50%-ի տարբերություն, ապա վերցնում ենք հաշվարկաված միջինի և նվազագույնի միջինը։ Եթե Նորքինը ավելի մեծ է որպես եկամուտ մասնակցում է նորքինը, իսկ եթե ոչ ապա հաշվարկված նոր միջինը։ 
III. 1 ամիս ստանալու դեպքում - Նորք տեղեկատվական բազայի եկամուտը
</t>
    </r>
  </si>
  <si>
    <t>Վարկի արժույթից, իսկ տոկոսը ամենաբարձրն է և կախված չէ սքորից</t>
  </si>
  <si>
    <t>Բոլոր արտարժույթով վարկերը հաշվարկներում վերածվում են ՀՀ դրամի ՀԾ նախապես մուտքագրված փոխարժեքով։</t>
  </si>
  <si>
    <t xml:space="preserve">Եթե հաճախորդը վերջին 36 ամսում ունեցել է 90 և ավել ժամկետանց օրեր, ապա բերում է ձեռքով դիտման։             Եթե ՖԻԿՈ սքոր չի ձևավորվում, ապա հաշվարկում մասնակցում է 48 ամսվա վարկային պատմությունը։ 
Այդ դեպքում երբ վարկային պատմությունը բացակայում է կամ 48 ամսվա վաղեմության վարկեր են, ապա տրվում է նվազագույն արժեք ըստ հաճախորդի խմբի, բացառությամբ Տ3-ով հաշվարկված այն հաճախորդների համար, որոնք չունեն ոչ աշխատավարձ ոչ էլ միջին մնացորդ, որի դեպքում գնում է ձեռքով դիտման։ Եթե վարկային պատմությունը առկա է և ժամկետանց վարկերը վերջին 48 ամսում &lt; 30-ից - նվազագույն արժեք + 50 միավոր , 30-90 օր ձեռքով դիտման, 90-ից ավել մերժում։ </t>
  </si>
  <si>
    <t>FICO կտրման շեմ՝  Տ1 , Տ2 -  500,                                                                                                    Տ3 և միջին մնացորդի դեպքում -  550</t>
  </si>
  <si>
    <t>2․ Եթե աշխատավարձը չի ստանում, արդյոք Նորքում ունի գրանցված եկամուտ - (Տ2)։ Միաժամանակ 2-րդ կետի ի հայտ գալու դեպքում ստուգվում է բանկի հաճախորդ է թե ոչ և որքան է վերջին 6 ամսվա միջին մնացորդի և 1 ամսվա միջին մնացորդի նվազագույնը</t>
  </si>
  <si>
    <t>3․ Եթե եկամուտը գրանցված չէ կիրառվում է (Տ3)-ը։  Միաժամանակ 2-րդ կետի ի հայտ գալու դեպքում ստուգվում է բանկի հաճախորդ է թե ոչ և որքան է վերջին 6 ամսվա միջին մնացորդի և 1 ամսվա միջին մնացորդի նվազագույնը</t>
  </si>
  <si>
    <t>Սա կիարառվում է այն դեպքում , երբ հաճախորդի դիմած գումարը հնարավոր չէ տրամադրել աշխատավարձը որպես եկամուտ հաշվարկելու միջոցով՝ Տ2 և Տ3 դեպքում։ Նշված դեպքում եթե հաճախորդը բանկում ունի 3 և ավել ամիս որևէ բանկային հաշիվ, ապա որպես եկամուտ (OTI և պատիկի որոշման համար) կարող է օգտագործվել վերջին 6 ամսվա միջին մնացորդի և 1 ամսվա միջին մնացորդներից նվազագույնը, եթե 100,000 ՀՀ դրամից ավել է։ Սա կիարառվում է այն դեպքում , երբ հաճախորդի դիմած գումարը հնարավոր չէ տրամադրել աշխատավարձը որպես եկամուտ հաշվարկելու միջոցով։ Միջին մնացորդը որպես եկամուտ հաշվարկելու համար միջին մնացորդի նկատմամբ կիրառվում են հետևյալ պահանջները՝ նվազագույնը 100,000 ՀՀ դրամ միջին մնացորդի առկայություն, նվազագույնը 3 ամսվա հաշվետեր հաճախորդ։</t>
  </si>
  <si>
    <t>Ոլորտից կամ աշխատավարափային նախագծի պատկանելիությունից, վարկի տեսակից, սքորից։ Եթե չի համապատասխանում ոլորտին / կամ որևէ աշխատավարձային նախագծին ապա սքորից և վարկի տեսակից։  Ոլորտի պայմանը տարածվում է, եթե աշխատավարձը 100,000 դրամ և բարձր է։  Առավելագույնը 10 մլն ՀՀ դրամ և աշխատավարձի X պատիկ։</t>
  </si>
  <si>
    <t>Սքորից և վարկի տեսակից։ Առավելագույնը 10 մլն ՀՀ դրամ և աշխատավարձի/միջին մնացորդի X պատիկ</t>
  </si>
  <si>
    <t xml:space="preserve">Սքորից և վարկի տեսակից։ Առավելագույնը 3 մլն ՀՀ դրամ և աշխատավարձի/միջին մնացորդի X պատիկ (1 մլն-ից ավել վարկերի համար) </t>
  </si>
  <si>
    <t>10 մլն և աշխատավարձի/միջին մնացորդի X պատիկ։</t>
  </si>
  <si>
    <t xml:space="preserve">6 մլն և աշխատավարձի/միջին մնացորդի X պատիկ (1 մլն-ից ավել վարկերի համար) </t>
  </si>
  <si>
    <t>Սահմնվում են որոշ պարամետրեր որին չբավարարելու դեպքում հայտը մերժվում է հակառակ դեպքում անցնում է սքորի հաշվարկմանը: Մերժման դեպքում հաճախորդին գնում է պատասխան որ Ձեր հայտը մերժվեց, սակայն կարող եք մոտենալ բանկ (տարիք, FICO սքորի բացակայություն, վարկային պատմության մեջ ժամկետանց օրեր, առավելագույն անգրավ վարկերի գերազանցում, սահմնաված ցուցանիշից  և այլն)</t>
  </si>
  <si>
    <t>Սահմանվում են դեպքեր երբ հայտը բերում է ձեռքով դիտման (տարիք, FICO սքորի բացակայություն, վարկային պատմության մեջ ժամկետանց օրոր և այլն)</t>
  </si>
  <si>
    <t>&lt; 65</t>
  </si>
  <si>
    <t>Max 5 years, so that upon loan closure customer's age will not exceed 65</t>
  </si>
  <si>
    <t>&lt; 60</t>
  </si>
  <si>
    <t>&gt; 60</t>
  </si>
  <si>
    <t>Upon loan closure customer's age will not exceed 65</t>
  </si>
  <si>
    <t>&gt;65</t>
  </si>
  <si>
    <t>Կրթություն</t>
  </si>
  <si>
    <t>Առաջարկվող վարկի սահմանաչափ ելնելով սքորինգի արժեքներից և ոլորտներից Տ1 տարբերակի դեպքում  - վերևում նշված առավելագույն գումարի ներքո 4 և 5 կետերի համաձայն</t>
  </si>
  <si>
    <t>7.5 - 10 սքորի դեպքում</t>
  </si>
  <si>
    <t>Առաջարկվող վարկի սահմանաչափ և տոկոս ելնելով սքորինգի արժեքներից Տ2 տարբերակի դեպքում աշխատավարձի հիման վրա վերևում նշված առավելագույն գումարի ներքո 4 և 5 կետերի համաձայն</t>
  </si>
  <si>
    <t>4.1-6.5 սքորի դեպքում</t>
  </si>
  <si>
    <t>6.5-7.5 սքորի դեպքում</t>
  </si>
  <si>
    <t>Գնահատումը կատարվում է 10 բալային համակարգով</t>
  </si>
  <si>
    <t>Առաջարկվող վարկի սահմանաչափ և տոկոս ելնելով սքորինգի արժեքներից Տ2 տարբերակի դեպքում միջին մնացորդի հիման վրա վերևում նշված առավելագույն գումարի ներքո 4 և 5 կետերի համաձայն</t>
  </si>
  <si>
    <t>Առաջարկվող վարկի սահմանաչափ և տոկոս ելնելով սքորինգի արժեքներից միջին մնացորդի հիման վրա վերևում նշված առավելագույն գումարի ներքո 4 և 5 կետերի համաձայն</t>
  </si>
  <si>
    <t>Առաջարկվող վարկի սահմանաչափ և տոկոս ելնելով սքորինգի արժեքներից Տ3 տարբերակի դեպքում առավելագույն մինչև 1 մլն ՀՀ դրամ վերևում նշված առավելագույն գումարի ներքո 4 և 5 կետերի համաձայն (տես ստորև աղյուսակ 1-ում)</t>
  </si>
  <si>
    <t xml:space="preserve">      200,000 </t>
  </si>
  <si>
    <t xml:space="preserve">   1,000,000 </t>
  </si>
  <si>
    <t>Սքոր</t>
  </si>
  <si>
    <t>Գումար</t>
  </si>
  <si>
    <t xml:space="preserve">Աղյուսակ 1 </t>
  </si>
  <si>
    <t>Տ3 մինչև 1 մլն -ի համար</t>
  </si>
  <si>
    <t>Այս սքորից ելնելով որոշվում է առավելագույն գումարի պատիկը և տոկոսը, որը ներկայացված է Sheet 2-ում։</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</si>
</sst>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0.0%"/>
    <numFmt numFmtId="166" formatCode="_(* #,##0.0_);_(* \(#,##0.0\);_(* &quot;-&quot;??_);_(@_)"/>
    <numFmt numFmtId="167" formatCode="_-* #,##0.00\ _դ_ր_._-;\-* #,##0.00\ _դ_ր_._-;_-* &quot;-&quot;??\ _դ_ր_._-;_-@_-"/>
  </numFmts>
  <fonts count="24" x14ac:knownFonts="1">
    <font>
      <sz val="11"/>
      <color theme="1"/>
      <name val="Calibri"/>
      <family val="2"/>
      <scheme val="minor"/>
    </font>
    <font>
      <sz val="11"/>
      <color theme="1"/>
      <name val="Calibri"/>
      <family val="2"/>
      <scheme val="minor"/>
    </font>
    <font>
      <b/>
      <sz val="10"/>
      <color theme="1"/>
      <name val="Calibri"/>
      <family val="2"/>
      <scheme val="minor"/>
    </font>
    <font>
      <sz val="9"/>
      <color indexed="81"/>
      <name val="Tahoma"/>
      <family val="2"/>
    </font>
    <font>
      <b/>
      <sz val="9"/>
      <color indexed="81"/>
      <name val="Tahoma"/>
      <family val="2"/>
    </font>
    <font>
      <b/>
      <sz val="14"/>
      <color theme="1"/>
      <name val="Calibri"/>
      <family val="2"/>
      <scheme val="minor"/>
    </font>
    <font>
      <b/>
      <sz val="18"/>
      <color theme="1"/>
      <name val="Calibri"/>
      <family val="2"/>
      <scheme val="minor"/>
    </font>
    <font>
      <b/>
      <sz val="20"/>
      <color theme="1"/>
      <name val="Calibri"/>
      <family val="2"/>
      <scheme val="minor"/>
    </font>
    <font>
      <b/>
      <sz val="12"/>
      <color theme="1"/>
      <name val="Calibri"/>
      <family val="2"/>
      <scheme val="minor"/>
    </font>
    <font>
      <sz val="11"/>
      <color theme="1"/>
      <name val="Times Armenian"/>
      <family val="2"/>
    </font>
    <font>
      <b/>
      <sz val="11"/>
      <color theme="1"/>
      <name val="Calibri"/>
      <family val="2"/>
      <scheme val="minor"/>
    </font>
    <font>
      <sz val="11"/>
      <color theme="0" tint="-0.249977111117893"/>
      <name val="Calibri"/>
      <family val="2"/>
      <scheme val="minor"/>
    </font>
    <font>
      <sz val="11"/>
      <color theme="0" tint="-0.34998626667073579"/>
      <name val="Calibri"/>
      <family val="2"/>
      <scheme val="minor"/>
    </font>
    <font>
      <i/>
      <sz val="11"/>
      <color theme="1"/>
      <name val="Calibri"/>
      <family val="2"/>
      <scheme val="minor"/>
    </font>
    <font>
      <i/>
      <sz val="10"/>
      <color rgb="FF000000"/>
      <name val="Calibri"/>
      <family val="2"/>
    </font>
    <font>
      <i/>
      <sz val="10"/>
      <color rgb="FF000000"/>
      <name val="Sylfaen"/>
      <family val="1"/>
    </font>
    <font>
      <sz val="11"/>
      <color theme="0"/>
      <name val="Calibri"/>
      <family val="2"/>
      <scheme val="minor"/>
    </font>
    <font>
      <b/>
      <i/>
      <sz val="11"/>
      <color theme="1"/>
      <name val="Calibri"/>
      <family val="2"/>
      <scheme val="minor"/>
    </font>
    <font>
      <sz val="10"/>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name val="Calibri"/>
      <family val="2"/>
      <scheme val="minor"/>
    </font>
    <font>
      <sz val="11"/>
      <color rgb="FF000000"/>
      <name val="Calibri"/>
      <family val="2"/>
    </font>
  </fonts>
  <fills count="8">
    <fill>
      <patternFill patternType="none"/>
    </fill>
    <fill>
      <patternFill patternType="gray125"/>
    </fill>
    <fill>
      <patternFill patternType="solid">
        <fgColor rgb="FF92D05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249977111117893"/>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s>
  <cellStyleXfs count="12">
    <xf numFmtId="0" fontId="0" fillId="0" borderId="0"/>
    <xf numFmtId="9"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1" fillId="0" borderId="0"/>
    <xf numFmtId="0" fontId="9" fillId="0" borderId="0"/>
    <xf numFmtId="9" fontId="9" fillId="0" borderId="0" applyFont="0" applyFill="0" applyBorder="0" applyAlignment="0" applyProtection="0"/>
  </cellStyleXfs>
  <cellXfs count="276">
    <xf numFmtId="0" fontId="0" fillId="0" borderId="0" xfId="0"/>
    <xf numFmtId="0" fontId="0" fillId="0" borderId="1" xfId="0" applyBorder="1"/>
    <xf numFmtId="9" fontId="0" fillId="0" borderId="1" xfId="1" applyFont="1" applyBorder="1"/>
    <xf numFmtId="9" fontId="0" fillId="0" borderId="1" xfId="1" applyNumberFormat="1" applyFont="1" applyBorder="1"/>
    <xf numFmtId="0" fontId="0" fillId="0" borderId="0" xfId="0"/>
    <xf numFmtId="0" fontId="0" fillId="0" borderId="0" xfId="0" applyAlignment="1">
      <alignment horizontal="center" vertical="center"/>
    </xf>
    <xf numFmtId="0" fontId="0" fillId="2" borderId="1" xfId="0" applyFill="1" applyBorder="1" applyAlignment="1">
      <alignment horizontal="center" vertical="center" wrapText="1"/>
    </xf>
    <xf numFmtId="43" fontId="0" fillId="0" borderId="1" xfId="0" applyNumberFormat="1" applyBorder="1"/>
    <xf numFmtId="0" fontId="0" fillId="0" borderId="0" xfId="0"/>
    <xf numFmtId="9" fontId="0" fillId="0" borderId="1" xfId="1" applyFont="1" applyBorder="1"/>
    <xf numFmtId="10" fontId="0" fillId="0" borderId="1" xfId="0" applyNumberFormat="1" applyBorder="1"/>
    <xf numFmtId="10" fontId="0" fillId="0" borderId="1" xfId="1" applyNumberFormat="1" applyFont="1" applyBorder="1"/>
    <xf numFmtId="164" fontId="0" fillId="0" borderId="1" xfId="2" applyNumberFormat="1" applyFont="1" applyBorder="1"/>
    <xf numFmtId="165" fontId="0" fillId="0" borderId="1" xfId="1" applyNumberFormat="1" applyFont="1" applyBorder="1"/>
    <xf numFmtId="43" fontId="0" fillId="0" borderId="1" xfId="0" applyNumberFormat="1" applyBorder="1"/>
    <xf numFmtId="0" fontId="5"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1" fontId="0" fillId="0" borderId="1" xfId="1" applyNumberFormat="1" applyFont="1" applyBorder="1"/>
    <xf numFmtId="166" fontId="0" fillId="0" borderId="1" xfId="2" applyNumberFormat="1" applyFont="1" applyBorder="1"/>
    <xf numFmtId="0" fontId="8"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65" fontId="0" fillId="0" borderId="1" xfId="1" applyNumberFormat="1" applyFont="1" applyBorder="1"/>
    <xf numFmtId="0" fontId="0" fillId="0" borderId="0" xfId="0" applyBorder="1"/>
    <xf numFmtId="10" fontId="0" fillId="0" borderId="0" xfId="1" applyNumberFormat="1" applyFont="1" applyBorder="1"/>
    <xf numFmtId="43" fontId="0" fillId="0" borderId="1" xfId="2" applyFont="1" applyBorder="1"/>
    <xf numFmtId="9" fontId="0" fillId="0" borderId="0" xfId="1" applyFont="1" applyBorder="1"/>
    <xf numFmtId="165" fontId="0" fillId="0" borderId="0" xfId="1" applyNumberFormat="1" applyFont="1" applyBorder="1"/>
    <xf numFmtId="0" fontId="11" fillId="0" borderId="0" xfId="0" applyFont="1"/>
    <xf numFmtId="0" fontId="0" fillId="0" borderId="0" xfId="0"/>
    <xf numFmtId="43" fontId="0" fillId="0" borderId="1" xfId="2" applyFont="1" applyBorder="1"/>
    <xf numFmtId="43" fontId="0" fillId="0" borderId="1" xfId="0" applyNumberFormat="1" applyBorder="1"/>
    <xf numFmtId="0" fontId="12" fillId="0" borderId="0" xfId="0" applyFont="1"/>
    <xf numFmtId="9" fontId="0" fillId="0" borderId="0" xfId="0" applyNumberFormat="1"/>
    <xf numFmtId="10" fontId="0" fillId="0" borderId="0" xfId="2" applyNumberFormat="1" applyFont="1"/>
    <xf numFmtId="9" fontId="0" fillId="3" borderId="0" xfId="0" applyNumberFormat="1" applyFill="1"/>
    <xf numFmtId="0" fontId="0" fillId="3" borderId="0" xfId="0" applyFill="1"/>
    <xf numFmtId="10" fontId="0" fillId="3" borderId="0" xfId="0" applyNumberFormat="1" applyFill="1"/>
    <xf numFmtId="43" fontId="0" fillId="0" borderId="1" xfId="2" applyNumberFormat="1" applyFont="1" applyBorder="1"/>
    <xf numFmtId="164" fontId="13" fillId="4" borderId="1" xfId="2" applyNumberFormat="1" applyFont="1" applyFill="1" applyBorder="1"/>
    <xf numFmtId="43" fontId="0" fillId="4" borderId="1" xfId="0" applyNumberFormat="1" applyFill="1" applyBorder="1"/>
    <xf numFmtId="164" fontId="0" fillId="0" borderId="1" xfId="2" applyNumberFormat="1" applyFont="1" applyFill="1" applyBorder="1"/>
    <xf numFmtId="43" fontId="0" fillId="0" borderId="1" xfId="0" applyNumberFormat="1" applyFill="1" applyBorder="1"/>
    <xf numFmtId="165" fontId="0" fillId="4" borderId="1" xfId="1" applyNumberFormat="1" applyFont="1" applyFill="1" applyBorder="1"/>
    <xf numFmtId="0" fontId="0" fillId="0" borderId="0" xfId="0" applyAlignment="1">
      <alignment horizontal="right"/>
    </xf>
    <xf numFmtId="2" fontId="0" fillId="0" borderId="0" xfId="0" applyNumberFormat="1"/>
    <xf numFmtId="0" fontId="0" fillId="0" borderId="1" xfId="0" applyBorder="1" applyAlignment="1">
      <alignment horizontal="center" vertical="center" wrapText="1"/>
    </xf>
    <xf numFmtId="0" fontId="0" fillId="0" borderId="1" xfId="0" applyBorder="1" applyAlignment="1">
      <alignment vertical="center"/>
    </xf>
    <xf numFmtId="43" fontId="0" fillId="0" borderId="0" xfId="2" applyFont="1"/>
    <xf numFmtId="0" fontId="0" fillId="0" borderId="0" xfId="0" applyAlignment="1">
      <alignment horizontal="center"/>
    </xf>
    <xf numFmtId="43" fontId="0" fillId="0" borderId="0" xfId="0" applyNumberFormat="1"/>
    <xf numFmtId="165" fontId="0" fillId="0" borderId="0" xfId="1" applyNumberFormat="1" applyFont="1" applyAlignment="1">
      <alignment horizontal="center"/>
    </xf>
    <xf numFmtId="0" fontId="10" fillId="0" borderId="1" xfId="0" applyFont="1" applyFill="1" applyBorder="1" applyAlignment="1">
      <alignment horizontal="left" vertical="center"/>
    </xf>
    <xf numFmtId="0" fontId="10" fillId="0" borderId="9" xfId="0" applyFont="1" applyFill="1" applyBorder="1" applyAlignment="1">
      <alignment horizontal="center" vertical="center"/>
    </xf>
    <xf numFmtId="0" fontId="10" fillId="2" borderId="16" xfId="0" applyFont="1" applyFill="1" applyBorder="1" applyAlignment="1">
      <alignment horizontal="center" vertical="center"/>
    </xf>
    <xf numFmtId="166" fontId="10" fillId="2" borderId="17" xfId="2" applyNumberFormat="1" applyFont="1" applyFill="1" applyBorder="1" applyAlignment="1">
      <alignment horizontal="center" vertical="center"/>
    </xf>
    <xf numFmtId="0" fontId="0" fillId="0" borderId="25" xfId="0" applyBorder="1" applyAlignment="1">
      <alignment horizontal="left"/>
    </xf>
    <xf numFmtId="0" fontId="0" fillId="0" borderId="0" xfId="0" applyAlignment="1">
      <alignment horizontal="left"/>
    </xf>
    <xf numFmtId="0" fontId="0" fillId="0" borderId="36" xfId="0" applyBorder="1" applyAlignment="1">
      <alignment horizontal="left"/>
    </xf>
    <xf numFmtId="0" fontId="17" fillId="5" borderId="5" xfId="0" applyFont="1" applyFill="1" applyBorder="1" applyAlignment="1">
      <alignment horizontal="center"/>
    </xf>
    <xf numFmtId="0" fontId="17" fillId="5" borderId="37" xfId="0" applyFont="1" applyFill="1" applyBorder="1" applyAlignment="1">
      <alignment horizontal="center"/>
    </xf>
    <xf numFmtId="0" fontId="17" fillId="5" borderId="18" xfId="0" applyFont="1" applyFill="1" applyBorder="1" applyAlignment="1">
      <alignment horizontal="center"/>
    </xf>
    <xf numFmtId="0" fontId="0" fillId="0" borderId="0" xfId="0" applyBorder="1" applyAlignment="1">
      <alignment horizontal="center" vertical="center"/>
    </xf>
    <xf numFmtId="0" fontId="0" fillId="0" borderId="0" xfId="0" applyFill="1" applyBorder="1"/>
    <xf numFmtId="0" fontId="0" fillId="0" borderId="0" xfId="0" applyAlignment="1">
      <alignment wrapText="1"/>
    </xf>
    <xf numFmtId="0" fontId="0" fillId="0" borderId="1" xfId="0" applyBorder="1" applyAlignment="1">
      <alignment horizontal="center" vertical="center"/>
    </xf>
    <xf numFmtId="0" fontId="0" fillId="0" borderId="9" xfId="0" applyBorder="1" applyAlignment="1">
      <alignment horizontal="center" vertical="center" wrapText="1"/>
    </xf>
    <xf numFmtId="0" fontId="0" fillId="0" borderId="38" xfId="0" applyBorder="1" applyAlignment="1">
      <alignment horizontal="center" vertical="center" wrapText="1"/>
    </xf>
    <xf numFmtId="0" fontId="0" fillId="0" borderId="23" xfId="0" applyBorder="1" applyAlignment="1">
      <alignment horizontal="center" vertical="center"/>
    </xf>
    <xf numFmtId="0" fontId="0" fillId="0" borderId="0" xfId="0" applyBorder="1" applyAlignment="1">
      <alignment horizontal="left" vertical="center" wrapText="1"/>
    </xf>
    <xf numFmtId="0" fontId="10" fillId="0" borderId="0" xfId="0" applyFont="1" applyBorder="1" applyAlignment="1">
      <alignment horizontal="left" vertical="center" wrapText="1"/>
    </xf>
    <xf numFmtId="43" fontId="10" fillId="0" borderId="5" xfId="2" applyFont="1" applyBorder="1" applyAlignment="1">
      <alignment horizontal="center"/>
    </xf>
    <xf numFmtId="43" fontId="10" fillId="0" borderId="37" xfId="2" applyFont="1" applyBorder="1" applyAlignment="1">
      <alignment horizontal="center"/>
    </xf>
    <xf numFmtId="43" fontId="10" fillId="0" borderId="18" xfId="2" applyFont="1" applyBorder="1" applyAlignment="1">
      <alignment horizontal="center"/>
    </xf>
    <xf numFmtId="0" fontId="18" fillId="0" borderId="44" xfId="0" applyFont="1" applyBorder="1" applyAlignment="1">
      <alignment wrapText="1"/>
    </xf>
    <xf numFmtId="0" fontId="0" fillId="0" borderId="28" xfId="0" applyBorder="1" applyAlignment="1">
      <alignment horizontal="center" wrapText="1"/>
    </xf>
    <xf numFmtId="43" fontId="0" fillId="0" borderId="45" xfId="2" applyFont="1" applyBorder="1" applyAlignment="1">
      <alignment horizontal="center"/>
    </xf>
    <xf numFmtId="43" fontId="0" fillId="0" borderId="17" xfId="2" applyFont="1" applyBorder="1" applyAlignment="1">
      <alignment horizontal="center"/>
    </xf>
    <xf numFmtId="0" fontId="0" fillId="0" borderId="46" xfId="0" applyBorder="1" applyAlignment="1">
      <alignment horizontal="center" wrapText="1"/>
    </xf>
    <xf numFmtId="43" fontId="0" fillId="0" borderId="32" xfId="2" applyFont="1" applyBorder="1" applyAlignment="1">
      <alignment horizontal="center"/>
    </xf>
    <xf numFmtId="43" fontId="0" fillId="0" borderId="1" xfId="2" applyFont="1" applyBorder="1" applyAlignment="1">
      <alignment horizontal="center"/>
    </xf>
    <xf numFmtId="0" fontId="0" fillId="0" borderId="21" xfId="0" applyBorder="1" applyAlignment="1">
      <alignment horizontal="center" wrapText="1"/>
    </xf>
    <xf numFmtId="0" fontId="18" fillId="0" borderId="47" xfId="0" applyFont="1" applyFill="1" applyBorder="1" applyAlignment="1">
      <alignment wrapText="1"/>
    </xf>
    <xf numFmtId="43" fontId="0" fillId="0" borderId="48" xfId="2" applyFont="1" applyBorder="1" applyAlignment="1">
      <alignment horizontal="center"/>
    </xf>
    <xf numFmtId="43" fontId="0" fillId="0" borderId="23" xfId="2" applyFont="1" applyBorder="1" applyAlignment="1">
      <alignment horizontal="center"/>
    </xf>
    <xf numFmtId="0" fontId="0" fillId="0" borderId="35" xfId="0" applyBorder="1" applyAlignment="1">
      <alignment horizontal="center" wrapText="1"/>
    </xf>
    <xf numFmtId="0" fontId="10" fillId="0" borderId="0" xfId="0" applyFont="1" applyBorder="1"/>
    <xf numFmtId="43" fontId="10" fillId="0" borderId="1" xfId="2" applyFont="1" applyBorder="1" applyAlignment="1">
      <alignment horizontal="center"/>
    </xf>
    <xf numFmtId="43" fontId="10" fillId="0" borderId="21" xfId="2" applyFont="1" applyBorder="1" applyAlignment="1">
      <alignment horizontal="center"/>
    </xf>
    <xf numFmtId="43" fontId="10" fillId="0" borderId="32" xfId="2" applyFont="1" applyBorder="1" applyAlignment="1">
      <alignment horizontal="center"/>
    </xf>
    <xf numFmtId="0" fontId="10" fillId="0" borderId="0" xfId="0" applyFont="1"/>
    <xf numFmtId="43" fontId="0" fillId="0" borderId="33" xfId="2" applyFont="1" applyBorder="1" applyAlignment="1">
      <alignment horizontal="center"/>
    </xf>
    <xf numFmtId="0" fontId="0" fillId="0" borderId="1" xfId="0" applyFill="1" applyBorder="1" applyAlignment="1">
      <alignment vertical="center"/>
    </xf>
    <xf numFmtId="0" fontId="0" fillId="0" borderId="11" xfId="0" applyFill="1" applyBorder="1" applyAlignment="1">
      <alignment vertical="center"/>
    </xf>
    <xf numFmtId="165" fontId="0" fillId="0" borderId="1" xfId="1" applyNumberFormat="1" applyFont="1" applyFill="1" applyBorder="1" applyAlignment="1">
      <alignment vertical="center"/>
    </xf>
    <xf numFmtId="43" fontId="0" fillId="0" borderId="0" xfId="0" applyNumberFormat="1" applyAlignment="1">
      <alignment vertical="center"/>
    </xf>
    <xf numFmtId="0" fontId="0" fillId="0" borderId="0" xfId="0" applyAlignment="1">
      <alignment vertical="center"/>
    </xf>
    <xf numFmtId="0" fontId="0" fillId="0" borderId="1" xfId="0" applyBorder="1" applyAlignment="1">
      <alignment horizontal="left" vertical="center"/>
    </xf>
    <xf numFmtId="165" fontId="0" fillId="0" borderId="1" xfId="1" applyNumberFormat="1" applyFont="1" applyBorder="1" applyAlignment="1">
      <alignment horizontal="center" vertical="center"/>
    </xf>
    <xf numFmtId="2" fontId="0" fillId="0" borderId="1" xfId="0" applyNumberFormat="1" applyBorder="1" applyAlignment="1">
      <alignment vertical="center"/>
    </xf>
    <xf numFmtId="9" fontId="0" fillId="0" borderId="1" xfId="0" applyNumberFormat="1" applyBorder="1" applyAlignment="1">
      <alignment horizontal="left" vertical="center"/>
    </xf>
    <xf numFmtId="164" fontId="13" fillId="0" borderId="1" xfId="2" applyNumberFormat="1" applyFont="1" applyFill="1" applyBorder="1" applyAlignment="1">
      <alignment vertical="center"/>
    </xf>
    <xf numFmtId="165" fontId="0" fillId="0" borderId="0" xfId="1" applyNumberFormat="1" applyFont="1" applyAlignment="1">
      <alignment vertical="center"/>
    </xf>
    <xf numFmtId="0" fontId="16" fillId="0" borderId="0" xfId="0" applyFont="1" applyAlignment="1">
      <alignment vertical="center"/>
    </xf>
    <xf numFmtId="0" fontId="0" fillId="0" borderId="1" xfId="0" applyBorder="1" applyAlignment="1">
      <alignment wrapText="1"/>
    </xf>
    <xf numFmtId="0" fontId="0" fillId="0" borderId="0" xfId="0" applyBorder="1" applyAlignment="1">
      <alignment wrapText="1"/>
    </xf>
    <xf numFmtId="0" fontId="10" fillId="0" borderId="1" xfId="0" applyFont="1" applyBorder="1"/>
    <xf numFmtId="0" fontId="0" fillId="6" borderId="0" xfId="0" applyFill="1" applyBorder="1" applyAlignment="1">
      <alignment horizontal="left" wrapText="1"/>
    </xf>
    <xf numFmtId="0" fontId="0" fillId="0" borderId="1" xfId="0" applyBorder="1" applyAlignment="1">
      <alignment horizontal="center"/>
    </xf>
    <xf numFmtId="0" fontId="0" fillId="0" borderId="1" xfId="0" applyBorder="1" applyAlignment="1">
      <alignment wrapText="1"/>
    </xf>
    <xf numFmtId="0" fontId="0" fillId="0" borderId="0" xfId="0" applyFill="1" applyBorder="1" applyAlignment="1">
      <alignment horizontal="center"/>
    </xf>
    <xf numFmtId="0" fontId="0" fillId="0" borderId="0" xfId="0" applyBorder="1" applyAlignment="1">
      <alignment horizontal="center"/>
    </xf>
    <xf numFmtId="0" fontId="0" fillId="0" borderId="0" xfId="0" applyBorder="1" applyAlignment="1">
      <alignment horizontal="left"/>
    </xf>
    <xf numFmtId="0" fontId="17" fillId="5" borderId="6" xfId="0" applyFont="1" applyFill="1" applyBorder="1" applyAlignment="1">
      <alignment horizontal="center"/>
    </xf>
    <xf numFmtId="0" fontId="0" fillId="0" borderId="7" xfId="0" applyBorder="1" applyAlignment="1">
      <alignment horizontal="left"/>
    </xf>
    <xf numFmtId="0" fontId="0" fillId="0" borderId="26" xfId="0" applyBorder="1" applyAlignment="1">
      <alignment horizontal="left"/>
    </xf>
    <xf numFmtId="0" fontId="0" fillId="0" borderId="12" xfId="0" applyBorder="1" applyAlignment="1">
      <alignment wrapText="1"/>
    </xf>
    <xf numFmtId="0" fontId="0" fillId="0" borderId="12" xfId="0" applyBorder="1"/>
    <xf numFmtId="0" fontId="0" fillId="0" borderId="5" xfId="0" applyBorder="1" applyAlignment="1">
      <alignment horizontal="left"/>
    </xf>
    <xf numFmtId="0" fontId="0" fillId="0" borderId="19" xfId="0" applyBorder="1" applyAlignment="1">
      <alignment horizontal="left" vertical="center"/>
    </xf>
    <xf numFmtId="0" fontId="0" fillId="0" borderId="7" xfId="0" applyBorder="1" applyAlignment="1">
      <alignment horizontal="left" vertical="center"/>
    </xf>
    <xf numFmtId="0" fontId="19" fillId="0" borderId="1" xfId="0" applyFont="1" applyBorder="1" applyAlignment="1">
      <alignment horizontal="left" wrapText="1"/>
    </xf>
    <xf numFmtId="0" fontId="0" fillId="0" borderId="31" xfId="0" applyBorder="1" applyAlignment="1">
      <alignment horizontal="left"/>
    </xf>
    <xf numFmtId="0" fontId="0" fillId="0" borderId="32" xfId="0" applyBorder="1" applyAlignment="1">
      <alignment horizontal="left"/>
    </xf>
    <xf numFmtId="0" fontId="0" fillId="0" borderId="48" xfId="0" applyBorder="1" applyAlignment="1">
      <alignment horizontal="left"/>
    </xf>
    <xf numFmtId="0" fontId="0" fillId="0" borderId="10" xfId="0" applyBorder="1" applyAlignment="1">
      <alignment horizontal="left" wrapText="1"/>
    </xf>
    <xf numFmtId="0" fontId="0" fillId="0" borderId="26" xfId="0" applyBorder="1" applyAlignment="1">
      <alignment horizontal="left"/>
    </xf>
    <xf numFmtId="0" fontId="0" fillId="0" borderId="29" xfId="0" applyBorder="1" applyAlignment="1">
      <alignment horizontal="left"/>
    </xf>
    <xf numFmtId="0" fontId="0" fillId="0" borderId="33" xfId="0" applyBorder="1" applyAlignment="1">
      <alignment horizontal="left"/>
    </xf>
    <xf numFmtId="0" fontId="2" fillId="0" borderId="42" xfId="0" applyFont="1" applyBorder="1" applyAlignment="1">
      <alignment horizontal="left"/>
    </xf>
    <xf numFmtId="0" fontId="10" fillId="0" borderId="25"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10" xfId="0" applyFont="1" applyBorder="1" applyAlignment="1">
      <alignment horizontal="center" vertical="center" wrapText="1"/>
    </xf>
    <xf numFmtId="0" fontId="17" fillId="5" borderId="27" xfId="0" applyFont="1" applyFill="1" applyBorder="1" applyAlignment="1">
      <alignment horizontal="center" wrapText="1"/>
    </xf>
    <xf numFmtId="0" fontId="17" fillId="5" borderId="28" xfId="0" applyFont="1" applyFill="1" applyBorder="1" applyAlignment="1">
      <alignment horizontal="center" wrapText="1"/>
    </xf>
    <xf numFmtId="0" fontId="0" fillId="0" borderId="13" xfId="0" applyBorder="1" applyAlignment="1">
      <alignment horizontal="center" vertical="center"/>
    </xf>
    <xf numFmtId="0" fontId="0" fillId="0" borderId="19"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wrapText="1"/>
    </xf>
    <xf numFmtId="0" fontId="0" fillId="0" borderId="21" xfId="0" applyBorder="1" applyAlignment="1">
      <alignment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 xfId="0" applyBorder="1" applyAlignment="1">
      <alignment horizontal="left" wrapText="1"/>
    </xf>
    <xf numFmtId="0" fontId="0" fillId="0" borderId="21" xfId="0" applyBorder="1" applyAlignment="1">
      <alignment horizontal="left" wrapText="1"/>
    </xf>
    <xf numFmtId="0" fontId="10" fillId="0" borderId="49" xfId="0" applyFont="1" applyBorder="1" applyAlignment="1">
      <alignment horizontal="center" vertical="center" wrapText="1"/>
    </xf>
    <xf numFmtId="0" fontId="10" fillId="0" borderId="50" xfId="0" applyFont="1" applyBorder="1" applyAlignment="1">
      <alignment horizontal="center" vertical="center" wrapText="1"/>
    </xf>
    <xf numFmtId="0" fontId="10" fillId="0" borderId="51" xfId="0" applyFont="1" applyBorder="1" applyAlignment="1">
      <alignment horizontal="center" vertical="center" wrapText="1"/>
    </xf>
    <xf numFmtId="0" fontId="0" fillId="0" borderId="36" xfId="0" applyBorder="1" applyAlignment="1">
      <alignment horizontal="left" wrapText="1"/>
    </xf>
    <xf numFmtId="0" fontId="0" fillId="0" borderId="6" xfId="0" applyBorder="1" applyAlignment="1">
      <alignment horizontal="left" wrapText="1"/>
    </xf>
    <xf numFmtId="0" fontId="0" fillId="5" borderId="55" xfId="0" applyFont="1" applyFill="1" applyBorder="1" applyAlignment="1">
      <alignment horizontal="left" wrapText="1"/>
    </xf>
    <xf numFmtId="0" fontId="0" fillId="5" borderId="0" xfId="0" applyFont="1" applyFill="1" applyBorder="1" applyAlignment="1">
      <alignment horizontal="left" wrapText="1"/>
    </xf>
    <xf numFmtId="0" fontId="17" fillId="5" borderId="34" xfId="0" applyFont="1" applyFill="1" applyBorder="1" applyAlignment="1">
      <alignment horizontal="center" wrapText="1"/>
    </xf>
    <xf numFmtId="0" fontId="0" fillId="0" borderId="39" xfId="0" applyBorder="1" applyAlignment="1">
      <alignment horizontal="left" wrapText="1"/>
    </xf>
    <xf numFmtId="0" fontId="0" fillId="0" borderId="40" xfId="0" applyBorder="1" applyAlignment="1">
      <alignment horizontal="left" wrapText="1"/>
    </xf>
    <xf numFmtId="0" fontId="0" fillId="0" borderId="41" xfId="0" applyBorder="1" applyAlignment="1">
      <alignment horizontal="left" wrapText="1"/>
    </xf>
    <xf numFmtId="0" fontId="17" fillId="5" borderId="1" xfId="0" applyFont="1" applyFill="1" applyBorder="1" applyAlignment="1">
      <alignment horizontal="center"/>
    </xf>
    <xf numFmtId="0" fontId="0" fillId="0" borderId="1" xfId="0" applyBorder="1" applyAlignment="1">
      <alignment horizontal="left" vertical="center" wrapText="1"/>
    </xf>
    <xf numFmtId="0" fontId="0" fillId="0" borderId="26" xfId="0" applyBorder="1" applyAlignment="1">
      <alignment horizontal="left" wrapText="1"/>
    </xf>
    <xf numFmtId="0" fontId="0" fillId="0" borderId="15" xfId="0" applyBorder="1" applyAlignment="1">
      <alignment horizontal="left" wrapText="1"/>
    </xf>
    <xf numFmtId="0" fontId="0" fillId="0" borderId="29" xfId="0" applyBorder="1" applyAlignment="1">
      <alignment horizontal="left" wrapText="1"/>
    </xf>
    <xf numFmtId="0" fontId="0" fillId="0" borderId="56" xfId="0" applyBorder="1" applyAlignment="1">
      <alignment horizontal="left" wrapText="1"/>
    </xf>
    <xf numFmtId="0" fontId="0" fillId="0" borderId="25" xfId="0" applyBorder="1" applyAlignment="1">
      <alignment horizontal="left" wrapText="1"/>
    </xf>
    <xf numFmtId="0" fontId="0" fillId="0" borderId="55" xfId="0" applyBorder="1" applyAlignment="1">
      <alignment horizontal="center"/>
    </xf>
    <xf numFmtId="0" fontId="0" fillId="0" borderId="0" xfId="0" applyAlignment="1">
      <alignment horizontal="center"/>
    </xf>
    <xf numFmtId="0" fontId="17" fillId="5" borderId="4" xfId="0" applyFont="1" applyFill="1" applyBorder="1" applyAlignment="1">
      <alignment horizontal="center"/>
    </xf>
    <xf numFmtId="0" fontId="17" fillId="5" borderId="3" xfId="0" applyFont="1" applyFill="1" applyBorder="1" applyAlignment="1">
      <alignment horizontal="center"/>
    </xf>
    <xf numFmtId="0" fontId="17" fillId="5" borderId="6" xfId="0" applyFont="1" applyFill="1" applyBorder="1" applyAlignment="1">
      <alignment horizontal="center"/>
    </xf>
    <xf numFmtId="0" fontId="17" fillId="5" borderId="36" xfId="0" applyFont="1" applyFill="1" applyBorder="1" applyAlignment="1">
      <alignment horizontal="center"/>
    </xf>
    <xf numFmtId="0" fontId="10" fillId="0" borderId="8" xfId="0" applyFont="1" applyFill="1" applyBorder="1" applyAlignment="1">
      <alignment horizontal="center" vertical="center"/>
    </xf>
    <xf numFmtId="0" fontId="10" fillId="0" borderId="11" xfId="0" applyFont="1" applyFill="1" applyBorder="1" applyAlignment="1">
      <alignment horizontal="center" vertical="center"/>
    </xf>
    <xf numFmtId="0" fontId="10" fillId="0" borderId="9" xfId="0" applyFont="1" applyFill="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19" fillId="0" borderId="0" xfId="0" applyFont="1" applyAlignment="1">
      <alignment wrapText="1"/>
    </xf>
    <xf numFmtId="0" fontId="22" fillId="6" borderId="20" xfId="0" applyFont="1" applyFill="1" applyBorder="1" applyAlignment="1">
      <alignment horizontal="left" vertical="center" wrapText="1"/>
    </xf>
    <xf numFmtId="0" fontId="22" fillId="6" borderId="17" xfId="0" applyFont="1" applyFill="1" applyBorder="1" applyAlignment="1">
      <alignment horizontal="left" wrapText="1"/>
    </xf>
    <xf numFmtId="0" fontId="22" fillId="6" borderId="17" xfId="0" applyFont="1" applyFill="1" applyBorder="1" applyAlignment="1">
      <alignment horizontal="left" vertical="center" wrapText="1"/>
    </xf>
    <xf numFmtId="0" fontId="22" fillId="6" borderId="1" xfId="0" applyFont="1" applyFill="1" applyBorder="1" applyAlignment="1">
      <alignment horizontal="left" wrapText="1"/>
    </xf>
    <xf numFmtId="0" fontId="22" fillId="6" borderId="22" xfId="0" applyFont="1" applyFill="1" applyBorder="1" applyAlignment="1">
      <alignment horizontal="left" vertical="center" wrapText="1"/>
    </xf>
    <xf numFmtId="0" fontId="22" fillId="6" borderId="1" xfId="0" applyFont="1" applyFill="1" applyBorder="1" applyAlignment="1">
      <alignment horizontal="left" vertical="center" wrapText="1"/>
    </xf>
    <xf numFmtId="0" fontId="21" fillId="6" borderId="1" xfId="0" applyFont="1" applyFill="1" applyBorder="1" applyAlignment="1"/>
    <xf numFmtId="0" fontId="21" fillId="6" borderId="1" xfId="0" applyFont="1" applyFill="1" applyBorder="1" applyAlignment="1">
      <alignment horizontal="center"/>
    </xf>
    <xf numFmtId="0" fontId="22" fillId="6" borderId="1" xfId="0" applyFont="1" applyFill="1" applyBorder="1" applyAlignment="1">
      <alignment horizontal="center"/>
    </xf>
    <xf numFmtId="0" fontId="22" fillId="6" borderId="1" xfId="0" applyFont="1" applyFill="1" applyBorder="1" applyAlignment="1">
      <alignment wrapText="1"/>
    </xf>
    <xf numFmtId="0" fontId="22" fillId="6" borderId="24" xfId="0" applyFont="1" applyFill="1" applyBorder="1" applyAlignment="1">
      <alignment horizontal="left" wrapText="1"/>
    </xf>
    <xf numFmtId="0" fontId="22" fillId="6" borderId="2" xfId="0" applyFont="1" applyFill="1" applyBorder="1" applyAlignment="1">
      <alignment horizontal="left" wrapText="1"/>
    </xf>
    <xf numFmtId="0" fontId="22" fillId="6" borderId="10" xfId="0" applyFont="1" applyFill="1" applyBorder="1" applyAlignment="1">
      <alignment horizontal="left" wrapText="1"/>
    </xf>
    <xf numFmtId="0" fontId="22" fillId="6" borderId="0" xfId="0" applyFont="1" applyFill="1" applyBorder="1" applyAlignment="1">
      <alignment horizontal="left" wrapText="1"/>
    </xf>
    <xf numFmtId="0" fontId="22" fillId="6" borderId="0" xfId="0" applyFont="1" applyFill="1" applyAlignment="1">
      <alignment horizontal="left"/>
    </xf>
    <xf numFmtId="0" fontId="22" fillId="6" borderId="27" xfId="0" applyFont="1" applyFill="1" applyBorder="1" applyAlignment="1">
      <alignment vertical="center" wrapText="1"/>
    </xf>
    <xf numFmtId="0" fontId="22" fillId="6" borderId="27" xfId="0" applyFont="1" applyFill="1" applyBorder="1" applyAlignment="1">
      <alignment wrapText="1"/>
    </xf>
    <xf numFmtId="0" fontId="22" fillId="6" borderId="27" xfId="0" applyFont="1" applyFill="1" applyBorder="1" applyAlignment="1">
      <alignment wrapText="1"/>
    </xf>
    <xf numFmtId="0" fontId="22" fillId="6" borderId="28" xfId="0" applyFont="1" applyFill="1" applyBorder="1" applyAlignment="1">
      <alignment wrapText="1"/>
    </xf>
    <xf numFmtId="0" fontId="22" fillId="6" borderId="0" xfId="0" applyFont="1" applyFill="1" applyBorder="1" applyAlignment="1">
      <alignment wrapText="1"/>
    </xf>
    <xf numFmtId="0" fontId="22" fillId="6" borderId="1" xfId="0" applyFont="1" applyFill="1" applyBorder="1" applyAlignment="1">
      <alignment vertical="center" wrapText="1"/>
    </xf>
    <xf numFmtId="0" fontId="22" fillId="6" borderId="1" xfId="0" applyFont="1" applyFill="1" applyBorder="1" applyAlignment="1">
      <alignment wrapText="1"/>
    </xf>
    <xf numFmtId="0" fontId="22" fillId="6" borderId="21" xfId="0" applyFont="1" applyFill="1" applyBorder="1" applyAlignment="1">
      <alignment wrapText="1"/>
    </xf>
    <xf numFmtId="0" fontId="22" fillId="6" borderId="23" xfId="0" applyFont="1" applyFill="1" applyBorder="1" applyAlignment="1">
      <alignment vertical="center" wrapText="1"/>
    </xf>
    <xf numFmtId="0" fontId="22" fillId="6" borderId="16" xfId="0" applyFont="1" applyFill="1" applyBorder="1" applyAlignment="1">
      <alignment wrapText="1"/>
    </xf>
    <xf numFmtId="0" fontId="22" fillId="6" borderId="16" xfId="0" applyFont="1" applyFill="1" applyBorder="1" applyAlignment="1">
      <alignment wrapText="1"/>
    </xf>
    <xf numFmtId="0" fontId="22" fillId="6" borderId="30" xfId="0" applyFont="1" applyFill="1" applyBorder="1" applyAlignment="1">
      <alignment wrapText="1"/>
    </xf>
    <xf numFmtId="0" fontId="22" fillId="6" borderId="27" xfId="0" applyFont="1" applyFill="1" applyBorder="1" applyAlignment="1">
      <alignment horizontal="left" vertical="center" wrapText="1"/>
    </xf>
    <xf numFmtId="0" fontId="22" fillId="6" borderId="27" xfId="0" applyFont="1" applyFill="1" applyBorder="1" applyAlignment="1">
      <alignment horizontal="left" wrapText="1"/>
    </xf>
    <xf numFmtId="0" fontId="22" fillId="6" borderId="27" xfId="0" applyFont="1" applyFill="1" applyBorder="1" applyAlignment="1">
      <alignment horizontal="left" wrapText="1"/>
    </xf>
    <xf numFmtId="0" fontId="22" fillId="6" borderId="53" xfId="0" applyFont="1" applyFill="1" applyBorder="1" applyAlignment="1">
      <alignment horizontal="left" wrapText="1"/>
    </xf>
    <xf numFmtId="0" fontId="22" fillId="6" borderId="1" xfId="0" applyFont="1" applyFill="1" applyBorder="1" applyAlignment="1">
      <alignment horizontal="left" vertical="center" wrapText="1"/>
    </xf>
    <xf numFmtId="0" fontId="22" fillId="6" borderId="1" xfId="0" applyFont="1" applyFill="1" applyBorder="1" applyAlignment="1">
      <alignment horizontal="left" wrapText="1"/>
    </xf>
    <xf numFmtId="0" fontId="22" fillId="6" borderId="8" xfId="0" applyFont="1" applyFill="1" applyBorder="1" applyAlignment="1">
      <alignment horizontal="left" vertical="center" wrapText="1"/>
    </xf>
    <xf numFmtId="0" fontId="22" fillId="6" borderId="16" xfId="0" applyFont="1" applyFill="1" applyBorder="1" applyAlignment="1">
      <alignment horizontal="left" vertical="center" wrapText="1"/>
    </xf>
    <xf numFmtId="0" fontId="22" fillId="6" borderId="16" xfId="0" applyFont="1" applyFill="1" applyBorder="1" applyAlignment="1">
      <alignment horizontal="left" wrapText="1"/>
    </xf>
    <xf numFmtId="0" fontId="22" fillId="6" borderId="54" xfId="0" applyFont="1" applyFill="1" applyBorder="1" applyAlignment="1">
      <alignment horizontal="left" vertical="center" wrapText="1"/>
    </xf>
    <xf numFmtId="0" fontId="22" fillId="6" borderId="28" xfId="0" applyFont="1" applyFill="1" applyBorder="1" applyAlignment="1">
      <alignment horizontal="left" vertical="center" wrapText="1"/>
    </xf>
    <xf numFmtId="0" fontId="22" fillId="6" borderId="9" xfId="0" applyFont="1" applyFill="1" applyBorder="1" applyAlignment="1">
      <alignment horizontal="center" vertical="center" wrapText="1"/>
    </xf>
    <xf numFmtId="0" fontId="22" fillId="6" borderId="1" xfId="0" applyFont="1" applyFill="1" applyBorder="1" applyAlignment="1">
      <alignment horizontal="center" vertical="center" wrapText="1"/>
    </xf>
    <xf numFmtId="0" fontId="22" fillId="6" borderId="21" xfId="0" applyFont="1" applyFill="1" applyBorder="1" applyAlignment="1">
      <alignment horizontal="left" vertical="center" wrapText="1"/>
    </xf>
    <xf numFmtId="0" fontId="22" fillId="6" borderId="23" xfId="0" applyFont="1" applyFill="1" applyBorder="1" applyAlignment="1">
      <alignment horizontal="left" vertical="center" wrapText="1"/>
    </xf>
    <xf numFmtId="0" fontId="22" fillId="6" borderId="23" xfId="0" applyFont="1" applyFill="1" applyBorder="1" applyAlignment="1">
      <alignment horizontal="left" wrapText="1"/>
    </xf>
    <xf numFmtId="0" fontId="22" fillId="6" borderId="35" xfId="0" applyFont="1" applyFill="1" applyBorder="1" applyAlignment="1">
      <alignment horizontal="left" vertical="center" wrapText="1"/>
    </xf>
    <xf numFmtId="0" fontId="22" fillId="6" borderId="4" xfId="0" applyFont="1" applyFill="1" applyBorder="1" applyAlignment="1">
      <alignment horizontal="left" wrapText="1"/>
    </xf>
    <xf numFmtId="0" fontId="22" fillId="6" borderId="3" xfId="0" applyFont="1" applyFill="1" applyBorder="1" applyAlignment="1">
      <alignment horizontal="left" wrapText="1"/>
    </xf>
    <xf numFmtId="0" fontId="22" fillId="6" borderId="6" xfId="0" applyFont="1" applyFill="1" applyBorder="1" applyAlignment="1">
      <alignment horizontal="left" wrapText="1"/>
    </xf>
    <xf numFmtId="0" fontId="22" fillId="6" borderId="52" xfId="0" applyFont="1" applyFill="1" applyBorder="1" applyAlignment="1">
      <alignment horizontal="left" wrapText="1"/>
    </xf>
    <xf numFmtId="0" fontId="22" fillId="6" borderId="14" xfId="0" applyFont="1" applyFill="1" applyBorder="1" applyAlignment="1">
      <alignment horizontal="left" wrapText="1"/>
    </xf>
    <xf numFmtId="0" fontId="22" fillId="6" borderId="15" xfId="0" applyFont="1" applyFill="1" applyBorder="1" applyAlignment="1">
      <alignment horizontal="left" wrapText="1"/>
    </xf>
    <xf numFmtId="0" fontId="22" fillId="0" borderId="37" xfId="0" applyFont="1" applyBorder="1" applyAlignment="1">
      <alignment horizontal="left" wrapText="1"/>
    </xf>
    <xf numFmtId="0" fontId="22" fillId="0" borderId="18" xfId="0" applyFont="1" applyBorder="1" applyAlignment="1">
      <alignment horizontal="left" wrapText="1"/>
    </xf>
    <xf numFmtId="0" fontId="22" fillId="0" borderId="22" xfId="0" applyFont="1" applyBorder="1" applyAlignment="1">
      <alignment horizontal="left" wrapText="1"/>
    </xf>
    <xf numFmtId="0" fontId="22" fillId="0" borderId="57" xfId="0" applyFont="1" applyBorder="1" applyAlignment="1">
      <alignment horizontal="left" wrapText="1"/>
    </xf>
    <xf numFmtId="0" fontId="0" fillId="6" borderId="5" xfId="0" applyFill="1" applyBorder="1" applyAlignment="1">
      <alignment horizontal="center" vertical="center" wrapText="1"/>
    </xf>
    <xf numFmtId="0" fontId="0" fillId="6" borderId="4" xfId="0" applyFill="1" applyBorder="1" applyAlignment="1">
      <alignment horizontal="center"/>
    </xf>
    <xf numFmtId="0" fontId="0" fillId="6" borderId="3" xfId="0" applyFill="1" applyBorder="1" applyAlignment="1">
      <alignment horizontal="center"/>
    </xf>
    <xf numFmtId="0" fontId="0" fillId="6" borderId="6" xfId="0" applyFill="1" applyBorder="1" applyAlignment="1">
      <alignment horizontal="center"/>
    </xf>
    <xf numFmtId="0" fontId="0" fillId="6" borderId="6" xfId="0" applyFill="1" applyBorder="1" applyAlignment="1">
      <alignment horizontal="center" vertical="center" wrapText="1"/>
    </xf>
    <xf numFmtId="0" fontId="0" fillId="6" borderId="25" xfId="0" applyFill="1" applyBorder="1" applyAlignment="1">
      <alignment horizontal="left" wrapText="1"/>
    </xf>
    <xf numFmtId="0" fontId="0" fillId="6" borderId="2" xfId="0" applyFill="1" applyBorder="1" applyAlignment="1">
      <alignment horizontal="left" wrapText="1"/>
    </xf>
    <xf numFmtId="0" fontId="0" fillId="6" borderId="10" xfId="0" applyFill="1" applyBorder="1" applyAlignment="1">
      <alignment horizontal="left" wrapText="1"/>
    </xf>
    <xf numFmtId="0" fontId="0" fillId="6" borderId="36" xfId="0" applyFill="1" applyBorder="1" applyAlignment="1">
      <alignment horizontal="center" vertical="center"/>
    </xf>
    <xf numFmtId="0" fontId="0" fillId="6" borderId="36" xfId="0" applyFill="1" applyBorder="1" applyAlignment="1">
      <alignment horizontal="center" vertical="center" wrapText="1"/>
    </xf>
    <xf numFmtId="0" fontId="0" fillId="6" borderId="3" xfId="0" applyFill="1" applyBorder="1" applyAlignment="1">
      <alignment horizontal="center" vertical="center" wrapText="1"/>
    </xf>
    <xf numFmtId="0" fontId="0" fillId="6" borderId="6" xfId="0" applyFill="1" applyBorder="1" applyAlignment="1">
      <alignment horizontal="center" vertical="center" wrapText="1"/>
    </xf>
    <xf numFmtId="0" fontId="0" fillId="6" borderId="26" xfId="0" applyFill="1" applyBorder="1" applyAlignment="1">
      <alignment horizontal="center" vertical="center"/>
    </xf>
    <xf numFmtId="0" fontId="0" fillId="6" borderId="31" xfId="0" applyFill="1" applyBorder="1" applyAlignment="1">
      <alignment horizontal="center" vertical="center"/>
    </xf>
    <xf numFmtId="0" fontId="0" fillId="6" borderId="34" xfId="0" applyFill="1" applyBorder="1" applyAlignment="1">
      <alignment horizontal="center" vertical="center"/>
    </xf>
    <xf numFmtId="0" fontId="0" fillId="6" borderId="4" xfId="0" applyFill="1" applyBorder="1" applyAlignment="1">
      <alignment horizontal="center" vertical="center"/>
    </xf>
    <xf numFmtId="0" fontId="0" fillId="6" borderId="6" xfId="0" applyFill="1" applyBorder="1" applyAlignment="1">
      <alignment horizontal="center" vertical="center"/>
    </xf>
    <xf numFmtId="0" fontId="0" fillId="6" borderId="12" xfId="0" applyFill="1" applyBorder="1" applyAlignment="1">
      <alignment horizontal="center" vertical="center"/>
    </xf>
    <xf numFmtId="0" fontId="0" fillId="6" borderId="5" xfId="0" applyFill="1" applyBorder="1" applyAlignment="1">
      <alignment horizontal="center" vertical="center"/>
    </xf>
    <xf numFmtId="0" fontId="0" fillId="6" borderId="37" xfId="0" applyFill="1" applyBorder="1" applyAlignment="1">
      <alignment horizontal="center" vertical="center" wrapText="1"/>
    </xf>
    <xf numFmtId="0" fontId="0" fillId="6" borderId="18" xfId="0" applyFill="1" applyBorder="1" applyAlignment="1">
      <alignment horizontal="center" vertical="center" wrapText="1"/>
    </xf>
    <xf numFmtId="0" fontId="0" fillId="6" borderId="36" xfId="0" applyFill="1" applyBorder="1" applyAlignment="1">
      <alignment horizontal="left" wrapText="1"/>
    </xf>
    <xf numFmtId="0" fontId="0" fillId="6" borderId="3" xfId="0" applyFill="1" applyBorder="1" applyAlignment="1">
      <alignment horizontal="left"/>
    </xf>
    <xf numFmtId="0" fontId="0" fillId="6" borderId="6" xfId="0" applyFill="1" applyBorder="1" applyAlignment="1">
      <alignment horizontal="left"/>
    </xf>
    <xf numFmtId="0" fontId="18" fillId="0" borderId="58" xfId="0" applyFont="1" applyBorder="1" applyAlignment="1">
      <alignment wrapText="1"/>
    </xf>
    <xf numFmtId="43" fontId="0" fillId="0" borderId="0" xfId="2" applyFont="1" applyBorder="1" applyAlignment="1">
      <alignment horizontal="center"/>
    </xf>
    <xf numFmtId="0" fontId="10" fillId="0" borderId="36"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6" xfId="0" applyFont="1" applyBorder="1" applyAlignment="1">
      <alignment horizontal="center" vertical="center" wrapText="1"/>
    </xf>
    <xf numFmtId="0" fontId="18" fillId="0" borderId="43" xfId="0" applyFont="1" applyBorder="1" applyAlignment="1">
      <alignment wrapText="1"/>
    </xf>
    <xf numFmtId="0" fontId="2" fillId="0" borderId="59" xfId="0" applyFont="1" applyBorder="1" applyAlignment="1">
      <alignment horizontal="left"/>
    </xf>
    <xf numFmtId="0" fontId="0" fillId="7" borderId="36" xfId="0" applyFill="1" applyBorder="1" applyAlignment="1">
      <alignment horizontal="center" wrapText="1"/>
    </xf>
    <xf numFmtId="0" fontId="0" fillId="7" borderId="3" xfId="0" applyFill="1" applyBorder="1" applyAlignment="1">
      <alignment horizontal="center" wrapText="1"/>
    </xf>
    <xf numFmtId="0" fontId="0" fillId="7" borderId="6" xfId="0" applyFill="1" applyBorder="1" applyAlignment="1">
      <alignment horizontal="center" wrapText="1"/>
    </xf>
    <xf numFmtId="0" fontId="22" fillId="0" borderId="4" xfId="0" applyFont="1" applyBorder="1" applyAlignment="1">
      <alignment horizontal="left" wrapText="1"/>
    </xf>
    <xf numFmtId="0" fontId="22" fillId="0" borderId="3" xfId="0" applyFont="1" applyBorder="1" applyAlignment="1">
      <alignment horizontal="left" wrapText="1"/>
    </xf>
    <xf numFmtId="0" fontId="22" fillId="0" borderId="6" xfId="0" applyFont="1" applyBorder="1" applyAlignment="1">
      <alignment horizontal="left" wrapText="1"/>
    </xf>
    <xf numFmtId="0" fontId="23" fillId="0" borderId="32" xfId="0" applyFont="1" applyBorder="1" applyAlignment="1">
      <alignment horizontal="right" vertical="center"/>
    </xf>
    <xf numFmtId="0" fontId="23" fillId="0" borderId="48" xfId="0" applyFont="1" applyBorder="1" applyAlignment="1">
      <alignment horizontal="right" vertical="center"/>
    </xf>
    <xf numFmtId="0" fontId="0" fillId="0" borderId="60" xfId="0" applyBorder="1" applyAlignment="1">
      <alignment horizontal="center" vertical="center" wrapText="1"/>
    </xf>
    <xf numFmtId="0" fontId="0" fillId="0" borderId="57" xfId="0" applyBorder="1" applyAlignment="1">
      <alignment horizontal="center" vertical="center" wrapText="1"/>
    </xf>
    <xf numFmtId="164" fontId="23" fillId="0" borderId="1" xfId="2" applyNumberFormat="1" applyFont="1" applyBorder="1" applyAlignment="1">
      <alignment horizontal="right" vertical="center"/>
    </xf>
    <xf numFmtId="164" fontId="23" fillId="0" borderId="23" xfId="2" applyNumberFormat="1" applyFont="1" applyBorder="1" applyAlignment="1">
      <alignment horizontal="right" vertical="center"/>
    </xf>
    <xf numFmtId="0" fontId="23" fillId="0" borderId="45" xfId="0" applyFont="1" applyBorder="1" applyAlignment="1">
      <alignment horizontal="right" vertical="center"/>
    </xf>
    <xf numFmtId="164" fontId="23" fillId="0" borderId="17" xfId="2" applyNumberFormat="1" applyFont="1" applyBorder="1" applyAlignment="1">
      <alignment horizontal="right" vertical="center"/>
    </xf>
    <xf numFmtId="0" fontId="23" fillId="0" borderId="5" xfId="0" applyFont="1" applyBorder="1" applyAlignment="1">
      <alignment horizontal="center" vertical="center"/>
    </xf>
    <xf numFmtId="0" fontId="23" fillId="0" borderId="37" xfId="0" applyFont="1" applyBorder="1" applyAlignment="1">
      <alignment horizontal="center" vertical="center"/>
    </xf>
    <xf numFmtId="0" fontId="0" fillId="0" borderId="18" xfId="0" applyBorder="1"/>
  </cellXfs>
  <cellStyles count="12">
    <cellStyle name="Comma" xfId="2" builtinId="3"/>
    <cellStyle name="Comma 2" xfId="3"/>
    <cellStyle name="Comma 2 2" xfId="4"/>
    <cellStyle name="Comma 2 3" xfId="5"/>
    <cellStyle name="Comma 3" xfId="6"/>
    <cellStyle name="Comma 4" xfId="7"/>
    <cellStyle name="Comma 5" xfId="8"/>
    <cellStyle name="Normal" xfId="0" builtinId="0"/>
    <cellStyle name="Normal 2" xfId="9"/>
    <cellStyle name="Normal 3" xfId="10"/>
    <cellStyle name="Percent" xfId="1" builtinId="5"/>
    <cellStyle name="Percent 2" xfId="11"/>
  </cellStyles>
  <dxfs count="2">
    <dxf>
      <font>
        <color theme="1"/>
      </font>
      <fill>
        <patternFill>
          <bgColor theme="6" tint="0.39994506668294322"/>
        </patternFill>
      </fill>
    </dxf>
    <dxf>
      <font>
        <color theme="1"/>
      </font>
      <fill>
        <patternFill>
          <bgColor theme="6"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0505249343832E-2"/>
          <c:y val="7.4025534943725255E-2"/>
          <c:w val="0.58850764242704956"/>
          <c:h val="0.84064949508430087"/>
        </c:manualLayout>
      </c:layout>
      <c:scatterChart>
        <c:scatterStyle val="smoothMarker"/>
        <c:varyColors val="0"/>
        <c:ser>
          <c:idx val="2"/>
          <c:order val="0"/>
          <c:tx>
            <c:strRef>
              <c:f>Parameters!$D$13</c:f>
              <c:strCache>
                <c:ptCount val="1"/>
                <c:pt idx="0">
                  <c:v>NPL</c:v>
                </c:pt>
              </c:strCache>
            </c:strRef>
          </c:tx>
          <c:marker>
            <c:symbol val="none"/>
          </c:marker>
          <c:xVal>
            <c:numRef>
              <c:f>Parameters!$B$14:$B$21</c:f>
              <c:numCache>
                <c:formatCode>General</c:formatCode>
                <c:ptCount val="8"/>
                <c:pt idx="0">
                  <c:v>424.5</c:v>
                </c:pt>
                <c:pt idx="1">
                  <c:v>474.5</c:v>
                </c:pt>
                <c:pt idx="2">
                  <c:v>524.5</c:v>
                </c:pt>
                <c:pt idx="3">
                  <c:v>574.5</c:v>
                </c:pt>
                <c:pt idx="4">
                  <c:v>624.5</c:v>
                </c:pt>
                <c:pt idx="5">
                  <c:v>674.5</c:v>
                </c:pt>
                <c:pt idx="6">
                  <c:v>724.5</c:v>
                </c:pt>
                <c:pt idx="7">
                  <c:v>774.5</c:v>
                </c:pt>
              </c:numCache>
            </c:numRef>
          </c:xVal>
          <c:yVal>
            <c:numRef>
              <c:f>Parameters!$D$14:$D$21</c:f>
              <c:numCache>
                <c:formatCode>0%</c:formatCode>
                <c:ptCount val="8"/>
                <c:pt idx="0">
                  <c:v>0.6</c:v>
                </c:pt>
                <c:pt idx="1">
                  <c:v>0.37777777777777777</c:v>
                </c:pt>
                <c:pt idx="2">
                  <c:v>0.1796875</c:v>
                </c:pt>
                <c:pt idx="3">
                  <c:v>3.3333333333333333E-2</c:v>
                </c:pt>
                <c:pt idx="4">
                  <c:v>2.3696682464454975E-2</c:v>
                </c:pt>
                <c:pt idx="5">
                  <c:v>0</c:v>
                </c:pt>
                <c:pt idx="6">
                  <c:v>0</c:v>
                </c:pt>
                <c:pt idx="7">
                  <c:v>0</c:v>
                </c:pt>
              </c:numCache>
            </c:numRef>
          </c:yVal>
          <c:smooth val="1"/>
        </c:ser>
        <c:ser>
          <c:idx val="1"/>
          <c:order val="1"/>
          <c:tx>
            <c:strRef>
              <c:f>Parameters!$E$13</c:f>
              <c:strCache>
                <c:ptCount val="1"/>
                <c:pt idx="0">
                  <c:v>NPL comululative</c:v>
                </c:pt>
              </c:strCache>
            </c:strRef>
          </c:tx>
          <c:marker>
            <c:symbol val="none"/>
          </c:marker>
          <c:xVal>
            <c:numRef>
              <c:f>Parameters!$B$14:$B$21</c:f>
              <c:numCache>
                <c:formatCode>General</c:formatCode>
                <c:ptCount val="8"/>
                <c:pt idx="0">
                  <c:v>424.5</c:v>
                </c:pt>
                <c:pt idx="1">
                  <c:v>474.5</c:v>
                </c:pt>
                <c:pt idx="2">
                  <c:v>524.5</c:v>
                </c:pt>
                <c:pt idx="3">
                  <c:v>574.5</c:v>
                </c:pt>
                <c:pt idx="4">
                  <c:v>624.5</c:v>
                </c:pt>
                <c:pt idx="5">
                  <c:v>674.5</c:v>
                </c:pt>
                <c:pt idx="6">
                  <c:v>724.5</c:v>
                </c:pt>
                <c:pt idx="7">
                  <c:v>774.5</c:v>
                </c:pt>
              </c:numCache>
            </c:numRef>
          </c:xVal>
          <c:yVal>
            <c:numRef>
              <c:f>Parameters!$E$14:$E$21</c:f>
              <c:numCache>
                <c:formatCode>0%</c:formatCode>
                <c:ptCount val="8"/>
                <c:pt idx="0">
                  <c:v>0.6</c:v>
                </c:pt>
                <c:pt idx="1">
                  <c:v>0.4</c:v>
                </c:pt>
                <c:pt idx="2">
                  <c:v>0.24157303370786518</c:v>
                </c:pt>
                <c:pt idx="3">
                  <c:v>0.12886597938144329</c:v>
                </c:pt>
                <c:pt idx="4">
                  <c:v>9.1819699499165269E-2</c:v>
                </c:pt>
                <c:pt idx="5">
                  <c:v>7.1895424836601302E-2</c:v>
                </c:pt>
                <c:pt idx="6">
                  <c:v>6.3145809414466125E-2</c:v>
                </c:pt>
                <c:pt idx="7">
                  <c:v>6.2358276643990927E-2</c:v>
                </c:pt>
              </c:numCache>
            </c:numRef>
          </c:yVal>
          <c:smooth val="1"/>
        </c:ser>
        <c:ser>
          <c:idx val="0"/>
          <c:order val="2"/>
          <c:tx>
            <c:strRef>
              <c:f>Parameters!$F$13</c:f>
              <c:strCache>
                <c:ptCount val="1"/>
                <c:pt idx="0">
                  <c:v>NPL (from cumul.)</c:v>
                </c:pt>
              </c:strCache>
            </c:strRef>
          </c:tx>
          <c:marker>
            <c:symbol val="none"/>
          </c:marker>
          <c:trendline>
            <c:trendlineType val="log"/>
            <c:dispRSqr val="1"/>
            <c:dispEq val="1"/>
            <c:trendlineLbl>
              <c:layout>
                <c:manualLayout>
                  <c:x val="0.28947069116360458"/>
                  <c:y val="-0.72026825036700926"/>
                </c:manualLayout>
              </c:layout>
              <c:numFmt formatCode="#,##0.00" sourceLinked="0"/>
            </c:trendlineLbl>
          </c:trendline>
          <c:xVal>
            <c:numRef>
              <c:f>Parameters!$B$14:$B$21</c:f>
              <c:numCache>
                <c:formatCode>General</c:formatCode>
                <c:ptCount val="8"/>
                <c:pt idx="0">
                  <c:v>424.5</c:v>
                </c:pt>
                <c:pt idx="1">
                  <c:v>474.5</c:v>
                </c:pt>
                <c:pt idx="2">
                  <c:v>524.5</c:v>
                </c:pt>
                <c:pt idx="3">
                  <c:v>574.5</c:v>
                </c:pt>
                <c:pt idx="4">
                  <c:v>624.5</c:v>
                </c:pt>
                <c:pt idx="5">
                  <c:v>674.5</c:v>
                </c:pt>
                <c:pt idx="6">
                  <c:v>724.5</c:v>
                </c:pt>
                <c:pt idx="7">
                  <c:v>774.5</c:v>
                </c:pt>
              </c:numCache>
            </c:numRef>
          </c:xVal>
          <c:yVal>
            <c:numRef>
              <c:f>Parameters!$F$14:$F$21</c:f>
              <c:numCache>
                <c:formatCode>0.00%</c:formatCode>
                <c:ptCount val="8"/>
                <c:pt idx="0">
                  <c:v>0.65969847476024923</c:v>
                </c:pt>
                <c:pt idx="1">
                  <c:v>0.25205311836524102</c:v>
                </c:pt>
                <c:pt idx="2">
                  <c:v>0.10040706172504346</c:v>
                </c:pt>
                <c:pt idx="3">
                  <c:v>4.7063764824325754E-2</c:v>
                </c:pt>
                <c:pt idx="4">
                  <c:v>3.2728777744301302E-2</c:v>
                </c:pt>
                <c:pt idx="5">
                  <c:v>3.3751413531746849E-2</c:v>
                </c:pt>
                <c:pt idx="6">
                  <c:v>4.0351596488951175E-2</c:v>
                </c:pt>
                <c:pt idx="7">
                  <c:v>4.8441086135707329E-2</c:v>
                </c:pt>
              </c:numCache>
            </c:numRef>
          </c:yVal>
          <c:smooth val="1"/>
        </c:ser>
        <c:dLbls>
          <c:showLegendKey val="0"/>
          <c:showVal val="0"/>
          <c:showCatName val="0"/>
          <c:showSerName val="0"/>
          <c:showPercent val="0"/>
          <c:showBubbleSize val="0"/>
        </c:dLbls>
        <c:axId val="425521056"/>
        <c:axId val="425519880"/>
      </c:scatterChart>
      <c:valAx>
        <c:axId val="425521056"/>
        <c:scaling>
          <c:orientation val="minMax"/>
          <c:max val="800"/>
          <c:min val="400"/>
        </c:scaling>
        <c:delete val="0"/>
        <c:axPos val="b"/>
        <c:numFmt formatCode="General" sourceLinked="1"/>
        <c:majorTickMark val="out"/>
        <c:minorTickMark val="none"/>
        <c:tickLblPos val="nextTo"/>
        <c:crossAx val="425519880"/>
        <c:crosses val="autoZero"/>
        <c:crossBetween val="midCat"/>
      </c:valAx>
      <c:valAx>
        <c:axId val="425519880"/>
        <c:scaling>
          <c:orientation val="minMax"/>
          <c:max val="0.60000000000000009"/>
          <c:min val="-0.1"/>
        </c:scaling>
        <c:delete val="0"/>
        <c:axPos val="l"/>
        <c:numFmt formatCode="0%" sourceLinked="1"/>
        <c:majorTickMark val="out"/>
        <c:minorTickMark val="none"/>
        <c:tickLblPos val="nextTo"/>
        <c:crossAx val="425521056"/>
        <c:crosses val="autoZero"/>
        <c:crossBetween val="midCat"/>
        <c:majorUnit val="0.2"/>
        <c:minorUnit val="2.0000000000000004E-2"/>
      </c:valAx>
    </c:plotArea>
    <c:legend>
      <c:legendPos val="r"/>
      <c:layout>
        <c:manualLayout>
          <c:xMode val="edge"/>
          <c:yMode val="edge"/>
          <c:x val="0.72343657042869647"/>
          <c:y val="0.22787668490591217"/>
          <c:w val="0.2765635024788568"/>
          <c:h val="0.40865340984919257"/>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141966160317535E-2"/>
          <c:y val="6.5296473065856842E-2"/>
          <c:w val="0.58602700970162758"/>
          <c:h val="0.78957558563048724"/>
        </c:manualLayout>
      </c:layout>
      <c:scatterChart>
        <c:scatterStyle val="smoothMarker"/>
        <c:varyColors val="0"/>
        <c:ser>
          <c:idx val="0"/>
          <c:order val="0"/>
          <c:tx>
            <c:strRef>
              <c:f>Parameters!$K$13</c:f>
              <c:strCache>
                <c:ptCount val="1"/>
                <c:pt idx="0">
                  <c:v>NPL</c:v>
                </c:pt>
              </c:strCache>
            </c:strRef>
          </c:tx>
          <c:marker>
            <c:symbol val="none"/>
          </c:marker>
          <c:xVal>
            <c:numRef>
              <c:f>Parameters!$I$17:$I$34</c:f>
              <c:numCache>
                <c:formatCode>0%</c:formatCode>
                <c:ptCount val="18"/>
                <c:pt idx="0">
                  <c:v>0.55000000000000004</c:v>
                </c:pt>
                <c:pt idx="1">
                  <c:v>0.52</c:v>
                </c:pt>
                <c:pt idx="2">
                  <c:v>0.49</c:v>
                </c:pt>
                <c:pt idx="3">
                  <c:v>0.46</c:v>
                </c:pt>
                <c:pt idx="4">
                  <c:v>0.43</c:v>
                </c:pt>
                <c:pt idx="5">
                  <c:v>0.4</c:v>
                </c:pt>
                <c:pt idx="6">
                  <c:v>0.37</c:v>
                </c:pt>
                <c:pt idx="7">
                  <c:v>0.34</c:v>
                </c:pt>
                <c:pt idx="8">
                  <c:v>0.31</c:v>
                </c:pt>
                <c:pt idx="9">
                  <c:v>0.28000000000000003</c:v>
                </c:pt>
                <c:pt idx="10">
                  <c:v>0.25</c:v>
                </c:pt>
                <c:pt idx="11">
                  <c:v>0.22</c:v>
                </c:pt>
                <c:pt idx="12">
                  <c:v>0.19</c:v>
                </c:pt>
                <c:pt idx="13">
                  <c:v>0.16</c:v>
                </c:pt>
                <c:pt idx="14">
                  <c:v>0.13</c:v>
                </c:pt>
                <c:pt idx="15">
                  <c:v>0.1</c:v>
                </c:pt>
                <c:pt idx="16">
                  <c:v>6.9999999999999105E-2</c:v>
                </c:pt>
                <c:pt idx="17">
                  <c:v>3.9999999999999002E-2</c:v>
                </c:pt>
              </c:numCache>
            </c:numRef>
          </c:xVal>
          <c:yVal>
            <c:numRef>
              <c:f>Parameters!$K$17:$K$34</c:f>
              <c:numCache>
                <c:formatCode>0%</c:formatCode>
                <c:ptCount val="18"/>
                <c:pt idx="0">
                  <c:v>0.18181818181818182</c:v>
                </c:pt>
                <c:pt idx="1">
                  <c:v>9.0909090909090912E-2</c:v>
                </c:pt>
                <c:pt idx="2">
                  <c:v>6.6666666666666666E-2</c:v>
                </c:pt>
                <c:pt idx="3">
                  <c:v>0.14285714285714285</c:v>
                </c:pt>
                <c:pt idx="4">
                  <c:v>4.7619047619047616E-2</c:v>
                </c:pt>
                <c:pt idx="5">
                  <c:v>3.0303030303030304E-2</c:v>
                </c:pt>
                <c:pt idx="6">
                  <c:v>9.6774193548387094E-2</c:v>
                </c:pt>
                <c:pt idx="7">
                  <c:v>9.8039215686274508E-2</c:v>
                </c:pt>
                <c:pt idx="8">
                  <c:v>7.3170731707317069E-2</c:v>
                </c:pt>
                <c:pt idx="9">
                  <c:v>7.407407407407407E-2</c:v>
                </c:pt>
                <c:pt idx="10">
                  <c:v>6.8965517241379309E-2</c:v>
                </c:pt>
                <c:pt idx="11">
                  <c:v>8.9743589743589744E-2</c:v>
                </c:pt>
                <c:pt idx="12">
                  <c:v>1.834862385321101E-2</c:v>
                </c:pt>
                <c:pt idx="13">
                  <c:v>5.128205128205128E-2</c:v>
                </c:pt>
                <c:pt idx="14">
                  <c:v>3.7735849056603772E-2</c:v>
                </c:pt>
                <c:pt idx="15">
                  <c:v>7.407407407407407E-2</c:v>
                </c:pt>
                <c:pt idx="16">
                  <c:v>2.6315789473684209E-2</c:v>
                </c:pt>
                <c:pt idx="17">
                  <c:v>9.0909090909090912E-2</c:v>
                </c:pt>
              </c:numCache>
            </c:numRef>
          </c:yVal>
          <c:smooth val="1"/>
        </c:ser>
        <c:ser>
          <c:idx val="1"/>
          <c:order val="1"/>
          <c:tx>
            <c:strRef>
              <c:f>Parameters!$L$13</c:f>
              <c:strCache>
                <c:ptCount val="1"/>
                <c:pt idx="0">
                  <c:v>NPL comululative</c:v>
                </c:pt>
              </c:strCache>
            </c:strRef>
          </c:tx>
          <c:marker>
            <c:symbol val="none"/>
          </c:marker>
          <c:xVal>
            <c:numRef>
              <c:f>Parameters!$I$17:$I$34</c:f>
              <c:numCache>
                <c:formatCode>0%</c:formatCode>
                <c:ptCount val="18"/>
                <c:pt idx="0">
                  <c:v>0.55000000000000004</c:v>
                </c:pt>
                <c:pt idx="1">
                  <c:v>0.52</c:v>
                </c:pt>
                <c:pt idx="2">
                  <c:v>0.49</c:v>
                </c:pt>
                <c:pt idx="3">
                  <c:v>0.46</c:v>
                </c:pt>
                <c:pt idx="4">
                  <c:v>0.43</c:v>
                </c:pt>
                <c:pt idx="5">
                  <c:v>0.4</c:v>
                </c:pt>
                <c:pt idx="6">
                  <c:v>0.37</c:v>
                </c:pt>
                <c:pt idx="7">
                  <c:v>0.34</c:v>
                </c:pt>
                <c:pt idx="8">
                  <c:v>0.31</c:v>
                </c:pt>
                <c:pt idx="9">
                  <c:v>0.28000000000000003</c:v>
                </c:pt>
                <c:pt idx="10">
                  <c:v>0.25</c:v>
                </c:pt>
                <c:pt idx="11">
                  <c:v>0.22</c:v>
                </c:pt>
                <c:pt idx="12">
                  <c:v>0.19</c:v>
                </c:pt>
                <c:pt idx="13">
                  <c:v>0.16</c:v>
                </c:pt>
                <c:pt idx="14">
                  <c:v>0.13</c:v>
                </c:pt>
                <c:pt idx="15">
                  <c:v>0.1</c:v>
                </c:pt>
                <c:pt idx="16">
                  <c:v>6.9999999999999105E-2</c:v>
                </c:pt>
                <c:pt idx="17">
                  <c:v>3.9999999999999002E-2</c:v>
                </c:pt>
              </c:numCache>
            </c:numRef>
          </c:xVal>
          <c:yVal>
            <c:numRef>
              <c:f>Parameters!$L$17:$L$34</c:f>
              <c:numCache>
                <c:formatCode>0%</c:formatCode>
                <c:ptCount val="18"/>
                <c:pt idx="0">
                  <c:v>0.12820512820512819</c:v>
                </c:pt>
                <c:pt idx="1">
                  <c:v>0.12</c:v>
                </c:pt>
                <c:pt idx="2">
                  <c:v>0.1076923076923077</c:v>
                </c:pt>
                <c:pt idx="3">
                  <c:v>0.11392405063291139</c:v>
                </c:pt>
                <c:pt idx="4">
                  <c:v>0.1</c:v>
                </c:pt>
                <c:pt idx="5">
                  <c:v>8.2706766917293228E-2</c:v>
                </c:pt>
                <c:pt idx="6">
                  <c:v>8.5365853658536592E-2</c:v>
                </c:pt>
                <c:pt idx="7">
                  <c:v>8.8372093023255813E-2</c:v>
                </c:pt>
                <c:pt idx="8">
                  <c:v>8.59375E-2</c:v>
                </c:pt>
                <c:pt idx="9">
                  <c:v>8.387096774193549E-2</c:v>
                </c:pt>
                <c:pt idx="10">
                  <c:v>8.1521739130434784E-2</c:v>
                </c:pt>
                <c:pt idx="11">
                  <c:v>8.2959641255605385E-2</c:v>
                </c:pt>
                <c:pt idx="12">
                  <c:v>7.0270270270270274E-2</c:v>
                </c:pt>
                <c:pt idx="13">
                  <c:v>6.6964285714285712E-2</c:v>
                </c:pt>
                <c:pt idx="14">
                  <c:v>6.2982005141388173E-2</c:v>
                </c:pt>
                <c:pt idx="15">
                  <c:v>6.3701923076923073E-2</c:v>
                </c:pt>
                <c:pt idx="16">
                  <c:v>6.2068965517241378E-2</c:v>
                </c:pt>
                <c:pt idx="17">
                  <c:v>6.2429057888762768E-2</c:v>
                </c:pt>
              </c:numCache>
            </c:numRef>
          </c:yVal>
          <c:smooth val="1"/>
        </c:ser>
        <c:ser>
          <c:idx val="2"/>
          <c:order val="2"/>
          <c:tx>
            <c:strRef>
              <c:f>Parameters!$M$13</c:f>
              <c:strCache>
                <c:ptCount val="1"/>
                <c:pt idx="0">
                  <c:v>NPL (from cumul.)</c:v>
                </c:pt>
              </c:strCache>
            </c:strRef>
          </c:tx>
          <c:marker>
            <c:symbol val="none"/>
          </c:marker>
          <c:trendline>
            <c:trendlineType val="poly"/>
            <c:order val="2"/>
            <c:dispRSqr val="1"/>
            <c:dispEq val="1"/>
            <c:trendlineLbl>
              <c:layout>
                <c:manualLayout>
                  <c:x val="0.39283799811132947"/>
                  <c:y val="-0.31745171273457096"/>
                </c:manualLayout>
              </c:layout>
              <c:numFmt formatCode="#,##0.00" sourceLinked="0"/>
            </c:trendlineLbl>
          </c:trendline>
          <c:xVal>
            <c:numRef>
              <c:f>Parameters!$I$17:$I$34</c:f>
              <c:numCache>
                <c:formatCode>0%</c:formatCode>
                <c:ptCount val="18"/>
                <c:pt idx="0">
                  <c:v>0.55000000000000004</c:v>
                </c:pt>
                <c:pt idx="1">
                  <c:v>0.52</c:v>
                </c:pt>
                <c:pt idx="2">
                  <c:v>0.49</c:v>
                </c:pt>
                <c:pt idx="3">
                  <c:v>0.46</c:v>
                </c:pt>
                <c:pt idx="4">
                  <c:v>0.43</c:v>
                </c:pt>
                <c:pt idx="5">
                  <c:v>0.4</c:v>
                </c:pt>
                <c:pt idx="6">
                  <c:v>0.37</c:v>
                </c:pt>
                <c:pt idx="7">
                  <c:v>0.34</c:v>
                </c:pt>
                <c:pt idx="8">
                  <c:v>0.31</c:v>
                </c:pt>
                <c:pt idx="9">
                  <c:v>0.28000000000000003</c:v>
                </c:pt>
                <c:pt idx="10">
                  <c:v>0.25</c:v>
                </c:pt>
                <c:pt idx="11">
                  <c:v>0.22</c:v>
                </c:pt>
                <c:pt idx="12">
                  <c:v>0.19</c:v>
                </c:pt>
                <c:pt idx="13">
                  <c:v>0.16</c:v>
                </c:pt>
                <c:pt idx="14">
                  <c:v>0.13</c:v>
                </c:pt>
                <c:pt idx="15">
                  <c:v>0.1</c:v>
                </c:pt>
                <c:pt idx="16">
                  <c:v>6.9999999999999105E-2</c:v>
                </c:pt>
                <c:pt idx="17">
                  <c:v>3.9999999999999002E-2</c:v>
                </c:pt>
              </c:numCache>
            </c:numRef>
          </c:xVal>
          <c:yVal>
            <c:numRef>
              <c:f>Parameters!$M$17:$M$34</c:f>
              <c:numCache>
                <c:formatCode>0%</c:formatCode>
                <c:ptCount val="18"/>
                <c:pt idx="0">
                  <c:v>0.12362604737761307</c:v>
                </c:pt>
                <c:pt idx="1">
                  <c:v>0.11442378869395142</c:v>
                </c:pt>
                <c:pt idx="2">
                  <c:v>0.10580125410864727</c:v>
                </c:pt>
                <c:pt idx="3">
                  <c:v>9.7726351256749333E-2</c:v>
                </c:pt>
                <c:pt idx="4">
                  <c:v>9.0168645816570248E-2</c:v>
                </c:pt>
                <c:pt idx="5">
                  <c:v>8.3099279456911757E-2</c:v>
                </c:pt>
                <c:pt idx="6">
                  <c:v>7.6490891727106325E-2</c:v>
                </c:pt>
                <c:pt idx="7">
                  <c:v>7.0317545704433271E-2</c:v>
                </c:pt>
                <c:pt idx="8">
                  <c:v>6.4554657222038903E-2</c:v>
                </c:pt>
                <c:pt idx="9">
                  <c:v>5.9178927508684802E-2</c:v>
                </c:pt>
                <c:pt idx="10">
                  <c:v>5.4168279079458086E-2</c:v>
                </c:pt>
                <c:pt idx="11">
                  <c:v>4.9501794724046248E-2</c:v>
                </c:pt>
                <c:pt idx="12">
                  <c:v>4.5159659446281412E-2</c:v>
                </c:pt>
                <c:pt idx="13">
                  <c:v>4.1123105215464688E-2</c:v>
                </c:pt>
                <c:pt idx="14">
                  <c:v>3.7374358396443534E-2</c:v>
                </c:pt>
                <c:pt idx="15">
                  <c:v>3.3896589731621345E-2</c:v>
                </c:pt>
                <c:pt idx="16">
                  <c:v>3.067386675394889E-2</c:v>
                </c:pt>
                <c:pt idx="17">
                  <c:v>2.7691108515615619E-2</c:v>
                </c:pt>
              </c:numCache>
            </c:numRef>
          </c:yVal>
          <c:smooth val="1"/>
        </c:ser>
        <c:dLbls>
          <c:showLegendKey val="0"/>
          <c:showVal val="0"/>
          <c:showCatName val="0"/>
          <c:showSerName val="0"/>
          <c:showPercent val="0"/>
          <c:showBubbleSize val="0"/>
        </c:dLbls>
        <c:axId val="425524192"/>
        <c:axId val="425524584"/>
      </c:scatterChart>
      <c:valAx>
        <c:axId val="425524192"/>
        <c:scaling>
          <c:orientation val="minMax"/>
        </c:scaling>
        <c:delete val="0"/>
        <c:axPos val="b"/>
        <c:numFmt formatCode="0%" sourceLinked="1"/>
        <c:majorTickMark val="out"/>
        <c:minorTickMark val="none"/>
        <c:tickLblPos val="nextTo"/>
        <c:crossAx val="425524584"/>
        <c:crosses val="autoZero"/>
        <c:crossBetween val="midCat"/>
      </c:valAx>
      <c:valAx>
        <c:axId val="425524584"/>
        <c:scaling>
          <c:orientation val="minMax"/>
          <c:min val="0"/>
        </c:scaling>
        <c:delete val="0"/>
        <c:axPos val="l"/>
        <c:numFmt formatCode="0%" sourceLinked="1"/>
        <c:majorTickMark val="out"/>
        <c:minorTickMark val="none"/>
        <c:tickLblPos val="nextTo"/>
        <c:crossAx val="425524192"/>
        <c:crosses val="autoZero"/>
        <c:crossBetween val="midCat"/>
        <c:majorUnit val="4.0000000000000008E-2"/>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865550837558922E-2"/>
          <c:y val="6.709642158529712E-2"/>
          <c:w val="0.58195629192184306"/>
          <c:h val="0.7995611069324936"/>
        </c:manualLayout>
      </c:layout>
      <c:scatterChart>
        <c:scatterStyle val="smoothMarker"/>
        <c:varyColors val="0"/>
        <c:ser>
          <c:idx val="0"/>
          <c:order val="0"/>
          <c:tx>
            <c:strRef>
              <c:f>Parameters!$R$13</c:f>
              <c:strCache>
                <c:ptCount val="1"/>
                <c:pt idx="0">
                  <c:v>NPL</c:v>
                </c:pt>
              </c:strCache>
            </c:strRef>
          </c:tx>
          <c:marker>
            <c:symbol val="none"/>
          </c:marker>
          <c:xVal>
            <c:numRef>
              <c:f>Parameters!$P$14:$P$36</c:f>
              <c:numCache>
                <c:formatCode>0</c:formatCode>
                <c:ptCount val="23"/>
                <c:pt idx="0">
                  <c:v>18</c:v>
                </c:pt>
                <c:pt idx="1">
                  <c:v>20</c:v>
                </c:pt>
                <c:pt idx="2">
                  <c:v>22</c:v>
                </c:pt>
                <c:pt idx="3">
                  <c:v>24</c:v>
                </c:pt>
                <c:pt idx="4">
                  <c:v>26</c:v>
                </c:pt>
                <c:pt idx="5">
                  <c:v>28.000000000000004</c:v>
                </c:pt>
                <c:pt idx="6">
                  <c:v>30</c:v>
                </c:pt>
                <c:pt idx="7">
                  <c:v>32</c:v>
                </c:pt>
                <c:pt idx="8">
                  <c:v>34</c:v>
                </c:pt>
                <c:pt idx="9">
                  <c:v>36</c:v>
                </c:pt>
                <c:pt idx="10">
                  <c:v>38</c:v>
                </c:pt>
                <c:pt idx="11">
                  <c:v>40</c:v>
                </c:pt>
                <c:pt idx="12">
                  <c:v>42</c:v>
                </c:pt>
                <c:pt idx="13">
                  <c:v>44</c:v>
                </c:pt>
                <c:pt idx="14">
                  <c:v>46</c:v>
                </c:pt>
                <c:pt idx="15">
                  <c:v>48</c:v>
                </c:pt>
                <c:pt idx="16">
                  <c:v>50</c:v>
                </c:pt>
                <c:pt idx="17">
                  <c:v>52</c:v>
                </c:pt>
                <c:pt idx="18">
                  <c:v>54</c:v>
                </c:pt>
                <c:pt idx="19">
                  <c:v>56.000000000000007</c:v>
                </c:pt>
                <c:pt idx="20">
                  <c:v>57.999999999999993</c:v>
                </c:pt>
                <c:pt idx="21">
                  <c:v>60</c:v>
                </c:pt>
                <c:pt idx="22">
                  <c:v>62</c:v>
                </c:pt>
              </c:numCache>
            </c:numRef>
          </c:xVal>
          <c:yVal>
            <c:numRef>
              <c:f>Parameters!$R$14:$R$36</c:f>
              <c:numCache>
                <c:formatCode>0%</c:formatCode>
                <c:ptCount val="23"/>
                <c:pt idx="0">
                  <c:v>0.18367346938775511</c:v>
                </c:pt>
                <c:pt idx="3">
                  <c:v>0.11578947368421053</c:v>
                </c:pt>
                <c:pt idx="4">
                  <c:v>0.11971830985915492</c:v>
                </c:pt>
                <c:pt idx="5">
                  <c:v>5.4263565891472867E-2</c:v>
                </c:pt>
                <c:pt idx="6">
                  <c:v>6.6666666666666666E-2</c:v>
                </c:pt>
                <c:pt idx="7">
                  <c:v>5.46875E-2</c:v>
                </c:pt>
                <c:pt idx="8">
                  <c:v>8.4507042253521125E-2</c:v>
                </c:pt>
                <c:pt idx="9">
                  <c:v>0.04</c:v>
                </c:pt>
                <c:pt idx="10">
                  <c:v>1.0101010101010102E-2</c:v>
                </c:pt>
                <c:pt idx="11">
                  <c:v>8.0808080808080815E-2</c:v>
                </c:pt>
                <c:pt idx="12">
                  <c:v>7.3684210526315783E-2</c:v>
                </c:pt>
                <c:pt idx="13">
                  <c:v>3.2967032967032968E-2</c:v>
                </c:pt>
                <c:pt idx="14">
                  <c:v>6.741573033707865E-2</c:v>
                </c:pt>
                <c:pt idx="15">
                  <c:v>5.7971014492753624E-2</c:v>
                </c:pt>
                <c:pt idx="16">
                  <c:v>6.6666666666666666E-2</c:v>
                </c:pt>
                <c:pt idx="17">
                  <c:v>1.4925373134328358E-2</c:v>
                </c:pt>
                <c:pt idx="18">
                  <c:v>0</c:v>
                </c:pt>
                <c:pt idx="19">
                  <c:v>1.5873015873015872E-2</c:v>
                </c:pt>
                <c:pt idx="20">
                  <c:v>5.5555555555555552E-2</c:v>
                </c:pt>
                <c:pt idx="21">
                  <c:v>4.1666666666666664E-2</c:v>
                </c:pt>
                <c:pt idx="22">
                  <c:v>6.8965517241379309E-2</c:v>
                </c:pt>
              </c:numCache>
            </c:numRef>
          </c:yVal>
          <c:smooth val="1"/>
        </c:ser>
        <c:ser>
          <c:idx val="1"/>
          <c:order val="1"/>
          <c:tx>
            <c:strRef>
              <c:f>Parameters!$S$13</c:f>
              <c:strCache>
                <c:ptCount val="1"/>
                <c:pt idx="0">
                  <c:v>NPL comululative</c:v>
                </c:pt>
              </c:strCache>
            </c:strRef>
          </c:tx>
          <c:marker>
            <c:symbol val="none"/>
          </c:marker>
          <c:xVal>
            <c:numRef>
              <c:f>Parameters!$P$14:$P$36</c:f>
              <c:numCache>
                <c:formatCode>0</c:formatCode>
                <c:ptCount val="23"/>
                <c:pt idx="0">
                  <c:v>18</c:v>
                </c:pt>
                <c:pt idx="1">
                  <c:v>20</c:v>
                </c:pt>
                <c:pt idx="2">
                  <c:v>22</c:v>
                </c:pt>
                <c:pt idx="3">
                  <c:v>24</c:v>
                </c:pt>
                <c:pt idx="4">
                  <c:v>26</c:v>
                </c:pt>
                <c:pt idx="5">
                  <c:v>28.000000000000004</c:v>
                </c:pt>
                <c:pt idx="6">
                  <c:v>30</c:v>
                </c:pt>
                <c:pt idx="7">
                  <c:v>32</c:v>
                </c:pt>
                <c:pt idx="8">
                  <c:v>34</c:v>
                </c:pt>
                <c:pt idx="9">
                  <c:v>36</c:v>
                </c:pt>
                <c:pt idx="10">
                  <c:v>38</c:v>
                </c:pt>
                <c:pt idx="11">
                  <c:v>40</c:v>
                </c:pt>
                <c:pt idx="12">
                  <c:v>42</c:v>
                </c:pt>
                <c:pt idx="13">
                  <c:v>44</c:v>
                </c:pt>
                <c:pt idx="14">
                  <c:v>46</c:v>
                </c:pt>
                <c:pt idx="15">
                  <c:v>48</c:v>
                </c:pt>
                <c:pt idx="16">
                  <c:v>50</c:v>
                </c:pt>
                <c:pt idx="17">
                  <c:v>52</c:v>
                </c:pt>
                <c:pt idx="18">
                  <c:v>54</c:v>
                </c:pt>
                <c:pt idx="19">
                  <c:v>56.000000000000007</c:v>
                </c:pt>
                <c:pt idx="20">
                  <c:v>57.999999999999993</c:v>
                </c:pt>
                <c:pt idx="21">
                  <c:v>60</c:v>
                </c:pt>
                <c:pt idx="22">
                  <c:v>62</c:v>
                </c:pt>
              </c:numCache>
            </c:numRef>
          </c:xVal>
          <c:yVal>
            <c:numRef>
              <c:f>Parameters!$S$14:$S$36</c:f>
              <c:numCache>
                <c:formatCode>0%</c:formatCode>
                <c:ptCount val="23"/>
                <c:pt idx="0">
                  <c:v>0.18367346938775511</c:v>
                </c:pt>
                <c:pt idx="3">
                  <c:v>0.1388888888888889</c:v>
                </c:pt>
                <c:pt idx="4">
                  <c:v>0.12937062937062938</c:v>
                </c:pt>
                <c:pt idx="5">
                  <c:v>0.10602409638554217</c:v>
                </c:pt>
                <c:pt idx="6">
                  <c:v>9.719626168224299E-2</c:v>
                </c:pt>
                <c:pt idx="7">
                  <c:v>8.8989441930618404E-2</c:v>
                </c:pt>
                <c:pt idx="8">
                  <c:v>8.819875776397515E-2</c:v>
                </c:pt>
                <c:pt idx="9">
                  <c:v>8.1720430107526887E-2</c:v>
                </c:pt>
                <c:pt idx="10">
                  <c:v>7.4829931972789115E-2</c:v>
                </c:pt>
                <c:pt idx="11">
                  <c:v>7.5354609929078012E-2</c:v>
                </c:pt>
                <c:pt idx="12">
                  <c:v>7.5224856909239579E-2</c:v>
                </c:pt>
                <c:pt idx="13">
                  <c:v>7.2298325722983253E-2</c:v>
                </c:pt>
                <c:pt idx="14">
                  <c:v>7.1988595866001426E-2</c:v>
                </c:pt>
                <c:pt idx="15">
                  <c:v>7.1331521739130432E-2</c:v>
                </c:pt>
                <c:pt idx="16">
                  <c:v>7.1148825065274146E-2</c:v>
                </c:pt>
                <c:pt idx="17">
                  <c:v>6.8792995622263917E-2</c:v>
                </c:pt>
                <c:pt idx="18">
                  <c:v>6.5515187611673617E-2</c:v>
                </c:pt>
                <c:pt idx="19">
                  <c:v>6.3719862227324911E-2</c:v>
                </c:pt>
                <c:pt idx="20">
                  <c:v>6.347438752783964E-2</c:v>
                </c:pt>
                <c:pt idx="21">
                  <c:v>6.3186813186813184E-2</c:v>
                </c:pt>
                <c:pt idx="22">
                  <c:v>6.3277447268793946E-2</c:v>
                </c:pt>
              </c:numCache>
            </c:numRef>
          </c:yVal>
          <c:smooth val="1"/>
        </c:ser>
        <c:ser>
          <c:idx val="2"/>
          <c:order val="2"/>
          <c:tx>
            <c:strRef>
              <c:f>Parameters!$T$13</c:f>
              <c:strCache>
                <c:ptCount val="1"/>
                <c:pt idx="0">
                  <c:v>NPL (from cumul.)</c:v>
                </c:pt>
              </c:strCache>
            </c:strRef>
          </c:tx>
          <c:marker>
            <c:symbol val="none"/>
          </c:marker>
          <c:trendline>
            <c:trendlineType val="power"/>
            <c:dispRSqr val="1"/>
            <c:dispEq val="1"/>
            <c:trendlineLbl>
              <c:layout>
                <c:manualLayout>
                  <c:x val="0.26445629192184311"/>
                  <c:y val="-0.65343861412114657"/>
                </c:manualLayout>
              </c:layout>
              <c:numFmt formatCode="#,##0.00" sourceLinked="0"/>
            </c:trendlineLbl>
          </c:trendline>
          <c:xVal>
            <c:numRef>
              <c:f>Parameters!$P$14:$P$36</c:f>
              <c:numCache>
                <c:formatCode>0</c:formatCode>
                <c:ptCount val="23"/>
                <c:pt idx="0">
                  <c:v>18</c:v>
                </c:pt>
                <c:pt idx="1">
                  <c:v>20</c:v>
                </c:pt>
                <c:pt idx="2">
                  <c:v>22</c:v>
                </c:pt>
                <c:pt idx="3">
                  <c:v>24</c:v>
                </c:pt>
                <c:pt idx="4">
                  <c:v>26</c:v>
                </c:pt>
                <c:pt idx="5">
                  <c:v>28.000000000000004</c:v>
                </c:pt>
                <c:pt idx="6">
                  <c:v>30</c:v>
                </c:pt>
                <c:pt idx="7">
                  <c:v>32</c:v>
                </c:pt>
                <c:pt idx="8">
                  <c:v>34</c:v>
                </c:pt>
                <c:pt idx="9">
                  <c:v>36</c:v>
                </c:pt>
                <c:pt idx="10">
                  <c:v>38</c:v>
                </c:pt>
                <c:pt idx="11">
                  <c:v>40</c:v>
                </c:pt>
                <c:pt idx="12">
                  <c:v>42</c:v>
                </c:pt>
                <c:pt idx="13">
                  <c:v>44</c:v>
                </c:pt>
                <c:pt idx="14">
                  <c:v>46</c:v>
                </c:pt>
                <c:pt idx="15">
                  <c:v>48</c:v>
                </c:pt>
                <c:pt idx="16">
                  <c:v>50</c:v>
                </c:pt>
                <c:pt idx="17">
                  <c:v>52</c:v>
                </c:pt>
                <c:pt idx="18">
                  <c:v>54</c:v>
                </c:pt>
                <c:pt idx="19">
                  <c:v>56.000000000000007</c:v>
                </c:pt>
                <c:pt idx="20">
                  <c:v>57.999999999999993</c:v>
                </c:pt>
                <c:pt idx="21">
                  <c:v>60</c:v>
                </c:pt>
                <c:pt idx="22">
                  <c:v>62</c:v>
                </c:pt>
              </c:numCache>
            </c:numRef>
          </c:xVal>
          <c:yVal>
            <c:numRef>
              <c:f>Parameters!$T$14:$T$36</c:f>
              <c:numCache>
                <c:formatCode>0%</c:formatCode>
                <c:ptCount val="23"/>
                <c:pt idx="0">
                  <c:v>0.16681806542107425</c:v>
                </c:pt>
                <c:pt idx="1">
                  <c:v>0.14014088450107259</c:v>
                </c:pt>
                <c:pt idx="2">
                  <c:v>0.12017433291488946</c:v>
                </c:pt>
                <c:pt idx="3">
                  <c:v>0.1047924768540395</c:v>
                </c:pt>
                <c:pt idx="4">
                  <c:v>9.2657790854762806E-2</c:v>
                </c:pt>
                <c:pt idx="5">
                  <c:v>8.2892604879059389E-2</c:v>
                </c:pt>
                <c:pt idx="6">
                  <c:v>7.4900458416139043E-2</c:v>
                </c:pt>
                <c:pt idx="7">
                  <c:v>6.82637978604346E-2</c:v>
                </c:pt>
                <c:pt idx="8">
                  <c:v>6.2682784419002907E-2</c:v>
                </c:pt>
                <c:pt idx="9">
                  <c:v>5.7937306830704784E-2</c:v>
                </c:pt>
                <c:pt idx="10">
                  <c:v>5.3862630448112604E-2</c:v>
                </c:pt>
                <c:pt idx="11">
                  <c:v>5.0333344324042274E-2</c:v>
                </c:pt>
                <c:pt idx="12">
                  <c:v>4.7252514376056966E-2</c:v>
                </c:pt>
                <c:pt idx="13">
                  <c:v>4.4544192039689103E-2</c:v>
                </c:pt>
                <c:pt idx="14">
                  <c:v>4.2148138141533766E-2</c:v>
                </c:pt>
                <c:pt idx="15">
                  <c:v>4.0016040966305434E-2</c:v>
                </c:pt>
                <c:pt idx="16">
                  <c:v>3.8108761873621701E-2</c:v>
                </c:pt>
                <c:pt idx="17">
                  <c:v>3.6394300054240082E-2</c:v>
                </c:pt>
                <c:pt idx="18">
                  <c:v>3.4846268678557703E-2</c:v>
                </c:pt>
                <c:pt idx="19">
                  <c:v>3.3442740049186938E-2</c:v>
                </c:pt>
                <c:pt idx="20">
                  <c:v>3.2165360604216632E-2</c:v>
                </c:pt>
                <c:pt idx="21">
                  <c:v>3.0998665709821717E-2</c:v>
                </c:pt>
                <c:pt idx="22">
                  <c:v>2.9929544066738568E-2</c:v>
                </c:pt>
              </c:numCache>
            </c:numRef>
          </c:yVal>
          <c:smooth val="1"/>
        </c:ser>
        <c:dLbls>
          <c:showLegendKey val="0"/>
          <c:showVal val="0"/>
          <c:showCatName val="0"/>
          <c:showSerName val="0"/>
          <c:showPercent val="0"/>
          <c:showBubbleSize val="0"/>
        </c:dLbls>
        <c:axId val="425526152"/>
        <c:axId val="425523408"/>
      </c:scatterChart>
      <c:valAx>
        <c:axId val="425526152"/>
        <c:scaling>
          <c:orientation val="minMax"/>
          <c:max val="64"/>
          <c:min val="16"/>
        </c:scaling>
        <c:delete val="0"/>
        <c:axPos val="b"/>
        <c:numFmt formatCode="0" sourceLinked="1"/>
        <c:majorTickMark val="out"/>
        <c:minorTickMark val="none"/>
        <c:tickLblPos val="nextTo"/>
        <c:crossAx val="425523408"/>
        <c:crosses val="autoZero"/>
        <c:crossBetween val="midCat"/>
      </c:valAx>
      <c:valAx>
        <c:axId val="425523408"/>
        <c:scaling>
          <c:orientation val="minMax"/>
        </c:scaling>
        <c:delete val="0"/>
        <c:axPos val="l"/>
        <c:numFmt formatCode="0%" sourceLinked="1"/>
        <c:majorTickMark val="out"/>
        <c:minorTickMark val="none"/>
        <c:tickLblPos val="nextTo"/>
        <c:crossAx val="425526152"/>
        <c:crosses val="autoZero"/>
        <c:crossBetween val="midCat"/>
        <c:majorUnit val="4.0000000000000008E-2"/>
      </c:valAx>
    </c:plotArea>
    <c:legend>
      <c:legendPos val="r"/>
      <c:layout>
        <c:manualLayout>
          <c:xMode val="edge"/>
          <c:yMode val="edge"/>
          <c:x val="0.70572798191892683"/>
          <c:y val="0.29949628137000639"/>
          <c:w val="0.28038312919218433"/>
          <c:h val="0.50634308306882903"/>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455874124919826E-2"/>
          <c:y val="6.1424728547935646E-2"/>
          <c:w val="0.60172709780428224"/>
          <c:h val="0.79997691159974293"/>
        </c:manualLayout>
      </c:layout>
      <c:scatterChart>
        <c:scatterStyle val="smoothMarker"/>
        <c:varyColors val="0"/>
        <c:ser>
          <c:idx val="0"/>
          <c:order val="0"/>
          <c:tx>
            <c:strRef>
              <c:f>Parameters!$Y$13</c:f>
              <c:strCache>
                <c:ptCount val="1"/>
                <c:pt idx="0">
                  <c:v>NPL</c:v>
                </c:pt>
              </c:strCache>
            </c:strRef>
          </c:tx>
          <c:marker>
            <c:symbol val="none"/>
          </c:marker>
          <c:xVal>
            <c:numRef>
              <c:f>Parameters!$V$14:$V$26</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xVal>
          <c:yVal>
            <c:numRef>
              <c:f>Parameters!$Y$14:$Y$26</c:f>
              <c:numCache>
                <c:formatCode>0.0%</c:formatCode>
                <c:ptCount val="13"/>
                <c:pt idx="0">
                  <c:v>7.1428571428571425E-2</c:v>
                </c:pt>
                <c:pt idx="1">
                  <c:v>3.0303030303030304E-2</c:v>
                </c:pt>
                <c:pt idx="2">
                  <c:v>0.1891891891891892</c:v>
                </c:pt>
                <c:pt idx="3">
                  <c:v>3.5714285714285712E-2</c:v>
                </c:pt>
                <c:pt idx="4">
                  <c:v>7.6923076923076927E-2</c:v>
                </c:pt>
                <c:pt idx="5">
                  <c:v>4.9180327868852458E-2</c:v>
                </c:pt>
                <c:pt idx="6">
                  <c:v>7.3170731707317069E-2</c:v>
                </c:pt>
                <c:pt idx="7">
                  <c:v>3.5714285714285712E-2</c:v>
                </c:pt>
                <c:pt idx="8">
                  <c:v>5.8510638297872342E-2</c:v>
                </c:pt>
                <c:pt idx="9">
                  <c:v>3.553299492385787E-2</c:v>
                </c:pt>
                <c:pt idx="10">
                  <c:v>1.1764705882352941E-2</c:v>
                </c:pt>
                <c:pt idx="11">
                  <c:v>3.8461538461538464E-2</c:v>
                </c:pt>
                <c:pt idx="12">
                  <c:v>0.03</c:v>
                </c:pt>
              </c:numCache>
            </c:numRef>
          </c:yVal>
          <c:smooth val="1"/>
        </c:ser>
        <c:ser>
          <c:idx val="1"/>
          <c:order val="1"/>
          <c:tx>
            <c:strRef>
              <c:f>Parameters!$Z$13</c:f>
              <c:strCache>
                <c:ptCount val="1"/>
                <c:pt idx="0">
                  <c:v>NPL comululative</c:v>
                </c:pt>
              </c:strCache>
            </c:strRef>
          </c:tx>
          <c:marker>
            <c:symbol val="none"/>
          </c:marker>
          <c:xVal>
            <c:numRef>
              <c:f>Parameters!$V$14:$V$26</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xVal>
          <c:yVal>
            <c:numRef>
              <c:f>Parameters!$Z$14:$Z$26</c:f>
              <c:numCache>
                <c:formatCode>0.0%</c:formatCode>
                <c:ptCount val="13"/>
                <c:pt idx="0">
                  <c:v>7.1428571428571425E-2</c:v>
                </c:pt>
                <c:pt idx="1">
                  <c:v>4.2553191489361701E-2</c:v>
                </c:pt>
                <c:pt idx="2">
                  <c:v>0.10714285714285714</c:v>
                </c:pt>
                <c:pt idx="3">
                  <c:v>8.9285714285714288E-2</c:v>
                </c:pt>
                <c:pt idx="4">
                  <c:v>8.5365853658536592E-2</c:v>
                </c:pt>
                <c:pt idx="5">
                  <c:v>7.5555555555555556E-2</c:v>
                </c:pt>
                <c:pt idx="6">
                  <c:v>7.4918566775244305E-2</c:v>
                </c:pt>
                <c:pt idx="7">
                  <c:v>6.2639821029082776E-2</c:v>
                </c:pt>
                <c:pt idx="8">
                  <c:v>6.1417322834645668E-2</c:v>
                </c:pt>
                <c:pt idx="9">
                  <c:v>5.5288461538461536E-2</c:v>
                </c:pt>
                <c:pt idx="10">
                  <c:v>5.1254089422028352E-2</c:v>
                </c:pt>
                <c:pt idx="11">
                  <c:v>5.0901378579003183E-2</c:v>
                </c:pt>
                <c:pt idx="12">
                  <c:v>0.04</c:v>
                </c:pt>
              </c:numCache>
            </c:numRef>
          </c:yVal>
          <c:smooth val="1"/>
        </c:ser>
        <c:ser>
          <c:idx val="2"/>
          <c:order val="2"/>
          <c:tx>
            <c:strRef>
              <c:f>Parameters!$AB$13</c:f>
              <c:strCache>
                <c:ptCount val="1"/>
                <c:pt idx="0">
                  <c:v>NPL (from cumul.)</c:v>
                </c:pt>
              </c:strCache>
            </c:strRef>
          </c:tx>
          <c:marker>
            <c:symbol val="none"/>
          </c:marker>
          <c:trendline>
            <c:trendlineType val="log"/>
            <c:dispRSqr val="1"/>
            <c:dispEq val="1"/>
            <c:trendlineLbl>
              <c:layout>
                <c:manualLayout>
                  <c:x val="0.3659192947502013"/>
                  <c:y val="-0.50448415939708779"/>
                </c:manualLayout>
              </c:layout>
              <c:numFmt formatCode="#,##0.00" sourceLinked="0"/>
            </c:trendlineLbl>
          </c:trendline>
          <c:xVal>
            <c:numRef>
              <c:f>Parameters!$V$14:$V$26</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xVal>
          <c:yVal>
            <c:numRef>
              <c:f>Parameters!$AB$14:$AB$26</c:f>
              <c:numCache>
                <c:formatCode>0.0%</c:formatCode>
                <c:ptCount val="13"/>
                <c:pt idx="0">
                  <c:v>0</c:v>
                </c:pt>
                <c:pt idx="1">
                  <c:v>4.666556801255748E-2</c:v>
                </c:pt>
                <c:pt idx="2">
                  <c:v>5.176199457251094E-2</c:v>
                </c:pt>
                <c:pt idx="3">
                  <c:v>5.5071621081283405E-2</c:v>
                </c:pt>
                <c:pt idx="4">
                  <c:v>5.7532636870347903E-2</c:v>
                </c:pt>
                <c:pt idx="5">
                  <c:v>5.9493831903353327E-2</c:v>
                </c:pt>
                <c:pt idx="6">
                  <c:v>6.1124762122660069E-2</c:v>
                </c:pt>
                <c:pt idx="7">
                  <c:v>6.252095966858609E-2</c:v>
                </c:pt>
                <c:pt idx="8">
                  <c:v>6.3741647743598889E-2</c:v>
                </c:pt>
                <c:pt idx="9">
                  <c:v>6.482610562577637E-2</c:v>
                </c:pt>
                <c:pt idx="10">
                  <c:v>6.5801733504133458E-2</c:v>
                </c:pt>
                <c:pt idx="11">
                  <c:v>6.6688409931252607E-2</c:v>
                </c:pt>
                <c:pt idx="12">
                  <c:v>6.7501016994291813E-2</c:v>
                </c:pt>
              </c:numCache>
            </c:numRef>
          </c:yVal>
          <c:smooth val="1"/>
        </c:ser>
        <c:dLbls>
          <c:showLegendKey val="0"/>
          <c:showVal val="0"/>
          <c:showCatName val="0"/>
          <c:showSerName val="0"/>
          <c:showPercent val="0"/>
          <c:showBubbleSize val="0"/>
        </c:dLbls>
        <c:axId val="321853832"/>
        <c:axId val="577835456"/>
      </c:scatterChart>
      <c:valAx>
        <c:axId val="321853832"/>
        <c:scaling>
          <c:orientation val="minMax"/>
        </c:scaling>
        <c:delete val="0"/>
        <c:axPos val="b"/>
        <c:numFmt formatCode="General" sourceLinked="1"/>
        <c:majorTickMark val="out"/>
        <c:minorTickMark val="none"/>
        <c:tickLblPos val="nextTo"/>
        <c:crossAx val="577835456"/>
        <c:crosses val="autoZero"/>
        <c:crossBetween val="midCat"/>
      </c:valAx>
      <c:valAx>
        <c:axId val="577835456"/>
        <c:scaling>
          <c:orientation val="minMax"/>
        </c:scaling>
        <c:delete val="0"/>
        <c:axPos val="l"/>
        <c:numFmt formatCode="0.0%" sourceLinked="1"/>
        <c:majorTickMark val="out"/>
        <c:minorTickMark val="none"/>
        <c:tickLblPos val="nextTo"/>
        <c:crossAx val="321853832"/>
        <c:crosses val="autoZero"/>
        <c:crossBetween val="midCat"/>
        <c:majorUnit val="2.0000000000000004E-2"/>
      </c:valAx>
    </c:plotArea>
    <c:legend>
      <c:legendPos val="r"/>
      <c:layout>
        <c:manualLayout>
          <c:xMode val="edge"/>
          <c:yMode val="edge"/>
          <c:x val="0.72551008247019377"/>
          <c:y val="0.29991222051600397"/>
          <c:w val="0.26062509950554269"/>
          <c:h val="0.56061772361442375"/>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294801691455228E-2"/>
          <c:y val="6.5729895979623559E-2"/>
          <c:w val="0.62635826771653547"/>
          <c:h val="0.7982122727280504"/>
        </c:manualLayout>
      </c:layout>
      <c:scatterChart>
        <c:scatterStyle val="smoothMarker"/>
        <c:varyColors val="0"/>
        <c:ser>
          <c:idx val="0"/>
          <c:order val="0"/>
          <c:tx>
            <c:strRef>
              <c:f>Parameters!$AG$13</c:f>
              <c:strCache>
                <c:ptCount val="1"/>
                <c:pt idx="0">
                  <c:v>NPL</c:v>
                </c:pt>
              </c:strCache>
            </c:strRef>
          </c:tx>
          <c:marker>
            <c:symbol val="none"/>
          </c:marker>
          <c:xVal>
            <c:numRef>
              <c:f>Parameters!$AE$14:$AE$20</c:f>
              <c:numCache>
                <c:formatCode>_(* #,##0_);_(* \(#,##0\);_(* "-"??_);_(@_)</c:formatCode>
                <c:ptCount val="7"/>
                <c:pt idx="0">
                  <c:v>1</c:v>
                </c:pt>
                <c:pt idx="1">
                  <c:v>2</c:v>
                </c:pt>
                <c:pt idx="2">
                  <c:v>3</c:v>
                </c:pt>
                <c:pt idx="3">
                  <c:v>4</c:v>
                </c:pt>
                <c:pt idx="4">
                  <c:v>5</c:v>
                </c:pt>
                <c:pt idx="5">
                  <c:v>6</c:v>
                </c:pt>
                <c:pt idx="6">
                  <c:v>7</c:v>
                </c:pt>
              </c:numCache>
            </c:numRef>
          </c:xVal>
          <c:yVal>
            <c:numRef>
              <c:f>Parameters!$AG$14:$AG$20</c:f>
              <c:numCache>
                <c:formatCode>0.0%</c:formatCode>
                <c:ptCount val="7"/>
                <c:pt idx="0">
                  <c:v>2.4484536082474227E-2</c:v>
                </c:pt>
                <c:pt idx="1">
                  <c:v>3.2315521628498725E-2</c:v>
                </c:pt>
                <c:pt idx="2">
                  <c:v>2.1291696238466998E-2</c:v>
                </c:pt>
                <c:pt idx="3">
                  <c:v>5.8823529411764705E-3</c:v>
                </c:pt>
                <c:pt idx="4">
                  <c:v>0</c:v>
                </c:pt>
                <c:pt idx="5">
                  <c:v>0.06</c:v>
                </c:pt>
                <c:pt idx="6">
                  <c:v>4.5454545454545456E-2</c:v>
                </c:pt>
              </c:numCache>
            </c:numRef>
          </c:yVal>
          <c:smooth val="1"/>
        </c:ser>
        <c:ser>
          <c:idx val="1"/>
          <c:order val="1"/>
          <c:tx>
            <c:strRef>
              <c:f>Parameters!$AH$13</c:f>
              <c:strCache>
                <c:ptCount val="1"/>
                <c:pt idx="0">
                  <c:v>NPL comululative</c:v>
                </c:pt>
              </c:strCache>
            </c:strRef>
          </c:tx>
          <c:marker>
            <c:symbol val="none"/>
          </c:marker>
          <c:trendline>
            <c:trendlineType val="power"/>
            <c:dispRSqr val="1"/>
            <c:dispEq val="1"/>
            <c:trendlineLbl>
              <c:layout>
                <c:manualLayout>
                  <c:x val="0.31111256926217556"/>
                  <c:y val="-0.35835883523179218"/>
                </c:manualLayout>
              </c:layout>
              <c:numFmt formatCode="General" sourceLinked="0"/>
            </c:trendlineLbl>
          </c:trendline>
          <c:xVal>
            <c:numRef>
              <c:f>Parameters!$AE$14:$AE$20</c:f>
              <c:numCache>
                <c:formatCode>_(* #,##0_);_(* \(#,##0\);_(* "-"??_);_(@_)</c:formatCode>
                <c:ptCount val="7"/>
                <c:pt idx="0">
                  <c:v>1</c:v>
                </c:pt>
                <c:pt idx="1">
                  <c:v>2</c:v>
                </c:pt>
                <c:pt idx="2">
                  <c:v>3</c:v>
                </c:pt>
                <c:pt idx="3">
                  <c:v>4</c:v>
                </c:pt>
                <c:pt idx="4">
                  <c:v>5</c:v>
                </c:pt>
                <c:pt idx="5">
                  <c:v>6</c:v>
                </c:pt>
                <c:pt idx="6">
                  <c:v>7</c:v>
                </c:pt>
              </c:numCache>
            </c:numRef>
          </c:xVal>
          <c:yVal>
            <c:numRef>
              <c:f>Parameters!$AH$14:$AH$20</c:f>
              <c:numCache>
                <c:formatCode>0.0%</c:formatCode>
                <c:ptCount val="7"/>
                <c:pt idx="0">
                  <c:v>2.4484536082474227E-2</c:v>
                </c:pt>
                <c:pt idx="1">
                  <c:v>3.0098504195549068E-2</c:v>
                </c:pt>
                <c:pt idx="2">
                  <c:v>2.8297779712668697E-2</c:v>
                </c:pt>
                <c:pt idx="3">
                  <c:v>2.6753141467369273E-2</c:v>
                </c:pt>
                <c:pt idx="4">
                  <c:v>2.64E-2</c:v>
                </c:pt>
                <c:pt idx="5">
                  <c:v>2.662251655629139E-2</c:v>
                </c:pt>
                <c:pt idx="6">
                  <c:v>2.6731630234395575E-2</c:v>
                </c:pt>
              </c:numCache>
            </c:numRef>
          </c:yVal>
          <c:smooth val="1"/>
        </c:ser>
        <c:ser>
          <c:idx val="2"/>
          <c:order val="2"/>
          <c:tx>
            <c:strRef>
              <c:f>Parameters!$AI$13</c:f>
              <c:strCache>
                <c:ptCount val="1"/>
                <c:pt idx="0">
                  <c:v>NPL (from cumul.)</c:v>
                </c:pt>
              </c:strCache>
            </c:strRef>
          </c:tx>
          <c:marker>
            <c:symbol val="none"/>
          </c:marker>
          <c:xVal>
            <c:numRef>
              <c:f>Parameters!$AE$14:$AE$20</c:f>
              <c:numCache>
                <c:formatCode>_(* #,##0_);_(* \(#,##0\);_(* "-"??_);_(@_)</c:formatCode>
                <c:ptCount val="7"/>
                <c:pt idx="0">
                  <c:v>1</c:v>
                </c:pt>
                <c:pt idx="1">
                  <c:v>2</c:v>
                </c:pt>
                <c:pt idx="2">
                  <c:v>3</c:v>
                </c:pt>
                <c:pt idx="3">
                  <c:v>4</c:v>
                </c:pt>
                <c:pt idx="4">
                  <c:v>5</c:v>
                </c:pt>
                <c:pt idx="5">
                  <c:v>6</c:v>
                </c:pt>
                <c:pt idx="6">
                  <c:v>7</c:v>
                </c:pt>
              </c:numCache>
            </c:numRef>
          </c:xVal>
          <c:yVal>
            <c:numRef>
              <c:f>Parameters!$AI$14:$AI$20</c:f>
              <c:numCache>
                <c:formatCode>0.0%</c:formatCode>
                <c:ptCount val="7"/>
                <c:pt idx="0">
                  <c:v>2.6818263655145263E-2</c:v>
                </c:pt>
                <c:pt idx="1">
                  <c:v>2.7225038658337686E-2</c:v>
                </c:pt>
                <c:pt idx="2">
                  <c:v>2.7474279709184007E-2</c:v>
                </c:pt>
                <c:pt idx="3">
                  <c:v>2.7571885351195397E-2</c:v>
                </c:pt>
                <c:pt idx="4">
                  <c:v>2.7646418625506153E-2</c:v>
                </c:pt>
                <c:pt idx="5">
                  <c:v>2.7706470619997953E-2</c:v>
                </c:pt>
                <c:pt idx="6">
                  <c:v>2.7756714273021482E-2</c:v>
                </c:pt>
              </c:numCache>
            </c:numRef>
          </c:yVal>
          <c:smooth val="1"/>
        </c:ser>
        <c:dLbls>
          <c:showLegendKey val="0"/>
          <c:showVal val="0"/>
          <c:showCatName val="0"/>
          <c:showSerName val="0"/>
          <c:showPercent val="0"/>
          <c:showBubbleSize val="0"/>
        </c:dLbls>
        <c:axId val="577834280"/>
        <c:axId val="577834672"/>
      </c:scatterChart>
      <c:valAx>
        <c:axId val="577834280"/>
        <c:scaling>
          <c:orientation val="minMax"/>
        </c:scaling>
        <c:delete val="0"/>
        <c:axPos val="b"/>
        <c:numFmt formatCode="_(* #,##0_);_(* \(#,##0\);_(* &quot;-&quot;??_);_(@_)" sourceLinked="1"/>
        <c:majorTickMark val="out"/>
        <c:minorTickMark val="none"/>
        <c:tickLblPos val="nextTo"/>
        <c:crossAx val="577834672"/>
        <c:crosses val="autoZero"/>
        <c:crossBetween val="midCat"/>
      </c:valAx>
      <c:valAx>
        <c:axId val="577834672"/>
        <c:scaling>
          <c:orientation val="minMax"/>
        </c:scaling>
        <c:delete val="0"/>
        <c:axPos val="l"/>
        <c:numFmt formatCode="0.0%" sourceLinked="1"/>
        <c:majorTickMark val="out"/>
        <c:minorTickMark val="none"/>
        <c:tickLblPos val="nextTo"/>
        <c:crossAx val="57783428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018363760057286E-2"/>
          <c:y val="5.896002109107109E-2"/>
          <c:w val="0.59353090832471211"/>
          <c:h val="0.86833242969394531"/>
        </c:manualLayout>
      </c:layout>
      <c:scatterChart>
        <c:scatterStyle val="smoothMarker"/>
        <c:varyColors val="0"/>
        <c:ser>
          <c:idx val="0"/>
          <c:order val="0"/>
          <c:tx>
            <c:strRef>
              <c:f>Parameters!$AN$13</c:f>
              <c:strCache>
                <c:ptCount val="1"/>
                <c:pt idx="0">
                  <c:v>NPL</c:v>
                </c:pt>
              </c:strCache>
            </c:strRef>
          </c:tx>
          <c:marker>
            <c:symbol val="none"/>
          </c:marker>
          <c:xVal>
            <c:numRef>
              <c:f>Parameters!$AK$14:$AK$36</c:f>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xVal>
          <c:yVal>
            <c:numRef>
              <c:f>Parameters!$AN$14:$AN$36</c:f>
              <c:numCache>
                <c:formatCode>0%</c:formatCode>
                <c:ptCount val="23"/>
                <c:pt idx="0">
                  <c:v>3.8461538461538464E-2</c:v>
                </c:pt>
                <c:pt idx="1">
                  <c:v>0</c:v>
                </c:pt>
                <c:pt idx="2">
                  <c:v>4.2105263157894736E-2</c:v>
                </c:pt>
                <c:pt idx="3">
                  <c:v>2.0618556701030927E-2</c:v>
                </c:pt>
                <c:pt idx="4">
                  <c:v>6.2827225130890049E-2</c:v>
                </c:pt>
                <c:pt idx="5">
                  <c:v>3.3333333333333333E-2</c:v>
                </c:pt>
                <c:pt idx="6">
                  <c:v>2.3255813953488372E-2</c:v>
                </c:pt>
                <c:pt idx="7">
                  <c:v>5.3571428571428568E-2</c:v>
                </c:pt>
                <c:pt idx="8">
                  <c:v>5.128205128205128E-2</c:v>
                </c:pt>
                <c:pt idx="9">
                  <c:v>6.1855670103092786E-2</c:v>
                </c:pt>
                <c:pt idx="10">
                  <c:v>9.8591549295774641E-2</c:v>
                </c:pt>
                <c:pt idx="11">
                  <c:v>4.3010752688172046E-2</c:v>
                </c:pt>
                <c:pt idx="12">
                  <c:v>6.25E-2</c:v>
                </c:pt>
                <c:pt idx="13">
                  <c:v>0.21052631578947367</c:v>
                </c:pt>
                <c:pt idx="14">
                  <c:v>3.3333333333333333E-2</c:v>
                </c:pt>
                <c:pt idx="15">
                  <c:v>0.1111111111111111</c:v>
                </c:pt>
                <c:pt idx="16">
                  <c:v>0.13333333333333333</c:v>
                </c:pt>
                <c:pt idx="17">
                  <c:v>0.1111111111111111</c:v>
                </c:pt>
                <c:pt idx="18">
                  <c:v>0.13333333333333333</c:v>
                </c:pt>
                <c:pt idx="19">
                  <c:v>4.3478260869565216E-2</c:v>
                </c:pt>
                <c:pt idx="20">
                  <c:v>6.6666666666666666E-2</c:v>
                </c:pt>
                <c:pt idx="21">
                  <c:v>8.3333333333333329E-2</c:v>
                </c:pt>
                <c:pt idx="22">
                  <c:v>6.6666666666666666E-2</c:v>
                </c:pt>
              </c:numCache>
            </c:numRef>
          </c:yVal>
          <c:smooth val="1"/>
        </c:ser>
        <c:ser>
          <c:idx val="1"/>
          <c:order val="1"/>
          <c:tx>
            <c:strRef>
              <c:f>Parameters!$AO$13</c:f>
              <c:strCache>
                <c:ptCount val="1"/>
                <c:pt idx="0">
                  <c:v>NPL comululative</c:v>
                </c:pt>
              </c:strCache>
            </c:strRef>
          </c:tx>
          <c:marker>
            <c:symbol val="none"/>
          </c:marker>
          <c:xVal>
            <c:numRef>
              <c:f>Parameters!$AK$14:$AK$41</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Parameters!$AO$14:$AO$41</c:f>
              <c:numCache>
                <c:formatCode>0.0%</c:formatCode>
                <c:ptCount val="28"/>
                <c:pt idx="0">
                  <c:v>3.8461538461538464E-2</c:v>
                </c:pt>
                <c:pt idx="1">
                  <c:v>1.0869565217391304E-2</c:v>
                </c:pt>
                <c:pt idx="2">
                  <c:v>2.6737967914438502E-2</c:v>
                </c:pt>
                <c:pt idx="3">
                  <c:v>2.464788732394366E-2</c:v>
                </c:pt>
                <c:pt idx="4">
                  <c:v>0.04</c:v>
                </c:pt>
                <c:pt idx="5">
                  <c:v>3.925233644859813E-2</c:v>
                </c:pt>
                <c:pt idx="6">
                  <c:v>3.8062283737024222E-2</c:v>
                </c:pt>
                <c:pt idx="7">
                  <c:v>3.9432176656151417E-2</c:v>
                </c:pt>
                <c:pt idx="8">
                  <c:v>4.0118870728083213E-2</c:v>
                </c:pt>
                <c:pt idx="9">
                  <c:v>4.2857142857142858E-2</c:v>
                </c:pt>
                <c:pt idx="10">
                  <c:v>5.1535087719298246E-2</c:v>
                </c:pt>
                <c:pt idx="11">
                  <c:v>5.0746268656716415E-2</c:v>
                </c:pt>
                <c:pt idx="12">
                  <c:v>5.128205128205128E-2</c:v>
                </c:pt>
                <c:pt idx="13">
                  <c:v>5.6828597616865262E-2</c:v>
                </c:pt>
                <c:pt idx="14">
                  <c:v>5.6199821587867974E-2</c:v>
                </c:pt>
                <c:pt idx="15">
                  <c:v>5.7067603160667252E-2</c:v>
                </c:pt>
                <c:pt idx="16">
                  <c:v>5.8058925476603122E-2</c:v>
                </c:pt>
                <c:pt idx="17">
                  <c:v>5.8873720136518773E-2</c:v>
                </c:pt>
                <c:pt idx="18">
                  <c:v>5.9814658803706823E-2</c:v>
                </c:pt>
                <c:pt idx="19">
                  <c:v>5.9504132231404959E-2</c:v>
                </c:pt>
                <c:pt idx="20">
                  <c:v>5.9591836734693877E-2</c:v>
                </c:pt>
                <c:pt idx="21">
                  <c:v>5.9822150363783348E-2</c:v>
                </c:pt>
                <c:pt idx="22">
                  <c:v>5.9904153354632589E-2</c:v>
                </c:pt>
                <c:pt idx="23">
                  <c:v>5.9760956175298807E-2</c:v>
                </c:pt>
                <c:pt idx="24">
                  <c:v>5.8685446009389672E-2</c:v>
                </c:pt>
                <c:pt idx="25">
                  <c:v>5.8275058275058272E-2</c:v>
                </c:pt>
                <c:pt idx="26">
                  <c:v>5.7959814528593508E-2</c:v>
                </c:pt>
                <c:pt idx="27">
                  <c:v>5.764796310530361E-2</c:v>
                </c:pt>
              </c:numCache>
            </c:numRef>
          </c:yVal>
          <c:smooth val="1"/>
        </c:ser>
        <c:ser>
          <c:idx val="2"/>
          <c:order val="2"/>
          <c:tx>
            <c:strRef>
              <c:f>Parameters!$AP$13</c:f>
              <c:strCache>
                <c:ptCount val="1"/>
                <c:pt idx="0">
                  <c:v>NPL (from cumul.)</c:v>
                </c:pt>
              </c:strCache>
            </c:strRef>
          </c:tx>
          <c:marker>
            <c:symbol val="none"/>
          </c:marker>
          <c:trendline>
            <c:trendlineType val="log"/>
            <c:dispRSqr val="1"/>
            <c:dispEq val="1"/>
            <c:trendlineLbl>
              <c:layout>
                <c:manualLayout>
                  <c:x val="0.34674998913613858"/>
                  <c:y val="-0.49089979057997463"/>
                </c:manualLayout>
              </c:layout>
              <c:numFmt formatCode="#,##0.000000000000" sourceLinked="0"/>
            </c:trendlineLbl>
          </c:trendline>
          <c:xVal>
            <c:numRef>
              <c:f>Parameters!$AK$14:$AK$41</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Parameters!$AP$14:$AP$41</c:f>
              <c:numCache>
                <c:formatCode>0.0%</c:formatCode>
                <c:ptCount val="28"/>
                <c:pt idx="0">
                  <c:v>1.3956312632857331E-2</c:v>
                </c:pt>
                <c:pt idx="1">
                  <c:v>3.258320912751872E-2</c:v>
                </c:pt>
                <c:pt idx="2">
                  <c:v>3.9613814811474912E-2</c:v>
                </c:pt>
                <c:pt idx="3">
                  <c:v>4.4179499938223912E-2</c:v>
                </c:pt>
                <c:pt idx="4">
                  <c:v>4.757451238299476E-2</c:v>
                </c:pt>
                <c:pt idx="5">
                  <c:v>5.0280013734616436E-2</c:v>
                </c:pt>
                <c:pt idx="6">
                  <c:v>5.2529909251623375E-2</c:v>
                </c:pt>
                <c:pt idx="7">
                  <c:v>5.4455987119485794E-2</c:v>
                </c:pt>
                <c:pt idx="8">
                  <c:v>5.6139946736594615E-2</c:v>
                </c:pt>
                <c:pt idx="9">
                  <c:v>5.7635974524056444E-2</c:v>
                </c:pt>
                <c:pt idx="10">
                  <c:v>5.8981869500921491E-2</c:v>
                </c:pt>
                <c:pt idx="11">
                  <c:v>6.0205054462972807E-2</c:v>
                </c:pt>
                <c:pt idx="12">
                  <c:v>6.132605949836728E-2</c:v>
                </c:pt>
                <c:pt idx="13">
                  <c:v>6.2360655499540563E-2</c:v>
                </c:pt>
                <c:pt idx="14">
                  <c:v>6.3321220824355373E-2</c:v>
                </c:pt>
                <c:pt idx="15">
                  <c:v>6.4217649909277863E-2</c:v>
                </c:pt>
                <c:pt idx="16">
                  <c:v>6.5057976596522293E-2</c:v>
                </c:pt>
                <c:pt idx="17">
                  <c:v>6.5848813371328141E-2</c:v>
                </c:pt>
                <c:pt idx="18">
                  <c:v>6.6595668144067866E-2</c:v>
                </c:pt>
                <c:pt idx="19">
                  <c:v>6.7303177398706227E-2</c:v>
                </c:pt>
                <c:pt idx="20">
                  <c:v>6.79752808853748E-2</c:v>
                </c:pt>
                <c:pt idx="21">
                  <c:v>6.8615354611129609E-2</c:v>
                </c:pt>
                <c:pt idx="22">
                  <c:v>6.9226313534320683E-2</c:v>
                </c:pt>
                <c:pt idx="23">
                  <c:v>6.9810691886286136E-2</c:v>
                </c:pt>
                <c:pt idx="24">
                  <c:v>7.037070672664586E-2</c:v>
                </c:pt>
                <c:pt idx="25">
                  <c:v>7.090830876475035E-2</c:v>
                </c:pt>
                <c:pt idx="26">
                  <c:v>7.1425223391666737E-2</c:v>
                </c:pt>
                <c:pt idx="27">
                  <c:v>7.1922984102076037E-2</c:v>
                </c:pt>
              </c:numCache>
            </c:numRef>
          </c:yVal>
          <c:smooth val="1"/>
        </c:ser>
        <c:dLbls>
          <c:showLegendKey val="0"/>
          <c:showVal val="0"/>
          <c:showCatName val="0"/>
          <c:showSerName val="0"/>
          <c:showPercent val="0"/>
          <c:showBubbleSize val="0"/>
        </c:dLbls>
        <c:axId val="577839376"/>
        <c:axId val="577837808"/>
      </c:scatterChart>
      <c:valAx>
        <c:axId val="577839376"/>
        <c:scaling>
          <c:orientation val="minMax"/>
        </c:scaling>
        <c:delete val="0"/>
        <c:axPos val="b"/>
        <c:numFmt formatCode="General" sourceLinked="1"/>
        <c:majorTickMark val="out"/>
        <c:minorTickMark val="none"/>
        <c:tickLblPos val="nextTo"/>
        <c:crossAx val="577837808"/>
        <c:crosses val="autoZero"/>
        <c:crossBetween val="midCat"/>
      </c:valAx>
      <c:valAx>
        <c:axId val="577837808"/>
        <c:scaling>
          <c:orientation val="minMax"/>
        </c:scaling>
        <c:delete val="0"/>
        <c:axPos val="l"/>
        <c:numFmt formatCode="0%" sourceLinked="1"/>
        <c:majorTickMark val="out"/>
        <c:minorTickMark val="none"/>
        <c:tickLblPos val="nextTo"/>
        <c:crossAx val="577839376"/>
        <c:crosses val="autoZero"/>
        <c:crossBetween val="midCat"/>
        <c:majorUnit val="2.0000000000000004E-2"/>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679826480023326E-2"/>
          <c:y val="6.5729895979623559E-2"/>
          <c:w val="0.59833624963546217"/>
          <c:h val="0.79821227272805018"/>
        </c:manualLayout>
      </c:layout>
      <c:scatterChart>
        <c:scatterStyle val="smoothMarker"/>
        <c:varyColors val="0"/>
        <c:ser>
          <c:idx val="0"/>
          <c:order val="0"/>
          <c:tx>
            <c:strRef>
              <c:f>Parameters!$AU$13</c:f>
              <c:strCache>
                <c:ptCount val="1"/>
                <c:pt idx="0">
                  <c:v>NPL</c:v>
                </c:pt>
              </c:strCache>
            </c:strRef>
          </c:tx>
          <c:marker>
            <c:symbol val="none"/>
          </c:marker>
          <c:xVal>
            <c:numRef>
              <c:f>Parameters!$AR$14:$AR$24</c:f>
              <c:numCache>
                <c:formatCode>General</c:formatCode>
                <c:ptCount val="11"/>
                <c:pt idx="0">
                  <c:v>1</c:v>
                </c:pt>
                <c:pt idx="1">
                  <c:v>4</c:v>
                </c:pt>
                <c:pt idx="2">
                  <c:v>7</c:v>
                </c:pt>
                <c:pt idx="3">
                  <c:v>10</c:v>
                </c:pt>
                <c:pt idx="4">
                  <c:v>13</c:v>
                </c:pt>
                <c:pt idx="5">
                  <c:v>16</c:v>
                </c:pt>
                <c:pt idx="6">
                  <c:v>19</c:v>
                </c:pt>
                <c:pt idx="7">
                  <c:v>22</c:v>
                </c:pt>
                <c:pt idx="8">
                  <c:v>25</c:v>
                </c:pt>
                <c:pt idx="9">
                  <c:v>28</c:v>
                </c:pt>
                <c:pt idx="10">
                  <c:v>34</c:v>
                </c:pt>
              </c:numCache>
            </c:numRef>
          </c:xVal>
          <c:yVal>
            <c:numRef>
              <c:f>Parameters!$AU$14:$AU$24</c:f>
              <c:numCache>
                <c:formatCode>0%</c:formatCode>
                <c:ptCount val="11"/>
                <c:pt idx="0">
                  <c:v>0.1875</c:v>
                </c:pt>
                <c:pt idx="1">
                  <c:v>7.9710144927536225E-2</c:v>
                </c:pt>
                <c:pt idx="2">
                  <c:v>4.8951048951048952E-2</c:v>
                </c:pt>
                <c:pt idx="3">
                  <c:v>3.8834951456310676E-2</c:v>
                </c:pt>
                <c:pt idx="4">
                  <c:v>5.7142857142857141E-2</c:v>
                </c:pt>
                <c:pt idx="5">
                  <c:v>3.7037037037037035E-2</c:v>
                </c:pt>
                <c:pt idx="6">
                  <c:v>6.0240963855421686E-2</c:v>
                </c:pt>
                <c:pt idx="7">
                  <c:v>0</c:v>
                </c:pt>
                <c:pt idx="8">
                  <c:v>3.2786885245901641E-2</c:v>
                </c:pt>
                <c:pt idx="9">
                  <c:v>0</c:v>
                </c:pt>
                <c:pt idx="10">
                  <c:v>2.0202020202020204E-2</c:v>
                </c:pt>
              </c:numCache>
            </c:numRef>
          </c:yVal>
          <c:smooth val="1"/>
        </c:ser>
        <c:ser>
          <c:idx val="1"/>
          <c:order val="1"/>
          <c:tx>
            <c:strRef>
              <c:f>Parameters!$AV$13</c:f>
              <c:strCache>
                <c:ptCount val="1"/>
                <c:pt idx="0">
                  <c:v>NPL comululative</c:v>
                </c:pt>
              </c:strCache>
            </c:strRef>
          </c:tx>
          <c:marker>
            <c:symbol val="none"/>
          </c:marker>
          <c:xVal>
            <c:numRef>
              <c:f>Parameters!$AR$14:$AR$24</c:f>
              <c:numCache>
                <c:formatCode>General</c:formatCode>
                <c:ptCount val="11"/>
                <c:pt idx="0">
                  <c:v>1</c:v>
                </c:pt>
                <c:pt idx="1">
                  <c:v>4</c:v>
                </c:pt>
                <c:pt idx="2">
                  <c:v>7</c:v>
                </c:pt>
                <c:pt idx="3">
                  <c:v>10</c:v>
                </c:pt>
                <c:pt idx="4">
                  <c:v>13</c:v>
                </c:pt>
                <c:pt idx="5">
                  <c:v>16</c:v>
                </c:pt>
                <c:pt idx="6">
                  <c:v>19</c:v>
                </c:pt>
                <c:pt idx="7">
                  <c:v>22</c:v>
                </c:pt>
                <c:pt idx="8">
                  <c:v>25</c:v>
                </c:pt>
                <c:pt idx="9">
                  <c:v>28</c:v>
                </c:pt>
                <c:pt idx="10">
                  <c:v>34</c:v>
                </c:pt>
              </c:numCache>
            </c:numRef>
          </c:xVal>
          <c:yVal>
            <c:numRef>
              <c:f>Parameters!$AV$14:$AV$24</c:f>
              <c:numCache>
                <c:formatCode>0.0%</c:formatCode>
                <c:ptCount val="11"/>
                <c:pt idx="0">
                  <c:v>0.1875</c:v>
                </c:pt>
                <c:pt idx="1">
                  <c:v>0.10752688172043011</c:v>
                </c:pt>
                <c:pt idx="2">
                  <c:v>8.2066869300911852E-2</c:v>
                </c:pt>
                <c:pt idx="3">
                  <c:v>7.1759259259259259E-2</c:v>
                </c:pt>
                <c:pt idx="4">
                  <c:v>6.9721115537848599E-2</c:v>
                </c:pt>
                <c:pt idx="5">
                  <c:v>6.5180102915951971E-2</c:v>
                </c:pt>
                <c:pt idx="6">
                  <c:v>6.4564564564564567E-2</c:v>
                </c:pt>
                <c:pt idx="7">
                  <c:v>6.0563380281690143E-2</c:v>
                </c:pt>
                <c:pt idx="8">
                  <c:v>5.8365758754863814E-2</c:v>
                </c:pt>
                <c:pt idx="9">
                  <c:v>5.6179775280898875E-2</c:v>
                </c:pt>
                <c:pt idx="10">
                  <c:v>5.2222222222222225E-2</c:v>
                </c:pt>
              </c:numCache>
            </c:numRef>
          </c:yVal>
          <c:smooth val="1"/>
        </c:ser>
        <c:ser>
          <c:idx val="2"/>
          <c:order val="2"/>
          <c:tx>
            <c:strRef>
              <c:f>Parameters!$AW$13</c:f>
              <c:strCache>
                <c:ptCount val="1"/>
                <c:pt idx="0">
                  <c:v>NPL (from cumul.)</c:v>
                </c:pt>
              </c:strCache>
            </c:strRef>
          </c:tx>
          <c:marker>
            <c:symbol val="none"/>
          </c:marker>
          <c:trendline>
            <c:trendlineType val="log"/>
            <c:dispRSqr val="1"/>
            <c:dispEq val="1"/>
            <c:trendlineLbl>
              <c:layout>
                <c:manualLayout>
                  <c:x val="0.40469050743657042"/>
                  <c:y val="-0.67705829828069597"/>
                </c:manualLayout>
              </c:layout>
              <c:numFmt formatCode="#,##0.000000000000" sourceLinked="0"/>
            </c:trendlineLbl>
          </c:trendline>
          <c:xVal>
            <c:numRef>
              <c:f>Parameters!$AR$14:$AR$24</c:f>
              <c:numCache>
                <c:formatCode>General</c:formatCode>
                <c:ptCount val="11"/>
                <c:pt idx="0">
                  <c:v>1</c:v>
                </c:pt>
                <c:pt idx="1">
                  <c:v>4</c:v>
                </c:pt>
                <c:pt idx="2">
                  <c:v>7</c:v>
                </c:pt>
                <c:pt idx="3">
                  <c:v>10</c:v>
                </c:pt>
                <c:pt idx="4">
                  <c:v>13</c:v>
                </c:pt>
                <c:pt idx="5">
                  <c:v>16</c:v>
                </c:pt>
                <c:pt idx="6">
                  <c:v>19</c:v>
                </c:pt>
                <c:pt idx="7">
                  <c:v>22</c:v>
                </c:pt>
                <c:pt idx="8">
                  <c:v>25</c:v>
                </c:pt>
                <c:pt idx="9">
                  <c:v>28</c:v>
                </c:pt>
                <c:pt idx="10">
                  <c:v>34</c:v>
                </c:pt>
              </c:numCache>
            </c:numRef>
          </c:xVal>
          <c:yVal>
            <c:numRef>
              <c:f>Parameters!$AW$14:$AW$24</c:f>
              <c:numCache>
                <c:formatCode>0.0%</c:formatCode>
                <c:ptCount val="11"/>
                <c:pt idx="0">
                  <c:v>0.17732174846916787</c:v>
                </c:pt>
                <c:pt idx="1">
                  <c:v>3.9927764692921759E-2</c:v>
                </c:pt>
                <c:pt idx="2">
                  <c:v>5.0226533678155778E-2</c:v>
                </c:pt>
                <c:pt idx="3">
                  <c:v>4.7023041152593599E-2</c:v>
                </c:pt>
                <c:pt idx="4">
                  <c:v>4.3924754578223597E-2</c:v>
                </c:pt>
                <c:pt idx="5">
                  <c:v>4.1372440041428211E-2</c:v>
                </c:pt>
                <c:pt idx="6">
                  <c:v>3.9272695338648751E-2</c:v>
                </c:pt>
                <c:pt idx="7">
                  <c:v>3.7516579595779927E-2</c:v>
                </c:pt>
                <c:pt idx="8">
                  <c:v>3.6022047087112437E-2</c:v>
                </c:pt>
                <c:pt idx="9">
                  <c:v>3.4730301797942349E-2</c:v>
                </c:pt>
                <c:pt idx="10">
                  <c:v>1.5068002386159358E-2</c:v>
                </c:pt>
              </c:numCache>
            </c:numRef>
          </c:yVal>
          <c:smooth val="1"/>
        </c:ser>
        <c:dLbls>
          <c:showLegendKey val="0"/>
          <c:showVal val="0"/>
          <c:showCatName val="0"/>
          <c:showSerName val="0"/>
          <c:showPercent val="0"/>
          <c:showBubbleSize val="0"/>
        </c:dLbls>
        <c:axId val="577835064"/>
        <c:axId val="577838984"/>
      </c:scatterChart>
      <c:valAx>
        <c:axId val="577835064"/>
        <c:scaling>
          <c:orientation val="minMax"/>
          <c:max val="40"/>
        </c:scaling>
        <c:delete val="0"/>
        <c:axPos val="b"/>
        <c:numFmt formatCode="General" sourceLinked="1"/>
        <c:majorTickMark val="out"/>
        <c:minorTickMark val="none"/>
        <c:tickLblPos val="nextTo"/>
        <c:crossAx val="577838984"/>
        <c:crosses val="autoZero"/>
        <c:crossBetween val="midCat"/>
      </c:valAx>
      <c:valAx>
        <c:axId val="577838984"/>
        <c:scaling>
          <c:orientation val="minMax"/>
        </c:scaling>
        <c:delete val="0"/>
        <c:axPos val="l"/>
        <c:numFmt formatCode="0%" sourceLinked="1"/>
        <c:majorTickMark val="out"/>
        <c:minorTickMark val="none"/>
        <c:tickLblPos val="nextTo"/>
        <c:crossAx val="577835064"/>
        <c:crosses val="autoZero"/>
        <c:crossBetween val="midCat"/>
        <c:majorUnit val="2.0000000000000004E-2"/>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92029285812959"/>
          <c:y val="0.19377807561288882"/>
          <c:w val="0.80280356402818065"/>
          <c:h val="0.69245367733288654"/>
        </c:manualLayout>
      </c:layout>
      <c:scatterChart>
        <c:scatterStyle val="smoothMarker"/>
        <c:varyColors val="0"/>
        <c:ser>
          <c:idx val="0"/>
          <c:order val="0"/>
          <c:tx>
            <c:strRef>
              <c:f>Parameters!$AZ$13</c:f>
              <c:strCache>
                <c:ptCount val="1"/>
                <c:pt idx="0">
                  <c:v>Sex (1 - man)</c:v>
                </c:pt>
              </c:strCache>
            </c:strRef>
          </c:tx>
          <c:marker>
            <c:symbol val="none"/>
          </c:marker>
          <c:trendline>
            <c:trendlineType val="linear"/>
            <c:dispRSqr val="1"/>
            <c:dispEq val="1"/>
            <c:trendlineLbl>
              <c:layout>
                <c:manualLayout>
                  <c:x val="0.15447163699132202"/>
                  <c:y val="-0.64110794661305637"/>
                </c:manualLayout>
              </c:layout>
              <c:tx>
                <c:rich>
                  <a:bodyPr/>
                  <a:lstStyle/>
                  <a:p>
                    <a:pPr>
                      <a:defRPr/>
                    </a:pPr>
                    <a:r>
                      <a:rPr lang="en-US" baseline="0"/>
                      <a:t>y = </a:t>
                    </a:r>
                    <a:r>
                      <a:rPr lang="en-US" sz="1000" b="0" i="0" u="none" strike="noStrike" baseline="0">
                        <a:effectLst/>
                      </a:rPr>
                      <a:t>0.024000000000</a:t>
                    </a:r>
                    <a:r>
                      <a:rPr lang="en-US" baseline="0"/>
                      <a:t>x + 0.102000000000
R² = 1.000000000000</a:t>
                    </a:r>
                    <a:endParaRPr lang="en-US"/>
                  </a:p>
                </c:rich>
              </c:tx>
              <c:numFmt formatCode="#,##0.000000000000" sourceLinked="0"/>
            </c:trendlineLbl>
          </c:trendline>
          <c:xVal>
            <c:numRef>
              <c:f>Parameters!$AZ$14:$AZ$15</c:f>
              <c:numCache>
                <c:formatCode>_(* #,##0_);_(* \(#,##0\);_(* "-"??_);_(@_)</c:formatCode>
                <c:ptCount val="2"/>
                <c:pt idx="0">
                  <c:v>1</c:v>
                </c:pt>
                <c:pt idx="1">
                  <c:v>0</c:v>
                </c:pt>
              </c:numCache>
            </c:numRef>
          </c:xVal>
          <c:yVal>
            <c:numRef>
              <c:f>Parameters!$BB$14:$BB$15</c:f>
              <c:numCache>
                <c:formatCode>0.0%</c:formatCode>
                <c:ptCount val="2"/>
                <c:pt idx="0">
                  <c:v>0.126</c:v>
                </c:pt>
                <c:pt idx="1">
                  <c:v>0.10199999999999999</c:v>
                </c:pt>
              </c:numCache>
            </c:numRef>
          </c:yVal>
          <c:smooth val="1"/>
        </c:ser>
        <c:dLbls>
          <c:showLegendKey val="0"/>
          <c:showVal val="0"/>
          <c:showCatName val="0"/>
          <c:showSerName val="0"/>
          <c:showPercent val="0"/>
          <c:showBubbleSize val="0"/>
        </c:dLbls>
        <c:axId val="577836240"/>
        <c:axId val="577836632"/>
      </c:scatterChart>
      <c:valAx>
        <c:axId val="577836240"/>
        <c:scaling>
          <c:orientation val="minMax"/>
        </c:scaling>
        <c:delete val="0"/>
        <c:axPos val="b"/>
        <c:numFmt formatCode="_(* #,##0_);_(* \(#,##0\);_(* &quot;-&quot;??_);_(@_)" sourceLinked="1"/>
        <c:majorTickMark val="out"/>
        <c:minorTickMark val="none"/>
        <c:tickLblPos val="nextTo"/>
        <c:crossAx val="577836632"/>
        <c:crosses val="autoZero"/>
        <c:crossBetween val="midCat"/>
      </c:valAx>
      <c:valAx>
        <c:axId val="577836632"/>
        <c:scaling>
          <c:orientation val="minMax"/>
          <c:min val="5.000000000000001E-2"/>
        </c:scaling>
        <c:delete val="0"/>
        <c:axPos val="l"/>
        <c:numFmt formatCode="0.0%" sourceLinked="1"/>
        <c:majorTickMark val="out"/>
        <c:minorTickMark val="none"/>
        <c:tickLblPos val="nextTo"/>
        <c:crossAx val="577836240"/>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88731907786469"/>
          <c:y val="0.20274600920786542"/>
          <c:w val="0.54146091726315371"/>
          <c:h val="0.66035970913471886"/>
        </c:manualLayout>
      </c:layout>
      <c:scatterChart>
        <c:scatterStyle val="smoothMarker"/>
        <c:varyColors val="0"/>
        <c:ser>
          <c:idx val="0"/>
          <c:order val="0"/>
          <c:marker>
            <c:symbol val="none"/>
          </c:marker>
          <c:trendline>
            <c:trendlineType val="exp"/>
            <c:dispRSqr val="1"/>
            <c:dispEq val="1"/>
            <c:trendlineLbl>
              <c:layout>
                <c:manualLayout>
                  <c:x val="0.52347813510678631"/>
                  <c:y val="-0.21887612409104601"/>
                </c:manualLayout>
              </c:layout>
              <c:tx>
                <c:rich>
                  <a:bodyPr/>
                  <a:lstStyle/>
                  <a:p>
                    <a:pPr>
                      <a:defRPr/>
                    </a:pPr>
                    <a:r>
                      <a:rPr lang="en-US" baseline="0"/>
                      <a:t>y = </a:t>
                    </a:r>
                    <a:r>
                      <a:rPr lang="en-US" sz="1200" baseline="0"/>
                      <a:t>0.034912208095e</a:t>
                    </a:r>
                    <a:r>
                      <a:rPr lang="en-US" sz="1200" baseline="30000"/>
                      <a:t>0.133488094803x</a:t>
                    </a:r>
                    <a:r>
                      <a:rPr lang="en-US" sz="1200" baseline="0"/>
                      <a:t>
R² = 0.919700916592</a:t>
                    </a:r>
                    <a:endParaRPr lang="en-US" sz="1200"/>
                  </a:p>
                </c:rich>
              </c:tx>
              <c:numFmt formatCode="#,##0.000000000000" sourceLinked="0"/>
            </c:trendlineLbl>
          </c:trendline>
          <c:xVal>
            <c:numRef>
              <c:f>Parameters!$BD$14:$BD$26</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xVal>
          <c:yVal>
            <c:numRef>
              <c:f>Parameters!$BG$14:$BG$26</c:f>
              <c:numCache>
                <c:formatCode>0.0%</c:formatCode>
                <c:ptCount val="13"/>
                <c:pt idx="0">
                  <c:v>0.03</c:v>
                </c:pt>
                <c:pt idx="1">
                  <c:v>0.03</c:v>
                </c:pt>
                <c:pt idx="2">
                  <c:v>0.03</c:v>
                </c:pt>
                <c:pt idx="3">
                  <c:v>0.03</c:v>
                </c:pt>
                <c:pt idx="4">
                  <c:v>0.03</c:v>
                </c:pt>
                <c:pt idx="5">
                  <c:v>0.03</c:v>
                </c:pt>
                <c:pt idx="6">
                  <c:v>5.6578947368421055E-2</c:v>
                </c:pt>
                <c:pt idx="7">
                  <c:v>7.3724007561436669E-2</c:v>
                </c:pt>
                <c:pt idx="8">
                  <c:v>7.3913043478260873E-2</c:v>
                </c:pt>
                <c:pt idx="9">
                  <c:v>7.9207920792079209E-2</c:v>
                </c:pt>
                <c:pt idx="10">
                  <c:v>8.6103323988786548E-2</c:v>
                </c:pt>
                <c:pt idx="11">
                  <c:v>0.12195121951219512</c:v>
                </c:pt>
                <c:pt idx="12">
                  <c:v>0.13461538461538461</c:v>
                </c:pt>
              </c:numCache>
            </c:numRef>
          </c:yVal>
          <c:smooth val="1"/>
        </c:ser>
        <c:dLbls>
          <c:showLegendKey val="0"/>
          <c:showVal val="0"/>
          <c:showCatName val="0"/>
          <c:showSerName val="0"/>
          <c:showPercent val="0"/>
          <c:showBubbleSize val="0"/>
        </c:dLbls>
        <c:axId val="577838592"/>
        <c:axId val="577839768"/>
      </c:scatterChart>
      <c:valAx>
        <c:axId val="577838592"/>
        <c:scaling>
          <c:orientation val="minMax"/>
        </c:scaling>
        <c:delete val="0"/>
        <c:axPos val="b"/>
        <c:numFmt formatCode="General" sourceLinked="1"/>
        <c:majorTickMark val="out"/>
        <c:minorTickMark val="none"/>
        <c:tickLblPos val="nextTo"/>
        <c:crossAx val="577839768"/>
        <c:crosses val="autoZero"/>
        <c:crossBetween val="midCat"/>
      </c:valAx>
      <c:valAx>
        <c:axId val="577839768"/>
        <c:scaling>
          <c:orientation val="minMax"/>
        </c:scaling>
        <c:delete val="0"/>
        <c:axPos val="l"/>
        <c:majorGridlines/>
        <c:numFmt formatCode="0.0%" sourceLinked="1"/>
        <c:majorTickMark val="out"/>
        <c:minorTickMark val="none"/>
        <c:tickLblPos val="nextTo"/>
        <c:crossAx val="57783859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104776</xdr:rowOff>
    </xdr:from>
    <xdr:to>
      <xdr:col>7</xdr:col>
      <xdr:colOff>0</xdr:colOff>
      <xdr:row>11</xdr:row>
      <xdr:rowOff>47626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109537</xdr:rowOff>
    </xdr:from>
    <xdr:to>
      <xdr:col>13</xdr:col>
      <xdr:colOff>914399</xdr:colOff>
      <xdr:row>11</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0</xdr:row>
      <xdr:rowOff>90487</xdr:rowOff>
    </xdr:from>
    <xdr:to>
      <xdr:col>21</xdr:col>
      <xdr:colOff>0</xdr:colOff>
      <xdr:row>11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0</xdr:row>
      <xdr:rowOff>95250</xdr:rowOff>
    </xdr:from>
    <xdr:to>
      <xdr:col>29</xdr:col>
      <xdr:colOff>9525</xdr:colOff>
      <xdr:row>11</xdr:row>
      <xdr:rowOff>85725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0</xdr:colOff>
      <xdr:row>0</xdr:row>
      <xdr:rowOff>42862</xdr:rowOff>
    </xdr:from>
    <xdr:to>
      <xdr:col>36</xdr:col>
      <xdr:colOff>0</xdr:colOff>
      <xdr:row>11</xdr:row>
      <xdr:rowOff>76200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1</xdr:colOff>
      <xdr:row>0</xdr:row>
      <xdr:rowOff>71437</xdr:rowOff>
    </xdr:from>
    <xdr:to>
      <xdr:col>42</xdr:col>
      <xdr:colOff>904875</xdr:colOff>
      <xdr:row>11</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44</xdr:col>
      <xdr:colOff>0</xdr:colOff>
      <xdr:row>0</xdr:row>
      <xdr:rowOff>90487</xdr:rowOff>
    </xdr:from>
    <xdr:to>
      <xdr:col>50</xdr:col>
      <xdr:colOff>0</xdr:colOff>
      <xdr:row>11</xdr:row>
      <xdr:rowOff>123825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51</xdr:col>
      <xdr:colOff>0</xdr:colOff>
      <xdr:row>0</xdr:row>
      <xdr:rowOff>85725</xdr:rowOff>
    </xdr:from>
    <xdr:to>
      <xdr:col>55</xdr:col>
      <xdr:colOff>0</xdr:colOff>
      <xdr:row>11</xdr:row>
      <xdr:rowOff>114300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55</xdr:col>
      <xdr:colOff>600076</xdr:colOff>
      <xdr:row>0</xdr:row>
      <xdr:rowOff>76200</xdr:rowOff>
    </xdr:from>
    <xdr:to>
      <xdr:col>57</xdr:col>
      <xdr:colOff>847726</xdr:colOff>
      <xdr:row>11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1"/>
  <sheetViews>
    <sheetView tabSelected="1" topLeftCell="A7" zoomScale="85" zoomScaleNormal="85" workbookViewId="0">
      <selection activeCell="H46" sqref="H46"/>
    </sheetView>
  </sheetViews>
  <sheetFormatPr defaultRowHeight="15" x14ac:dyDescent="0.25"/>
  <cols>
    <col min="1" max="1" width="8" style="29" customWidth="1"/>
    <col min="2" max="2" width="30.140625" style="29" customWidth="1"/>
    <col min="3" max="3" width="15.85546875" style="29" customWidth="1"/>
    <col min="4" max="4" width="16.42578125" style="29" customWidth="1"/>
    <col min="5" max="6" width="15.85546875" style="29" customWidth="1"/>
    <col min="7" max="7" width="17.140625" style="29" customWidth="1"/>
    <col min="8" max="8" width="19.7109375" style="64" customWidth="1"/>
    <col min="9" max="9" width="17.42578125" style="29" customWidth="1"/>
    <col min="10" max="10" width="24.5703125" style="29" customWidth="1"/>
    <col min="11" max="11" width="40.7109375" style="29" customWidth="1"/>
    <col min="12" max="12" width="42.42578125" style="29" customWidth="1"/>
    <col min="13" max="13" width="54.5703125" style="29" customWidth="1"/>
    <col min="14" max="14" width="48" style="29" customWidth="1"/>
    <col min="15" max="15" width="53" style="29" customWidth="1"/>
    <col min="16" max="16" width="54" style="29" customWidth="1"/>
    <col min="17" max="17" width="47" style="29" customWidth="1"/>
    <col min="18" max="16384" width="9.140625" style="29"/>
  </cols>
  <sheetData>
    <row r="1" spans="1:17" x14ac:dyDescent="0.25">
      <c r="A1" s="106" t="s">
        <v>64</v>
      </c>
      <c r="B1" s="180"/>
      <c r="C1" s="181" t="s">
        <v>130</v>
      </c>
      <c r="D1" s="181"/>
      <c r="E1" s="180" t="s">
        <v>131</v>
      </c>
      <c r="F1" s="181" t="s">
        <v>132</v>
      </c>
      <c r="G1" s="181"/>
      <c r="H1" s="181"/>
      <c r="I1" s="181"/>
      <c r="J1" s="181"/>
      <c r="K1" s="181"/>
      <c r="L1" s="182" t="s">
        <v>125</v>
      </c>
      <c r="M1" s="108" t="s">
        <v>140</v>
      </c>
      <c r="N1" s="108" t="s">
        <v>141</v>
      </c>
      <c r="O1" s="110"/>
      <c r="P1" s="111"/>
      <c r="Q1" s="111"/>
    </row>
    <row r="2" spans="1:17" ht="126.75" customHeight="1" x14ac:dyDescent="0.25">
      <c r="A2" s="119">
        <v>1</v>
      </c>
      <c r="B2" s="174" t="s">
        <v>65</v>
      </c>
      <c r="C2" s="175" t="s">
        <v>143</v>
      </c>
      <c r="D2" s="175"/>
      <c r="E2" s="176" t="s">
        <v>133</v>
      </c>
      <c r="F2" s="177" t="s">
        <v>138</v>
      </c>
      <c r="G2" s="177"/>
      <c r="H2" s="177"/>
      <c r="I2" s="177"/>
      <c r="J2" s="177"/>
      <c r="K2" s="177"/>
      <c r="L2" s="183" t="s">
        <v>126</v>
      </c>
      <c r="M2" s="104"/>
      <c r="N2" s="109"/>
      <c r="O2" s="23"/>
      <c r="P2" s="23"/>
      <c r="Q2" s="23"/>
    </row>
    <row r="3" spans="1:17" ht="155.25" customHeight="1" x14ac:dyDescent="0.25">
      <c r="A3" s="119"/>
      <c r="B3" s="174"/>
      <c r="C3" s="177" t="s">
        <v>165</v>
      </c>
      <c r="D3" s="177"/>
      <c r="E3" s="176" t="s">
        <v>133</v>
      </c>
      <c r="F3" s="177" t="s">
        <v>139</v>
      </c>
      <c r="G3" s="177"/>
      <c r="H3" s="177"/>
      <c r="I3" s="177"/>
      <c r="J3" s="177"/>
      <c r="K3" s="177"/>
      <c r="L3" s="183" t="s">
        <v>127</v>
      </c>
      <c r="M3" s="109" t="s">
        <v>128</v>
      </c>
      <c r="N3" s="109" t="s">
        <v>129</v>
      </c>
      <c r="O3" s="105"/>
      <c r="P3" s="105"/>
      <c r="Q3" s="23"/>
    </row>
    <row r="4" spans="1:17" ht="154.5" customHeight="1" thickBot="1" x14ac:dyDescent="0.3">
      <c r="A4" s="120"/>
      <c r="B4" s="178"/>
      <c r="C4" s="177" t="s">
        <v>166</v>
      </c>
      <c r="D4" s="177"/>
      <c r="E4" s="179" t="s">
        <v>133</v>
      </c>
      <c r="F4" s="177" t="s">
        <v>142</v>
      </c>
      <c r="G4" s="177"/>
      <c r="H4" s="177"/>
      <c r="I4" s="177"/>
      <c r="J4" s="177"/>
      <c r="K4" s="177"/>
      <c r="L4" s="183" t="s">
        <v>134</v>
      </c>
      <c r="M4" s="109" t="s">
        <v>135</v>
      </c>
      <c r="N4" s="109" t="s">
        <v>136</v>
      </c>
      <c r="O4" s="105"/>
      <c r="P4" s="105"/>
      <c r="Q4" s="105"/>
    </row>
    <row r="5" spans="1:17" s="57" customFormat="1" ht="80.25" customHeight="1" thickBot="1" x14ac:dyDescent="0.3">
      <c r="A5" s="56">
        <v>2</v>
      </c>
      <c r="B5" s="184" t="s">
        <v>167</v>
      </c>
      <c r="C5" s="185"/>
      <c r="D5" s="185"/>
      <c r="E5" s="185"/>
      <c r="F5" s="185"/>
      <c r="G5" s="185"/>
      <c r="H5" s="185"/>
      <c r="I5" s="185"/>
      <c r="J5" s="186"/>
      <c r="K5" s="187"/>
      <c r="L5" s="188"/>
      <c r="O5" s="112"/>
      <c r="P5" s="112"/>
      <c r="Q5" s="112"/>
    </row>
    <row r="6" spans="1:17" s="57" customFormat="1" ht="27.75" customHeight="1" x14ac:dyDescent="0.25">
      <c r="A6" s="126">
        <v>3</v>
      </c>
      <c r="B6" s="189" t="s">
        <v>66</v>
      </c>
      <c r="C6" s="190" t="s">
        <v>67</v>
      </c>
      <c r="D6" s="191" t="s">
        <v>68</v>
      </c>
      <c r="E6" s="191"/>
      <c r="F6" s="191"/>
      <c r="G6" s="191"/>
      <c r="H6" s="191"/>
      <c r="I6" s="191"/>
      <c r="J6" s="192"/>
      <c r="K6" s="193"/>
      <c r="L6" s="188"/>
    </row>
    <row r="7" spans="1:17" s="57" customFormat="1" ht="15" customHeight="1" x14ac:dyDescent="0.25">
      <c r="A7" s="127"/>
      <c r="B7" s="194"/>
      <c r="C7" s="183" t="s">
        <v>69</v>
      </c>
      <c r="D7" s="195" t="s">
        <v>70</v>
      </c>
      <c r="E7" s="195"/>
      <c r="F7" s="195"/>
      <c r="G7" s="195"/>
      <c r="H7" s="195"/>
      <c r="I7" s="195"/>
      <c r="J7" s="196"/>
      <c r="K7" s="193"/>
      <c r="L7" s="188"/>
    </row>
    <row r="8" spans="1:17" s="57" customFormat="1" ht="15.75" customHeight="1" thickBot="1" x14ac:dyDescent="0.3">
      <c r="A8" s="127"/>
      <c r="B8" s="197"/>
      <c r="C8" s="198" t="s">
        <v>71</v>
      </c>
      <c r="D8" s="199" t="s">
        <v>161</v>
      </c>
      <c r="E8" s="199"/>
      <c r="F8" s="199"/>
      <c r="G8" s="199"/>
      <c r="H8" s="199"/>
      <c r="I8" s="199"/>
      <c r="J8" s="200"/>
      <c r="K8" s="193"/>
      <c r="L8" s="188"/>
    </row>
    <row r="9" spans="1:17" s="57" customFormat="1" ht="68.25" customHeight="1" x14ac:dyDescent="0.25">
      <c r="A9" s="122">
        <v>4</v>
      </c>
      <c r="B9" s="201" t="s">
        <v>157</v>
      </c>
      <c r="C9" s="202" t="s">
        <v>67</v>
      </c>
      <c r="D9" s="203" t="s">
        <v>168</v>
      </c>
      <c r="E9" s="203"/>
      <c r="F9" s="203"/>
      <c r="G9" s="203"/>
      <c r="H9" s="203"/>
      <c r="I9" s="203"/>
      <c r="J9" s="204"/>
      <c r="K9" s="177" t="s">
        <v>158</v>
      </c>
      <c r="L9" s="177"/>
      <c r="M9" s="121" t="s">
        <v>146</v>
      </c>
    </row>
    <row r="10" spans="1:17" s="57" customFormat="1" ht="24" customHeight="1" x14ac:dyDescent="0.25">
      <c r="A10" s="123"/>
      <c r="B10" s="205"/>
      <c r="C10" s="206" t="s">
        <v>69</v>
      </c>
      <c r="D10" s="205" t="s">
        <v>169</v>
      </c>
      <c r="E10" s="205"/>
      <c r="F10" s="205"/>
      <c r="G10" s="205"/>
      <c r="H10" s="205"/>
      <c r="I10" s="205"/>
      <c r="J10" s="207"/>
      <c r="K10" s="177"/>
      <c r="L10" s="177"/>
      <c r="M10" s="121"/>
    </row>
    <row r="11" spans="1:17" s="57" customFormat="1" ht="38.25" customHeight="1" thickBot="1" x14ac:dyDescent="0.3">
      <c r="A11" s="128"/>
      <c r="B11" s="208"/>
      <c r="C11" s="209" t="s">
        <v>71</v>
      </c>
      <c r="D11" s="208" t="s">
        <v>170</v>
      </c>
      <c r="E11" s="208"/>
      <c r="F11" s="208"/>
      <c r="G11" s="208"/>
      <c r="H11" s="208"/>
      <c r="I11" s="208"/>
      <c r="J11" s="210"/>
      <c r="K11" s="177"/>
      <c r="L11" s="177"/>
      <c r="M11" s="121"/>
    </row>
    <row r="12" spans="1:17" s="57" customFormat="1" x14ac:dyDescent="0.25">
      <c r="A12" s="122">
        <v>5</v>
      </c>
      <c r="B12" s="201" t="s">
        <v>137</v>
      </c>
      <c r="C12" s="202" t="s">
        <v>72</v>
      </c>
      <c r="D12" s="201" t="s">
        <v>171</v>
      </c>
      <c r="E12" s="201"/>
      <c r="F12" s="201"/>
      <c r="G12" s="201"/>
      <c r="H12" s="201"/>
      <c r="I12" s="201"/>
      <c r="J12" s="211"/>
      <c r="K12" s="212" t="s">
        <v>144</v>
      </c>
      <c r="L12" s="213"/>
      <c r="M12" s="121" t="s">
        <v>145</v>
      </c>
    </row>
    <row r="13" spans="1:17" s="57" customFormat="1" ht="57.75" customHeight="1" x14ac:dyDescent="0.25">
      <c r="A13" s="123"/>
      <c r="B13" s="205"/>
      <c r="C13" s="206" t="s">
        <v>73</v>
      </c>
      <c r="D13" s="205"/>
      <c r="E13" s="205"/>
      <c r="F13" s="205"/>
      <c r="G13" s="205"/>
      <c r="H13" s="205"/>
      <c r="I13" s="205"/>
      <c r="J13" s="214"/>
      <c r="K13" s="212"/>
      <c r="L13" s="213"/>
      <c r="M13" s="121"/>
    </row>
    <row r="14" spans="1:17" s="57" customFormat="1" ht="42" customHeight="1" thickBot="1" x14ac:dyDescent="0.3">
      <c r="A14" s="124"/>
      <c r="B14" s="215"/>
      <c r="C14" s="216" t="s">
        <v>71</v>
      </c>
      <c r="D14" s="215" t="s">
        <v>172</v>
      </c>
      <c r="E14" s="215"/>
      <c r="F14" s="215"/>
      <c r="G14" s="215"/>
      <c r="H14" s="215"/>
      <c r="I14" s="215"/>
      <c r="J14" s="217"/>
      <c r="K14" s="212"/>
      <c r="L14" s="213"/>
      <c r="M14" s="121"/>
    </row>
    <row r="15" spans="1:17" s="57" customFormat="1" ht="54" customHeight="1" thickBot="1" x14ac:dyDescent="0.3">
      <c r="A15" s="58">
        <v>6</v>
      </c>
      <c r="B15" s="218" t="s">
        <v>173</v>
      </c>
      <c r="C15" s="219"/>
      <c r="D15" s="219"/>
      <c r="E15" s="219"/>
      <c r="F15" s="219"/>
      <c r="G15" s="219"/>
      <c r="H15" s="219"/>
      <c r="I15" s="219"/>
      <c r="J15" s="220"/>
      <c r="K15" s="107"/>
    </row>
    <row r="16" spans="1:17" s="57" customFormat="1" ht="15" customHeight="1" thickBot="1" x14ac:dyDescent="0.3">
      <c r="A16" s="115">
        <v>7</v>
      </c>
      <c r="B16" s="221" t="s">
        <v>174</v>
      </c>
      <c r="C16" s="222"/>
      <c r="D16" s="222"/>
      <c r="E16" s="222"/>
      <c r="F16" s="222"/>
      <c r="G16" s="222"/>
      <c r="H16" s="222"/>
      <c r="I16" s="222"/>
      <c r="J16" s="223"/>
      <c r="K16" s="107"/>
    </row>
    <row r="17" spans="1:15" ht="15.75" thickBot="1" x14ac:dyDescent="0.3">
      <c r="A17" s="118">
        <v>8</v>
      </c>
      <c r="B17" s="224" t="s">
        <v>149</v>
      </c>
      <c r="C17" s="224"/>
      <c r="D17" s="224"/>
      <c r="E17" s="224"/>
      <c r="F17" s="224"/>
      <c r="G17" s="224"/>
      <c r="H17" s="224"/>
      <c r="I17" s="224"/>
      <c r="J17" s="225"/>
    </row>
    <row r="18" spans="1:15" ht="15.75" thickBot="1" x14ac:dyDescent="0.3">
      <c r="A18" s="118">
        <v>9</v>
      </c>
      <c r="B18" s="224" t="s">
        <v>162</v>
      </c>
      <c r="C18" s="224"/>
      <c r="D18" s="224"/>
      <c r="E18" s="224"/>
      <c r="F18" s="224"/>
      <c r="G18" s="224"/>
      <c r="H18" s="224"/>
      <c r="I18" s="224"/>
      <c r="J18" s="225"/>
    </row>
    <row r="19" spans="1:15" ht="15.75" thickBot="1" x14ac:dyDescent="0.3">
      <c r="A19" s="114">
        <v>10</v>
      </c>
      <c r="B19" s="262" t="s">
        <v>187</v>
      </c>
      <c r="C19" s="263"/>
      <c r="D19" s="263"/>
      <c r="E19" s="263"/>
      <c r="F19" s="263"/>
      <c r="G19" s="263"/>
      <c r="H19" s="263"/>
      <c r="I19" s="263"/>
      <c r="J19" s="264"/>
    </row>
    <row r="20" spans="1:15" ht="15.75" thickBot="1" x14ac:dyDescent="0.3">
      <c r="A20" s="114">
        <v>11</v>
      </c>
      <c r="B20" s="226" t="s">
        <v>159</v>
      </c>
      <c r="C20" s="226"/>
      <c r="D20" s="226"/>
      <c r="E20" s="226"/>
      <c r="F20" s="226"/>
      <c r="G20" s="226"/>
      <c r="H20" s="226"/>
      <c r="I20" s="226"/>
      <c r="J20" s="227"/>
    </row>
    <row r="21" spans="1:15" ht="15.75" thickBot="1" x14ac:dyDescent="0.3">
      <c r="H21" s="29"/>
    </row>
    <row r="22" spans="1:15" ht="15.75" thickBot="1" x14ac:dyDescent="0.3">
      <c r="B22" s="59" t="s">
        <v>74</v>
      </c>
      <c r="C22" s="59" t="s">
        <v>67</v>
      </c>
      <c r="D22" s="60" t="s">
        <v>75</v>
      </c>
      <c r="E22" s="61" t="s">
        <v>71</v>
      </c>
      <c r="F22" s="113"/>
      <c r="G22" s="167" t="s">
        <v>147</v>
      </c>
      <c r="H22" s="165"/>
      <c r="I22" s="166"/>
    </row>
    <row r="23" spans="1:15" ht="204.75" customHeight="1" thickBot="1" x14ac:dyDescent="0.3">
      <c r="B23" s="228" t="s">
        <v>76</v>
      </c>
      <c r="C23" s="229" t="s">
        <v>77</v>
      </c>
      <c r="D23" s="230"/>
      <c r="E23" s="231"/>
      <c r="F23" s="232" t="s">
        <v>78</v>
      </c>
      <c r="G23" s="233" t="s">
        <v>163</v>
      </c>
      <c r="H23" s="234"/>
      <c r="I23" s="235"/>
      <c r="J23" s="173" t="s">
        <v>164</v>
      </c>
    </row>
    <row r="24" spans="1:15" ht="15.75" thickBot="1" x14ac:dyDescent="0.3">
      <c r="B24" s="59" t="s">
        <v>79</v>
      </c>
      <c r="C24" s="164"/>
      <c r="D24" s="165"/>
      <c r="E24" s="165"/>
      <c r="F24" s="166"/>
      <c r="H24" s="29"/>
    </row>
    <row r="25" spans="1:15" ht="15.75" customHeight="1" thickBot="1" x14ac:dyDescent="0.3">
      <c r="B25" s="236" t="s">
        <v>23</v>
      </c>
      <c r="C25" s="237" t="s">
        <v>77</v>
      </c>
      <c r="D25" s="238"/>
      <c r="E25" s="239"/>
      <c r="F25" s="232" t="s">
        <v>80</v>
      </c>
      <c r="H25" s="29"/>
    </row>
    <row r="26" spans="1:15" ht="15.75" customHeight="1" thickBot="1" x14ac:dyDescent="0.3">
      <c r="B26" s="240" t="s">
        <v>62</v>
      </c>
      <c r="C26" s="237" t="s">
        <v>77</v>
      </c>
      <c r="D26" s="238"/>
      <c r="E26" s="239"/>
      <c r="F26" s="232" t="s">
        <v>80</v>
      </c>
      <c r="H26" s="29"/>
    </row>
    <row r="27" spans="1:15" ht="15.75" thickBot="1" x14ac:dyDescent="0.3">
      <c r="B27" s="241" t="s">
        <v>81</v>
      </c>
      <c r="C27" s="242" t="s">
        <v>77</v>
      </c>
      <c r="D27" s="243" t="s">
        <v>77</v>
      </c>
      <c r="E27" s="244"/>
      <c r="F27" s="245" t="s">
        <v>80</v>
      </c>
      <c r="H27" s="29"/>
    </row>
    <row r="28" spans="1:15" ht="287.25" customHeight="1" thickBot="1" x14ac:dyDescent="0.3">
      <c r="B28" s="246" t="s">
        <v>2</v>
      </c>
      <c r="C28" s="247" t="s">
        <v>77</v>
      </c>
      <c r="D28" s="247" t="s">
        <v>77</v>
      </c>
      <c r="E28" s="247" t="s">
        <v>77</v>
      </c>
      <c r="F28" s="248" t="s">
        <v>82</v>
      </c>
      <c r="G28" s="249" t="s">
        <v>148</v>
      </c>
      <c r="H28" s="250"/>
      <c r="I28" s="251"/>
      <c r="J28" s="147" t="s">
        <v>160</v>
      </c>
      <c r="K28" s="148"/>
      <c r="L28" s="116" t="s">
        <v>150</v>
      </c>
      <c r="M28" s="117" t="s">
        <v>152</v>
      </c>
    </row>
    <row r="29" spans="1:15" ht="15.75" thickBot="1" x14ac:dyDescent="0.3">
      <c r="B29" s="62"/>
      <c r="C29" s="63"/>
      <c r="D29" s="63"/>
      <c r="E29" s="63"/>
      <c r="F29" s="63"/>
      <c r="H29" s="29"/>
    </row>
    <row r="30" spans="1:15" ht="33.75" customHeight="1" thickBot="1" x14ac:dyDescent="0.3">
      <c r="B30" s="59" t="s">
        <v>83</v>
      </c>
      <c r="C30" s="149" t="s">
        <v>197</v>
      </c>
      <c r="D30" s="150"/>
      <c r="E30" s="150"/>
      <c r="F30" s="150"/>
      <c r="G30" s="150"/>
      <c r="H30" s="150"/>
    </row>
    <row r="31" spans="1:15" ht="15.75" thickBot="1" x14ac:dyDescent="0.3">
      <c r="J31" s="29" t="s">
        <v>151</v>
      </c>
      <c r="M31" s="23"/>
      <c r="N31" s="23"/>
      <c r="O31" s="23"/>
    </row>
    <row r="32" spans="1:15" ht="30.75" customHeight="1" thickBot="1" x14ac:dyDescent="0.3">
      <c r="B32" s="59"/>
      <c r="C32" s="60" t="s">
        <v>84</v>
      </c>
      <c r="D32" s="60" t="s">
        <v>85</v>
      </c>
      <c r="E32" s="133" t="s">
        <v>86</v>
      </c>
      <c r="F32" s="133"/>
      <c r="G32" s="134"/>
      <c r="H32" s="151" t="s">
        <v>147</v>
      </c>
      <c r="I32" s="151"/>
      <c r="M32" s="23"/>
      <c r="N32" s="23"/>
      <c r="O32" s="23"/>
    </row>
    <row r="33" spans="2:15" ht="45" customHeight="1" x14ac:dyDescent="0.25">
      <c r="B33" s="135" t="s">
        <v>23</v>
      </c>
      <c r="C33" s="46" t="s">
        <v>87</v>
      </c>
      <c r="D33" s="65" t="s">
        <v>175</v>
      </c>
      <c r="E33" s="138" t="s">
        <v>176</v>
      </c>
      <c r="F33" s="138"/>
      <c r="G33" s="139"/>
      <c r="H33" s="157" t="s">
        <v>155</v>
      </c>
      <c r="I33" s="158"/>
      <c r="M33" s="23"/>
      <c r="N33" s="23"/>
      <c r="O33" s="23"/>
    </row>
    <row r="34" spans="2:15" ht="29.25" customHeight="1" x14ac:dyDescent="0.25">
      <c r="B34" s="136"/>
      <c r="C34" s="140" t="s">
        <v>88</v>
      </c>
      <c r="D34" s="65" t="s">
        <v>177</v>
      </c>
      <c r="E34" s="138" t="s">
        <v>89</v>
      </c>
      <c r="F34" s="138"/>
      <c r="G34" s="139"/>
      <c r="H34" s="159"/>
      <c r="I34" s="160"/>
      <c r="M34" s="23"/>
      <c r="N34" s="23"/>
      <c r="O34" s="23"/>
    </row>
    <row r="35" spans="2:15" ht="29.25" customHeight="1" x14ac:dyDescent="0.25">
      <c r="B35" s="136"/>
      <c r="C35" s="141"/>
      <c r="D35" s="65" t="s">
        <v>178</v>
      </c>
      <c r="E35" s="138" t="s">
        <v>179</v>
      </c>
      <c r="F35" s="138"/>
      <c r="G35" s="139"/>
      <c r="H35" s="159"/>
      <c r="I35" s="160"/>
      <c r="M35" s="23"/>
      <c r="N35" s="23"/>
      <c r="O35" s="23"/>
    </row>
    <row r="36" spans="2:15" ht="30.75" customHeight="1" x14ac:dyDescent="0.25">
      <c r="B36" s="136"/>
      <c r="C36" s="66" t="s">
        <v>90</v>
      </c>
      <c r="D36" s="65" t="s">
        <v>180</v>
      </c>
      <c r="E36" s="142" t="s">
        <v>154</v>
      </c>
      <c r="F36" s="142"/>
      <c r="G36" s="143"/>
      <c r="H36" s="159"/>
      <c r="I36" s="160"/>
      <c r="M36" s="23"/>
      <c r="N36" s="23"/>
      <c r="O36" s="23"/>
    </row>
    <row r="37" spans="2:15" ht="15.75" thickBot="1" x14ac:dyDescent="0.3">
      <c r="B37" s="137"/>
      <c r="C37" s="67" t="s">
        <v>90</v>
      </c>
      <c r="D37" s="68" t="s">
        <v>91</v>
      </c>
      <c r="E37" s="152" t="s">
        <v>153</v>
      </c>
      <c r="F37" s="153"/>
      <c r="G37" s="154"/>
      <c r="H37" s="161"/>
      <c r="I37" s="125"/>
      <c r="M37" s="23"/>
      <c r="N37" s="23"/>
      <c r="O37" s="23"/>
    </row>
    <row r="38" spans="2:15" x14ac:dyDescent="0.25">
      <c r="M38" s="23"/>
      <c r="N38" s="23"/>
      <c r="O38" s="23"/>
    </row>
    <row r="40" spans="2:15" x14ac:dyDescent="0.25">
      <c r="B40" s="155" t="s">
        <v>85</v>
      </c>
      <c r="C40" s="155"/>
    </row>
    <row r="41" spans="2:15" x14ac:dyDescent="0.25">
      <c r="B41" s="156" t="s">
        <v>92</v>
      </c>
      <c r="C41" s="156"/>
    </row>
    <row r="42" spans="2:15" ht="29.25" customHeight="1" x14ac:dyDescent="0.25">
      <c r="B42" s="156" t="s">
        <v>156</v>
      </c>
      <c r="C42" s="156"/>
      <c r="D42" s="162"/>
      <c r="E42" s="163"/>
      <c r="F42" s="163"/>
    </row>
    <row r="43" spans="2:15" ht="29.25" customHeight="1" x14ac:dyDescent="0.25">
      <c r="B43" s="69"/>
      <c r="C43" s="69"/>
      <c r="D43" s="111"/>
      <c r="E43" s="49"/>
      <c r="F43" s="49"/>
    </row>
    <row r="44" spans="2:15" x14ac:dyDescent="0.25">
      <c r="B44" s="69"/>
      <c r="C44" s="69"/>
    </row>
    <row r="45" spans="2:15" x14ac:dyDescent="0.25">
      <c r="B45" s="69"/>
      <c r="C45" s="69"/>
    </row>
    <row r="46" spans="2:15" x14ac:dyDescent="0.25">
      <c r="B46" s="69"/>
      <c r="C46" s="69"/>
    </row>
    <row r="47" spans="2:15" x14ac:dyDescent="0.25">
      <c r="B47" s="69"/>
      <c r="C47" s="69"/>
    </row>
    <row r="48" spans="2:15" x14ac:dyDescent="0.25">
      <c r="B48" s="69"/>
      <c r="C48" s="69"/>
    </row>
    <row r="49" spans="2:3" x14ac:dyDescent="0.25">
      <c r="B49" s="69"/>
      <c r="C49" s="69"/>
    </row>
    <row r="50" spans="2:3" x14ac:dyDescent="0.25">
      <c r="B50" s="69"/>
      <c r="C50" s="69"/>
    </row>
    <row r="51" spans="2:3" x14ac:dyDescent="0.25">
      <c r="B51" s="69"/>
      <c r="C51" s="69"/>
    </row>
  </sheetData>
  <mergeCells count="59">
    <mergeCell ref="B19:J19"/>
    <mergeCell ref="C23:E23"/>
    <mergeCell ref="C24:F24"/>
    <mergeCell ref="G22:I22"/>
    <mergeCell ref="G23:I23"/>
    <mergeCell ref="B17:J17"/>
    <mergeCell ref="B18:J18"/>
    <mergeCell ref="B20:J20"/>
    <mergeCell ref="M9:M11"/>
    <mergeCell ref="K12:L14"/>
    <mergeCell ref="M12:M14"/>
    <mergeCell ref="B15:J15"/>
    <mergeCell ref="B16:J16"/>
    <mergeCell ref="K9:L11"/>
    <mergeCell ref="C25:E25"/>
    <mergeCell ref="C26:E26"/>
    <mergeCell ref="D27:E27"/>
    <mergeCell ref="G28:I28"/>
    <mergeCell ref="J28:K28"/>
    <mergeCell ref="C30:H30"/>
    <mergeCell ref="H32:I32"/>
    <mergeCell ref="E37:G37"/>
    <mergeCell ref="B40:C40"/>
    <mergeCell ref="B41:C41"/>
    <mergeCell ref="B42:C42"/>
    <mergeCell ref="E32:G32"/>
    <mergeCell ref="B33:B37"/>
    <mergeCell ref="E33:G33"/>
    <mergeCell ref="C34:C35"/>
    <mergeCell ref="E34:G34"/>
    <mergeCell ref="E35:G35"/>
    <mergeCell ref="E36:G36"/>
    <mergeCell ref="H33:I37"/>
    <mergeCell ref="D42:F42"/>
    <mergeCell ref="A12:A14"/>
    <mergeCell ref="B12:B14"/>
    <mergeCell ref="D12:J13"/>
    <mergeCell ref="D14:J14"/>
    <mergeCell ref="B5:J5"/>
    <mergeCell ref="A6:A8"/>
    <mergeCell ref="B6:B8"/>
    <mergeCell ref="D6:J6"/>
    <mergeCell ref="D7:J7"/>
    <mergeCell ref="D8:J8"/>
    <mergeCell ref="A9:A11"/>
    <mergeCell ref="B9:B11"/>
    <mergeCell ref="D9:J9"/>
    <mergeCell ref="D10:J10"/>
    <mergeCell ref="D11:J11"/>
    <mergeCell ref="F2:K2"/>
    <mergeCell ref="F3:K3"/>
    <mergeCell ref="F4:K4"/>
    <mergeCell ref="C1:D1"/>
    <mergeCell ref="F1:K1"/>
    <mergeCell ref="A2:A4"/>
    <mergeCell ref="B2:B4"/>
    <mergeCell ref="C2:D2"/>
    <mergeCell ref="C3:D3"/>
    <mergeCell ref="C4:D4"/>
  </mergeCell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5"/>
  <sheetViews>
    <sheetView topLeftCell="A28" zoomScale="85" zoomScaleNormal="85" workbookViewId="0">
      <selection activeCell="G45" sqref="G45"/>
    </sheetView>
  </sheetViews>
  <sheetFormatPr defaultRowHeight="15" x14ac:dyDescent="0.25"/>
  <cols>
    <col min="1" max="1" width="32.85546875" customWidth="1"/>
    <col min="2" max="2" width="17.42578125" bestFit="1" customWidth="1"/>
    <col min="3" max="3" width="18.42578125" bestFit="1" customWidth="1"/>
    <col min="4" max="4" width="16.7109375" bestFit="1" customWidth="1"/>
    <col min="5" max="5" width="17.42578125" bestFit="1" customWidth="1"/>
    <col min="6" max="6" width="18.42578125" bestFit="1" customWidth="1"/>
    <col min="7" max="7" width="16.7109375" bestFit="1" customWidth="1"/>
    <col min="8" max="8" width="17.42578125" bestFit="1" customWidth="1"/>
    <col min="9" max="9" width="18.42578125" bestFit="1" customWidth="1"/>
    <col min="10" max="10" width="16.7109375" bestFit="1" customWidth="1"/>
  </cols>
  <sheetData>
    <row r="1" spans="1:14" ht="15.75" thickBot="1" x14ac:dyDescent="0.3">
      <c r="A1" s="70" t="s">
        <v>67</v>
      </c>
      <c r="B1" s="69"/>
      <c r="C1" s="29"/>
      <c r="D1" s="29"/>
      <c r="E1" s="29"/>
      <c r="F1" s="29"/>
      <c r="G1" s="64"/>
      <c r="L1" s="23"/>
      <c r="M1" s="23"/>
      <c r="N1" s="23"/>
    </row>
    <row r="2" spans="1:14" s="29" customFormat="1" ht="30.75" customHeight="1" thickBot="1" x14ac:dyDescent="0.3">
      <c r="A2" s="259" t="s">
        <v>182</v>
      </c>
      <c r="B2" s="260"/>
      <c r="C2" s="260"/>
      <c r="D2" s="260"/>
      <c r="E2" s="260"/>
      <c r="F2" s="260"/>
      <c r="G2" s="260"/>
      <c r="H2" s="260"/>
      <c r="I2" s="260"/>
      <c r="J2" s="261"/>
      <c r="L2" s="23"/>
      <c r="M2" s="23"/>
      <c r="N2" s="23"/>
    </row>
    <row r="3" spans="1:14" s="29" customFormat="1" ht="15.75" customHeight="1" thickBot="1" x14ac:dyDescent="0.3">
      <c r="A3" s="129" t="s">
        <v>93</v>
      </c>
      <c r="B3" s="130" t="s">
        <v>183</v>
      </c>
      <c r="C3" s="131"/>
      <c r="D3" s="132"/>
      <c r="E3" s="254" t="s">
        <v>186</v>
      </c>
      <c r="F3" s="255"/>
      <c r="G3" s="256"/>
      <c r="H3" s="144" t="s">
        <v>185</v>
      </c>
      <c r="I3" s="145"/>
      <c r="J3" s="146"/>
      <c r="L3" s="23"/>
      <c r="M3" s="23"/>
      <c r="N3" s="23"/>
    </row>
    <row r="4" spans="1:14" s="29" customFormat="1" ht="15.75" thickBot="1" x14ac:dyDescent="0.3">
      <c r="A4" s="258"/>
      <c r="B4" s="71" t="s">
        <v>94</v>
      </c>
      <c r="C4" s="72" t="s">
        <v>95</v>
      </c>
      <c r="D4" s="73" t="s">
        <v>96</v>
      </c>
      <c r="E4" s="71" t="s">
        <v>94</v>
      </c>
      <c r="F4" s="72" t="s">
        <v>95</v>
      </c>
      <c r="G4" s="73" t="s">
        <v>96</v>
      </c>
      <c r="H4" s="89" t="s">
        <v>94</v>
      </c>
      <c r="I4" s="87" t="s">
        <v>95</v>
      </c>
      <c r="J4" s="88" t="s">
        <v>96</v>
      </c>
      <c r="L4" s="23"/>
      <c r="M4" s="23"/>
      <c r="N4" s="23"/>
    </row>
    <row r="5" spans="1:14" s="29" customFormat="1" ht="30" x14ac:dyDescent="0.25">
      <c r="A5" s="257" t="s">
        <v>97</v>
      </c>
      <c r="B5" s="76" t="s">
        <v>98</v>
      </c>
      <c r="C5" s="77" t="s">
        <v>99</v>
      </c>
      <c r="D5" s="78" t="s">
        <v>100</v>
      </c>
      <c r="E5" s="76" t="s">
        <v>99</v>
      </c>
      <c r="F5" s="77" t="s">
        <v>99</v>
      </c>
      <c r="G5" s="78" t="s">
        <v>100</v>
      </c>
      <c r="H5" s="76" t="s">
        <v>99</v>
      </c>
      <c r="I5" s="77" t="s">
        <v>99</v>
      </c>
      <c r="J5" s="75" t="s">
        <v>100</v>
      </c>
      <c r="L5" s="253"/>
      <c r="M5" s="253"/>
      <c r="N5" s="23"/>
    </row>
    <row r="6" spans="1:14" s="29" customFormat="1" ht="39" x14ac:dyDescent="0.25">
      <c r="A6" s="74" t="s">
        <v>102</v>
      </c>
      <c r="B6" s="79" t="s">
        <v>108</v>
      </c>
      <c r="C6" s="80" t="s">
        <v>99</v>
      </c>
      <c r="D6" s="81" t="s">
        <v>100</v>
      </c>
      <c r="E6" s="79" t="s">
        <v>99</v>
      </c>
      <c r="F6" s="80" t="s">
        <v>99</v>
      </c>
      <c r="G6" s="81" t="s">
        <v>100</v>
      </c>
      <c r="H6" s="79" t="s">
        <v>99</v>
      </c>
      <c r="I6" s="80" t="s">
        <v>99</v>
      </c>
      <c r="J6" s="81" t="s">
        <v>100</v>
      </c>
      <c r="L6" s="253"/>
      <c r="M6" s="253"/>
      <c r="N6" s="23"/>
    </row>
    <row r="7" spans="1:14" s="29" customFormat="1" ht="39" x14ac:dyDescent="0.25">
      <c r="A7" s="74" t="s">
        <v>103</v>
      </c>
      <c r="B7" s="79" t="s">
        <v>108</v>
      </c>
      <c r="C7" s="80" t="s">
        <v>99</v>
      </c>
      <c r="D7" s="81" t="s">
        <v>100</v>
      </c>
      <c r="E7" s="79" t="s">
        <v>99</v>
      </c>
      <c r="F7" s="80" t="s">
        <v>99</v>
      </c>
      <c r="G7" s="81" t="s">
        <v>100</v>
      </c>
      <c r="H7" s="79" t="s">
        <v>99</v>
      </c>
      <c r="I7" s="80" t="s">
        <v>99</v>
      </c>
      <c r="J7" s="81" t="s">
        <v>100</v>
      </c>
      <c r="L7" s="253"/>
      <c r="M7" s="253"/>
      <c r="N7" s="23"/>
    </row>
    <row r="8" spans="1:14" s="29" customFormat="1" ht="39" x14ac:dyDescent="0.25">
      <c r="A8" s="74" t="s">
        <v>104</v>
      </c>
      <c r="B8" s="79" t="s">
        <v>101</v>
      </c>
      <c r="C8" s="80" t="s">
        <v>106</v>
      </c>
      <c r="D8" s="81" t="s">
        <v>100</v>
      </c>
      <c r="E8" s="79" t="s">
        <v>99</v>
      </c>
      <c r="F8" s="80" t="s">
        <v>106</v>
      </c>
      <c r="G8" s="81" t="s">
        <v>100</v>
      </c>
      <c r="H8" s="79" t="s">
        <v>99</v>
      </c>
      <c r="I8" s="80" t="s">
        <v>106</v>
      </c>
      <c r="J8" s="81" t="s">
        <v>100</v>
      </c>
      <c r="L8" s="253"/>
      <c r="M8" s="253"/>
      <c r="N8" s="23"/>
    </row>
    <row r="9" spans="1:14" s="29" customFormat="1" ht="30" x14ac:dyDescent="0.25">
      <c r="A9" s="74" t="s">
        <v>107</v>
      </c>
      <c r="B9" s="79" t="s">
        <v>108</v>
      </c>
      <c r="C9" s="80" t="s">
        <v>106</v>
      </c>
      <c r="D9" s="81" t="s">
        <v>109</v>
      </c>
      <c r="E9" s="79" t="s">
        <v>99</v>
      </c>
      <c r="F9" s="80" t="s">
        <v>106</v>
      </c>
      <c r="G9" s="81" t="s">
        <v>109</v>
      </c>
      <c r="H9" s="79" t="s">
        <v>99</v>
      </c>
      <c r="I9" s="80" t="s">
        <v>106</v>
      </c>
      <c r="J9" s="81" t="s">
        <v>109</v>
      </c>
      <c r="L9" s="253"/>
      <c r="M9" s="253"/>
      <c r="N9" s="23"/>
    </row>
    <row r="10" spans="1:14" s="29" customFormat="1" ht="30" x14ac:dyDescent="0.25">
      <c r="A10" s="74" t="s">
        <v>110</v>
      </c>
      <c r="B10" s="79" t="s">
        <v>101</v>
      </c>
      <c r="C10" s="80" t="s">
        <v>106</v>
      </c>
      <c r="D10" s="81" t="s">
        <v>109</v>
      </c>
      <c r="E10" s="79" t="s">
        <v>99</v>
      </c>
      <c r="F10" s="80" t="s">
        <v>106</v>
      </c>
      <c r="G10" s="81" t="s">
        <v>111</v>
      </c>
      <c r="H10" s="79" t="s">
        <v>99</v>
      </c>
      <c r="I10" s="80" t="s">
        <v>106</v>
      </c>
      <c r="J10" s="81" t="s">
        <v>111</v>
      </c>
      <c r="L10" s="253"/>
      <c r="M10" s="253"/>
      <c r="N10" s="23"/>
    </row>
    <row r="11" spans="1:14" s="29" customFormat="1" ht="30" x14ac:dyDescent="0.25">
      <c r="A11" s="252" t="s">
        <v>181</v>
      </c>
      <c r="B11" s="79" t="s">
        <v>105</v>
      </c>
      <c r="C11" s="80" t="s">
        <v>113</v>
      </c>
      <c r="D11" s="81" t="s">
        <v>109</v>
      </c>
      <c r="E11" s="79" t="s">
        <v>99</v>
      </c>
      <c r="F11" s="80" t="s">
        <v>113</v>
      </c>
      <c r="G11" s="81" t="s">
        <v>109</v>
      </c>
      <c r="H11" s="79" t="s">
        <v>99</v>
      </c>
      <c r="I11" s="80" t="s">
        <v>113</v>
      </c>
      <c r="J11" s="81" t="s">
        <v>109</v>
      </c>
      <c r="L11" s="253"/>
      <c r="M11" s="253"/>
      <c r="N11" s="23"/>
    </row>
    <row r="12" spans="1:14" s="29" customFormat="1" ht="30.75" thickBot="1" x14ac:dyDescent="0.3">
      <c r="A12" s="82" t="s">
        <v>112</v>
      </c>
      <c r="B12" s="83" t="s">
        <v>99</v>
      </c>
      <c r="C12" s="84" t="s">
        <v>113</v>
      </c>
      <c r="D12" s="85" t="s">
        <v>111</v>
      </c>
      <c r="E12" s="83" t="s">
        <v>113</v>
      </c>
      <c r="F12" s="84" t="s">
        <v>115</v>
      </c>
      <c r="G12" s="85" t="s">
        <v>114</v>
      </c>
      <c r="H12" s="83" t="s">
        <v>113</v>
      </c>
      <c r="I12" s="84" t="s">
        <v>115</v>
      </c>
      <c r="J12" s="85" t="s">
        <v>116</v>
      </c>
      <c r="L12" s="23"/>
      <c r="M12" s="23"/>
      <c r="N12" s="23"/>
    </row>
    <row r="13" spans="1:14" s="29" customFormat="1" x14ac:dyDescent="0.25"/>
    <row r="14" spans="1:14" x14ac:dyDescent="0.25">
      <c r="B14" s="70" t="s">
        <v>75</v>
      </c>
      <c r="C14" s="29"/>
      <c r="D14" s="29"/>
      <c r="E14" s="29"/>
      <c r="F14" s="29"/>
      <c r="G14" s="64"/>
      <c r="H14" s="29"/>
      <c r="I14" s="29"/>
      <c r="J14" s="29"/>
    </row>
    <row r="15" spans="1:14" ht="15.75" thickBot="1" x14ac:dyDescent="0.3">
      <c r="B15" s="86" t="s">
        <v>117</v>
      </c>
      <c r="C15" s="29"/>
      <c r="D15" s="64"/>
      <c r="E15" s="29"/>
      <c r="F15" s="29"/>
      <c r="G15" s="29"/>
      <c r="H15" s="29"/>
      <c r="I15" s="29"/>
      <c r="J15" s="29"/>
    </row>
    <row r="16" spans="1:14" ht="37.5" customHeight="1" thickBot="1" x14ac:dyDescent="0.3">
      <c r="B16" s="259" t="s">
        <v>184</v>
      </c>
      <c r="C16" s="260"/>
      <c r="D16" s="260"/>
      <c r="E16" s="260"/>
      <c r="F16" s="260"/>
      <c r="G16" s="260"/>
      <c r="H16" s="260"/>
      <c r="I16" s="260"/>
      <c r="J16" s="261"/>
    </row>
    <row r="17" spans="2:10" x14ac:dyDescent="0.25">
      <c r="B17" s="144" t="s">
        <v>183</v>
      </c>
      <c r="C17" s="145"/>
      <c r="D17" s="146"/>
      <c r="E17" s="144" t="s">
        <v>186</v>
      </c>
      <c r="F17" s="145"/>
      <c r="G17" s="146"/>
      <c r="H17" s="144" t="s">
        <v>185</v>
      </c>
      <c r="I17" s="145"/>
      <c r="J17" s="146"/>
    </row>
    <row r="18" spans="2:10" x14ac:dyDescent="0.25">
      <c r="B18" s="79" t="s">
        <v>94</v>
      </c>
      <c r="C18" s="87" t="s">
        <v>95</v>
      </c>
      <c r="D18" s="88" t="s">
        <v>96</v>
      </c>
      <c r="E18" s="89" t="s">
        <v>94</v>
      </c>
      <c r="F18" s="87" t="s">
        <v>95</v>
      </c>
      <c r="G18" s="88" t="s">
        <v>96</v>
      </c>
      <c r="H18" s="89" t="s">
        <v>94</v>
      </c>
      <c r="I18" s="87" t="s">
        <v>95</v>
      </c>
      <c r="J18" s="88" t="s">
        <v>96</v>
      </c>
    </row>
    <row r="19" spans="2:10" ht="30.75" thickBot="1" x14ac:dyDescent="0.3">
      <c r="B19" s="83" t="s">
        <v>99</v>
      </c>
      <c r="C19" s="84" t="s">
        <v>113</v>
      </c>
      <c r="D19" s="85" t="s">
        <v>118</v>
      </c>
      <c r="E19" s="83" t="s">
        <v>113</v>
      </c>
      <c r="F19" s="84" t="s">
        <v>115</v>
      </c>
      <c r="G19" s="85" t="s">
        <v>119</v>
      </c>
      <c r="H19" s="83" t="s">
        <v>113</v>
      </c>
      <c r="I19" s="84" t="s">
        <v>115</v>
      </c>
      <c r="J19" s="85" t="s">
        <v>116</v>
      </c>
    </row>
    <row r="20" spans="2:10" x14ac:dyDescent="0.25">
      <c r="B20" s="29"/>
      <c r="C20" s="29"/>
      <c r="D20" s="64"/>
      <c r="E20" s="29"/>
      <c r="F20" s="29"/>
      <c r="G20" s="29"/>
      <c r="H20" s="23"/>
      <c r="I20" s="23"/>
      <c r="J20" s="23"/>
    </row>
    <row r="21" spans="2:10" x14ac:dyDescent="0.25">
      <c r="B21" s="29"/>
      <c r="C21" s="29"/>
      <c r="D21" s="64"/>
      <c r="E21" s="29"/>
      <c r="F21" s="29"/>
      <c r="G21" s="29"/>
      <c r="H21" s="29"/>
      <c r="I21" s="29"/>
      <c r="J21" s="29"/>
    </row>
    <row r="22" spans="2:10" ht="15.75" thickBot="1" x14ac:dyDescent="0.3">
      <c r="B22" s="90" t="s">
        <v>120</v>
      </c>
      <c r="C22" s="29"/>
      <c r="D22" s="29"/>
      <c r="E22" s="64"/>
      <c r="F22" s="29"/>
      <c r="G22" s="29"/>
      <c r="H22" s="29"/>
      <c r="I22" s="29"/>
      <c r="J22" s="29"/>
    </row>
    <row r="23" spans="2:10" ht="34.5" customHeight="1" thickBot="1" x14ac:dyDescent="0.3">
      <c r="B23" s="259" t="s">
        <v>188</v>
      </c>
      <c r="C23" s="260"/>
      <c r="D23" s="260"/>
      <c r="E23" s="260"/>
      <c r="F23" s="260"/>
      <c r="G23" s="260"/>
      <c r="H23" s="260"/>
      <c r="I23" s="260"/>
      <c r="J23" s="261"/>
    </row>
    <row r="24" spans="2:10" x14ac:dyDescent="0.25">
      <c r="B24" s="144" t="s">
        <v>183</v>
      </c>
      <c r="C24" s="145"/>
      <c r="D24" s="146"/>
      <c r="E24" s="144" t="s">
        <v>186</v>
      </c>
      <c r="F24" s="145"/>
      <c r="G24" s="146"/>
      <c r="H24" s="144" t="s">
        <v>185</v>
      </c>
      <c r="I24" s="145"/>
      <c r="J24" s="146"/>
    </row>
    <row r="25" spans="2:10" x14ac:dyDescent="0.25">
      <c r="B25" s="91" t="s">
        <v>94</v>
      </c>
      <c r="C25" s="87" t="s">
        <v>95</v>
      </c>
      <c r="D25" s="88" t="s">
        <v>96</v>
      </c>
      <c r="E25" s="89" t="s">
        <v>94</v>
      </c>
      <c r="F25" s="87" t="s">
        <v>95</v>
      </c>
      <c r="G25" s="88" t="s">
        <v>96</v>
      </c>
      <c r="H25" s="89" t="s">
        <v>94</v>
      </c>
      <c r="I25" s="87" t="s">
        <v>95</v>
      </c>
      <c r="J25" s="88" t="s">
        <v>96</v>
      </c>
    </row>
    <row r="26" spans="2:10" ht="30.75" thickBot="1" x14ac:dyDescent="0.3">
      <c r="B26" s="83" t="s">
        <v>115</v>
      </c>
      <c r="C26" s="84" t="s">
        <v>122</v>
      </c>
      <c r="D26" s="85" t="s">
        <v>111</v>
      </c>
      <c r="E26" s="83" t="s">
        <v>122</v>
      </c>
      <c r="F26" s="84" t="s">
        <v>121</v>
      </c>
      <c r="G26" s="85" t="s">
        <v>114</v>
      </c>
      <c r="H26" s="83" t="s">
        <v>122</v>
      </c>
      <c r="I26" s="84" t="s">
        <v>121</v>
      </c>
      <c r="J26" s="85" t="s">
        <v>116</v>
      </c>
    </row>
    <row r="27" spans="2:10" x14ac:dyDescent="0.25">
      <c r="B27" s="69"/>
      <c r="C27" s="29"/>
      <c r="D27" s="29"/>
      <c r="E27" s="29"/>
      <c r="F27" s="29"/>
      <c r="G27" s="64"/>
      <c r="H27" s="29"/>
      <c r="I27" s="29"/>
      <c r="J27" s="29"/>
    </row>
    <row r="28" spans="2:10" ht="15.75" thickBot="1" x14ac:dyDescent="0.3">
      <c r="B28" s="86" t="s">
        <v>71</v>
      </c>
      <c r="C28" s="29"/>
      <c r="D28" s="29"/>
      <c r="E28" s="64"/>
      <c r="F28" s="29"/>
      <c r="G28" s="29"/>
      <c r="H28" s="29"/>
      <c r="I28" s="29"/>
      <c r="J28" s="29"/>
    </row>
    <row r="29" spans="2:10" ht="31.5" customHeight="1" thickBot="1" x14ac:dyDescent="0.3">
      <c r="B29" s="259" t="s">
        <v>190</v>
      </c>
      <c r="C29" s="260"/>
      <c r="D29" s="260"/>
      <c r="E29" s="260"/>
      <c r="F29" s="260"/>
      <c r="G29" s="260"/>
      <c r="H29" s="260"/>
      <c r="I29" s="260"/>
      <c r="J29" s="261"/>
    </row>
    <row r="30" spans="2:10" x14ac:dyDescent="0.25">
      <c r="B30" s="69"/>
      <c r="C30" s="29"/>
      <c r="D30" s="29"/>
      <c r="E30" s="29"/>
      <c r="F30" s="29"/>
      <c r="G30" s="64"/>
      <c r="H30" s="29"/>
      <c r="I30" s="29"/>
      <c r="J30" s="29"/>
    </row>
    <row r="31" spans="2:10" x14ac:dyDescent="0.25">
      <c r="B31" s="69"/>
      <c r="C31" s="29"/>
      <c r="D31" s="29"/>
      <c r="E31" s="29"/>
      <c r="F31" s="29"/>
      <c r="G31" s="64"/>
      <c r="H31" s="29"/>
      <c r="I31" s="29"/>
      <c r="J31" s="29"/>
    </row>
    <row r="32" spans="2:10" ht="15.75" thickBot="1" x14ac:dyDescent="0.3">
      <c r="B32" s="90" t="s">
        <v>120</v>
      </c>
      <c r="C32" s="29"/>
      <c r="D32" s="29"/>
      <c r="E32" s="64"/>
      <c r="F32" s="29"/>
      <c r="G32" s="29"/>
      <c r="H32" s="29"/>
      <c r="I32" s="29"/>
      <c r="J32" s="29"/>
    </row>
    <row r="33" spans="2:10" ht="32.25" customHeight="1" thickBot="1" x14ac:dyDescent="0.3">
      <c r="B33" s="259" t="s">
        <v>189</v>
      </c>
      <c r="C33" s="260"/>
      <c r="D33" s="260"/>
      <c r="E33" s="260"/>
      <c r="F33" s="260"/>
      <c r="G33" s="260"/>
      <c r="H33" s="260"/>
      <c r="I33" s="260"/>
      <c r="J33" s="261"/>
    </row>
    <row r="34" spans="2:10" x14ac:dyDescent="0.25">
      <c r="B34" s="144" t="s">
        <v>183</v>
      </c>
      <c r="C34" s="145"/>
      <c r="D34" s="146"/>
      <c r="E34" s="144" t="s">
        <v>186</v>
      </c>
      <c r="F34" s="145"/>
      <c r="G34" s="146"/>
      <c r="H34" s="144" t="s">
        <v>185</v>
      </c>
      <c r="I34" s="145"/>
      <c r="J34" s="146"/>
    </row>
    <row r="35" spans="2:10" x14ac:dyDescent="0.25">
      <c r="B35" s="91" t="s">
        <v>94</v>
      </c>
      <c r="C35" s="87" t="s">
        <v>95</v>
      </c>
      <c r="D35" s="88" t="s">
        <v>96</v>
      </c>
      <c r="E35" s="89" t="s">
        <v>94</v>
      </c>
      <c r="F35" s="87" t="s">
        <v>95</v>
      </c>
      <c r="G35" s="88" t="s">
        <v>96</v>
      </c>
      <c r="H35" s="89" t="s">
        <v>94</v>
      </c>
      <c r="I35" s="87" t="s">
        <v>95</v>
      </c>
      <c r="J35" s="88" t="s">
        <v>96</v>
      </c>
    </row>
    <row r="36" spans="2:10" ht="30.75" thickBot="1" x14ac:dyDescent="0.3">
      <c r="B36" s="83" t="s">
        <v>115</v>
      </c>
      <c r="C36" s="84" t="s">
        <v>122</v>
      </c>
      <c r="D36" s="85" t="s">
        <v>111</v>
      </c>
      <c r="E36" s="83" t="s">
        <v>122</v>
      </c>
      <c r="F36" s="84" t="s">
        <v>121</v>
      </c>
      <c r="G36" s="85" t="s">
        <v>114</v>
      </c>
      <c r="H36" s="83" t="s">
        <v>122</v>
      </c>
      <c r="I36" s="84" t="s">
        <v>121</v>
      </c>
      <c r="J36" s="85" t="s">
        <v>116</v>
      </c>
    </row>
    <row r="40" spans="2:10" x14ac:dyDescent="0.25">
      <c r="B40" t="s">
        <v>195</v>
      </c>
    </row>
    <row r="41" spans="2:10" ht="15.75" thickBot="1" x14ac:dyDescent="0.3">
      <c r="B41" t="s">
        <v>196</v>
      </c>
    </row>
    <row r="42" spans="2:10" ht="15.75" thickBot="1" x14ac:dyDescent="0.3">
      <c r="B42" s="273" t="s">
        <v>193</v>
      </c>
      <c r="C42" s="274" t="s">
        <v>194</v>
      </c>
      <c r="D42" s="275" t="s">
        <v>96</v>
      </c>
    </row>
    <row r="43" spans="2:10" ht="30.75" customHeight="1" x14ac:dyDescent="0.25">
      <c r="B43" s="271">
        <v>4.0999999999999996</v>
      </c>
      <c r="C43" s="272" t="s">
        <v>191</v>
      </c>
      <c r="D43" s="267" t="s">
        <v>116</v>
      </c>
    </row>
    <row r="44" spans="2:10" x14ac:dyDescent="0.25">
      <c r="B44" s="265">
        <v>4.5</v>
      </c>
      <c r="C44" s="269">
        <v>280000</v>
      </c>
      <c r="D44" s="267"/>
    </row>
    <row r="45" spans="2:10" x14ac:dyDescent="0.25">
      <c r="B45" s="265">
        <v>5</v>
      </c>
      <c r="C45" s="269">
        <v>375000</v>
      </c>
      <c r="D45" s="267"/>
    </row>
    <row r="46" spans="2:10" x14ac:dyDescent="0.25">
      <c r="B46" s="265">
        <v>5.5</v>
      </c>
      <c r="C46" s="269">
        <v>460000</v>
      </c>
      <c r="D46" s="267"/>
    </row>
    <row r="47" spans="2:10" x14ac:dyDescent="0.25">
      <c r="B47" s="265">
        <v>6</v>
      </c>
      <c r="C47" s="269">
        <v>540000</v>
      </c>
      <c r="D47" s="267"/>
    </row>
    <row r="48" spans="2:10" x14ac:dyDescent="0.25">
      <c r="B48" s="265">
        <v>6.5</v>
      </c>
      <c r="C48" s="269">
        <v>610000</v>
      </c>
      <c r="D48" s="267"/>
    </row>
    <row r="49" spans="2:4" x14ac:dyDescent="0.25">
      <c r="B49" s="265">
        <v>7</v>
      </c>
      <c r="C49" s="269">
        <v>680000</v>
      </c>
      <c r="D49" s="267"/>
    </row>
    <row r="50" spans="2:4" x14ac:dyDescent="0.25">
      <c r="B50" s="265">
        <v>7.5</v>
      </c>
      <c r="C50" s="269">
        <v>740000</v>
      </c>
      <c r="D50" s="267"/>
    </row>
    <row r="51" spans="2:4" x14ac:dyDescent="0.25">
      <c r="B51" s="265">
        <v>8</v>
      </c>
      <c r="C51" s="269">
        <v>800000</v>
      </c>
      <c r="D51" s="267"/>
    </row>
    <row r="52" spans="2:4" x14ac:dyDescent="0.25">
      <c r="B52" s="265">
        <v>8.5</v>
      </c>
      <c r="C52" s="269">
        <v>850000</v>
      </c>
      <c r="D52" s="267"/>
    </row>
    <row r="53" spans="2:4" x14ac:dyDescent="0.25">
      <c r="B53" s="265">
        <v>9</v>
      </c>
      <c r="C53" s="269">
        <v>900000</v>
      </c>
      <c r="D53" s="267"/>
    </row>
    <row r="54" spans="2:4" x14ac:dyDescent="0.25">
      <c r="B54" s="265">
        <v>9.5</v>
      </c>
      <c r="C54" s="269">
        <v>950000</v>
      </c>
      <c r="D54" s="267"/>
    </row>
    <row r="55" spans="2:4" ht="15.75" thickBot="1" x14ac:dyDescent="0.3">
      <c r="B55" s="266">
        <v>10</v>
      </c>
      <c r="C55" s="270" t="s">
        <v>192</v>
      </c>
      <c r="D55" s="268"/>
    </row>
  </sheetData>
  <mergeCells count="19">
    <mergeCell ref="D43:D55"/>
    <mergeCell ref="A3:A4"/>
    <mergeCell ref="B3:D3"/>
    <mergeCell ref="E3:G3"/>
    <mergeCell ref="H3:J3"/>
    <mergeCell ref="A2:J2"/>
    <mergeCell ref="B29:J29"/>
    <mergeCell ref="B33:J33"/>
    <mergeCell ref="B34:D34"/>
    <mergeCell ref="E34:G34"/>
    <mergeCell ref="H34:J34"/>
    <mergeCell ref="B16:J16"/>
    <mergeCell ref="B17:D17"/>
    <mergeCell ref="E17:G17"/>
    <mergeCell ref="H17:J17"/>
    <mergeCell ref="B23:J23"/>
    <mergeCell ref="B24:D24"/>
    <mergeCell ref="E24:G24"/>
    <mergeCell ref="H24:J24"/>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U19"/>
  <sheetViews>
    <sheetView showGridLines="0" topLeftCell="A2" workbookViewId="0">
      <selection activeCell="H8" sqref="H8"/>
    </sheetView>
  </sheetViews>
  <sheetFormatPr defaultRowHeight="15" outlineLevelCol="1" x14ac:dyDescent="0.25"/>
  <cols>
    <col min="1" max="1" width="4.28515625" customWidth="1"/>
    <col min="2" max="2" width="30.5703125" customWidth="1"/>
    <col min="3" max="3" width="12.7109375" bestFit="1" customWidth="1"/>
    <col min="4" max="4" width="7.28515625" bestFit="1" customWidth="1"/>
    <col min="5" max="5" width="12.7109375" bestFit="1" customWidth="1"/>
    <col min="6" max="6" width="3" bestFit="1" customWidth="1"/>
    <col min="7" max="7" width="12" bestFit="1" customWidth="1"/>
    <col min="8" max="8" width="8.42578125" bestFit="1" customWidth="1"/>
    <col min="9" max="9" width="1.7109375" customWidth="1"/>
    <col min="10" max="10" width="3.5703125" customWidth="1"/>
    <col min="11" max="11" width="31.140625" bestFit="1" customWidth="1"/>
    <col min="12" max="12" width="22.5703125" customWidth="1"/>
    <col min="13" max="13" width="3.28515625" customWidth="1"/>
    <col min="14" max="14" width="19.140625" customWidth="1" outlineLevel="1"/>
    <col min="15" max="15" width="4.5703125" customWidth="1" outlineLevel="1"/>
    <col min="16" max="16" width="19.5703125" customWidth="1" outlineLevel="1"/>
    <col min="17" max="17" width="10.140625" customWidth="1" outlineLevel="1"/>
    <col min="18" max="18" width="2.5703125" customWidth="1"/>
    <col min="19" max="19" width="7.140625" customWidth="1"/>
    <col min="20" max="20" width="2.42578125" customWidth="1"/>
    <col min="21" max="21" width="12.28515625" bestFit="1" customWidth="1"/>
  </cols>
  <sheetData>
    <row r="3" spans="2:21" ht="31.5" customHeight="1" x14ac:dyDescent="0.25">
      <c r="B3" s="52" t="s">
        <v>17</v>
      </c>
      <c r="C3" s="168" t="s">
        <v>123</v>
      </c>
      <c r="D3" s="169"/>
      <c r="E3" s="169"/>
      <c r="F3" s="169"/>
      <c r="G3" s="170"/>
      <c r="H3" s="53" t="s">
        <v>124</v>
      </c>
      <c r="K3" s="171" t="s">
        <v>54</v>
      </c>
      <c r="L3" s="172"/>
      <c r="N3" s="47" t="s">
        <v>56</v>
      </c>
      <c r="P3" s="46" t="s">
        <v>60</v>
      </c>
      <c r="Q3" s="46" t="s">
        <v>57</v>
      </c>
      <c r="S3" s="65" t="s">
        <v>58</v>
      </c>
      <c r="U3" s="54" t="s">
        <v>59</v>
      </c>
    </row>
    <row r="4" spans="2:21" s="96" customFormat="1" ht="18" customHeight="1" x14ac:dyDescent="0.25">
      <c r="B4" s="92" t="s">
        <v>18</v>
      </c>
      <c r="C4" s="93">
        <v>-0.82483013199900002</v>
      </c>
      <c r="D4" s="93" t="s">
        <v>20</v>
      </c>
      <c r="E4" s="93">
        <v>5.4119332264719997</v>
      </c>
      <c r="F4" s="93"/>
      <c r="G4" s="93"/>
      <c r="H4" s="94">
        <v>0.57588451310939492</v>
      </c>
      <c r="I4" s="95"/>
      <c r="K4" s="92" t="s">
        <v>18</v>
      </c>
      <c r="L4" s="97">
        <v>620</v>
      </c>
      <c r="N4" s="98">
        <f>$C$4*LN(L4)+$E$4</f>
        <v>0.10850686068443594</v>
      </c>
      <c r="P4" s="98">
        <f>$C$4*LN(850)+$E$4</f>
        <v>-0.15174096203763998</v>
      </c>
      <c r="Q4" s="98">
        <f>$C$4*LN(400)+$E$4</f>
        <v>0.46999273321359425</v>
      </c>
      <c r="S4" s="99">
        <f t="shared" ref="S4:S8" si="0">IF(N4&lt;=P4,H4*10,IF(N4&gt;=Q4,0,10*H4*((N4-Q4)/(P4-Q4))))</f>
        <v>3.3482842780984994</v>
      </c>
      <c r="U4" s="55">
        <f>SUM(S4:S8)</f>
        <v>5.6679954027471648</v>
      </c>
    </row>
    <row r="5" spans="2:21" s="96" customFormat="1" ht="18" customHeight="1" x14ac:dyDescent="0.25">
      <c r="B5" s="92" t="s">
        <v>2</v>
      </c>
      <c r="C5" s="93">
        <v>0.21261259063099999</v>
      </c>
      <c r="D5" s="93" t="s">
        <v>22</v>
      </c>
      <c r="E5" s="93">
        <v>5.9681776488E-2</v>
      </c>
      <c r="F5" s="93" t="s">
        <v>19</v>
      </c>
      <c r="G5" s="93">
        <v>2.5683844713999999E-2</v>
      </c>
      <c r="H5" s="94">
        <v>0.12258363408715346</v>
      </c>
      <c r="I5" s="95"/>
      <c r="K5" s="92" t="s">
        <v>2</v>
      </c>
      <c r="L5" s="100">
        <v>0.5</v>
      </c>
      <c r="N5" s="98">
        <f>$C$5*L5^2+$E$5*L5+$G$5</f>
        <v>0.10867788061575</v>
      </c>
      <c r="P5" s="98">
        <f>$C$5*1%^2+$E$5*1%+$G$5</f>
        <v>2.63019237379431E-2</v>
      </c>
      <c r="Q5" s="98">
        <f>$C$5*70%^2+$E$5*70%+$G$5</f>
        <v>0.17164125766478999</v>
      </c>
      <c r="S5" s="99">
        <f t="shared" si="0"/>
        <v>0.53105235620219704</v>
      </c>
    </row>
    <row r="6" spans="2:21" s="96" customFormat="1" ht="18" customHeight="1" x14ac:dyDescent="0.25">
      <c r="B6" s="92" t="s">
        <v>61</v>
      </c>
      <c r="C6" s="93">
        <v>3.4912208095000001E-2</v>
      </c>
      <c r="D6" s="93" t="s">
        <v>48</v>
      </c>
      <c r="E6" s="93">
        <v>0.133488094803</v>
      </c>
      <c r="F6" s="93"/>
      <c r="G6" s="93"/>
      <c r="H6" s="94">
        <v>0.12110820884762676</v>
      </c>
      <c r="I6" s="95"/>
      <c r="K6" s="92" t="s">
        <v>61</v>
      </c>
      <c r="L6" s="101" t="s">
        <v>63</v>
      </c>
      <c r="N6" s="98">
        <f>$C$6*EXP($E$6*MATCH(L6,Parameters!$BE$14:$BE$26,0))</f>
        <v>7.7770729976133879E-2</v>
      </c>
      <c r="P6" s="98">
        <f>$C$6*EXP($E$6*1)</f>
        <v>3.9897938863050805E-2</v>
      </c>
      <c r="Q6" s="98">
        <f>$C$6*EXP($E$6*13)</f>
        <v>0.19798312556229444</v>
      </c>
      <c r="S6" s="99">
        <f t="shared" si="0"/>
        <v>0.92094067854821438</v>
      </c>
    </row>
    <row r="7" spans="2:21" s="96" customFormat="1" ht="18" customHeight="1" x14ac:dyDescent="0.25">
      <c r="B7" s="92" t="s">
        <v>23</v>
      </c>
      <c r="C7" s="93">
        <v>8.2450398967450003</v>
      </c>
      <c r="D7" s="93" t="s">
        <v>21</v>
      </c>
      <c r="E7" s="93">
        <v>-1.3739497738299999</v>
      </c>
      <c r="F7" s="93"/>
      <c r="G7" s="93"/>
      <c r="H7" s="94">
        <v>0.12005432782149224</v>
      </c>
      <c r="I7" s="95"/>
      <c r="K7" s="92" t="s">
        <v>23</v>
      </c>
      <c r="L7" s="97">
        <v>35</v>
      </c>
      <c r="N7" s="98">
        <f>$C$7*L7^$E$7</f>
        <v>6.2333400698683906E-2</v>
      </c>
      <c r="P7" s="98">
        <f>$C$7*65^$E$7</f>
        <v>2.6628142055256297E-2</v>
      </c>
      <c r="Q7" s="98">
        <f>$C$7*18^$E$7</f>
        <v>0.15542160410689473</v>
      </c>
      <c r="S7" s="99">
        <f t="shared" si="0"/>
        <v>0.86771808989825372</v>
      </c>
    </row>
    <row r="8" spans="2:21" s="96" customFormat="1" ht="18" customHeight="1" x14ac:dyDescent="0.25">
      <c r="B8" s="92" t="s">
        <v>62</v>
      </c>
      <c r="C8" s="93">
        <v>2.4E-2</v>
      </c>
      <c r="D8" s="93" t="s">
        <v>47</v>
      </c>
      <c r="E8" s="93">
        <v>0.10199999999999999</v>
      </c>
      <c r="F8" s="93"/>
      <c r="G8" s="93"/>
      <c r="H8" s="94">
        <v>6.0369316134332746E-2</v>
      </c>
      <c r="I8" s="95"/>
      <c r="J8" s="102"/>
      <c r="K8" s="92" t="s">
        <v>62</v>
      </c>
      <c r="L8" s="97" t="s">
        <v>55</v>
      </c>
      <c r="N8" s="98">
        <f>IF(L8="M",C8*1+E8,C8*0+E8)</f>
        <v>0.126</v>
      </c>
      <c r="P8" s="98">
        <f>C8*0+E8</f>
        <v>0.10199999999999999</v>
      </c>
      <c r="Q8" s="98">
        <f>C8*1+E8</f>
        <v>0.126</v>
      </c>
      <c r="S8" s="99">
        <f t="shared" si="0"/>
        <v>0</v>
      </c>
      <c r="U8" s="103" t="s">
        <v>55</v>
      </c>
    </row>
    <row r="9" spans="2:21" x14ac:dyDescent="0.25">
      <c r="I9" s="50"/>
    </row>
    <row r="11" spans="2:21" x14ac:dyDescent="0.25">
      <c r="L11" s="49"/>
      <c r="M11" s="51"/>
      <c r="N11" s="48"/>
    </row>
    <row r="12" spans="2:21" x14ac:dyDescent="0.25">
      <c r="L12" s="49"/>
      <c r="M12" s="51"/>
      <c r="N12" s="48"/>
    </row>
    <row r="13" spans="2:21" x14ac:dyDescent="0.25">
      <c r="L13" s="49"/>
      <c r="M13" s="51"/>
      <c r="N13" s="48"/>
    </row>
    <row r="14" spans="2:21" x14ac:dyDescent="0.25">
      <c r="L14" s="49"/>
      <c r="M14" s="51"/>
      <c r="N14" s="48"/>
    </row>
    <row r="15" spans="2:21" x14ac:dyDescent="0.25">
      <c r="L15" s="49"/>
      <c r="M15" s="51"/>
      <c r="N15" s="48"/>
    </row>
    <row r="16" spans="2:21" x14ac:dyDescent="0.25">
      <c r="L16" s="49"/>
      <c r="M16" s="51"/>
      <c r="N16" s="48"/>
    </row>
    <row r="17" spans="12:15" x14ac:dyDescent="0.25">
      <c r="L17" s="49"/>
      <c r="M17" s="51"/>
      <c r="N17" s="48"/>
    </row>
    <row r="18" spans="12:15" x14ac:dyDescent="0.25">
      <c r="L18" s="49"/>
      <c r="M18" s="51"/>
      <c r="N18" s="48"/>
    </row>
    <row r="19" spans="12:15" x14ac:dyDescent="0.25">
      <c r="L19" s="49"/>
      <c r="M19" s="51"/>
      <c r="N19" s="48"/>
      <c r="O19" s="45"/>
    </row>
  </sheetData>
  <mergeCells count="2">
    <mergeCell ref="C3:G3"/>
    <mergeCell ref="K3:L3"/>
  </mergeCells>
  <conditionalFormatting sqref="H4">
    <cfRule type="top10" dxfId="1" priority="4" rank="6"/>
  </conditionalFormatting>
  <conditionalFormatting sqref="H5:H8">
    <cfRule type="top10" dxfId="0" priority="5" rank="6"/>
  </conditionalFormatting>
  <dataValidations count="1">
    <dataValidation type="list" allowBlank="1" showInputMessage="1" showErrorMessage="1" sqref="L8">
      <formula1>$U$8:$U$8</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Parameters!$BE$14:$BE$26</xm:f>
          </x14:formula1>
          <xm:sqref>L6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J56"/>
  <sheetViews>
    <sheetView showGridLines="0" topLeftCell="AX10" workbookViewId="0">
      <selection activeCell="BE14" sqref="BE14:BE26"/>
    </sheetView>
  </sheetViews>
  <sheetFormatPr defaultRowHeight="15" x14ac:dyDescent="0.25"/>
  <cols>
    <col min="1" max="1" width="3.140625" customWidth="1"/>
    <col min="2" max="5" width="13.7109375" customWidth="1"/>
    <col min="6" max="6" width="13.7109375" style="4" customWidth="1"/>
    <col min="7" max="7" width="13.7109375" style="8" customWidth="1"/>
    <col min="8" max="8" width="12.140625" customWidth="1"/>
    <col min="9" max="12" width="13.7109375" customWidth="1"/>
    <col min="13" max="14" width="13.7109375" style="8" customWidth="1"/>
    <col min="15" max="15" width="11" customWidth="1"/>
    <col min="16" max="20" width="13.7109375" customWidth="1"/>
    <col min="21" max="21" width="13.7109375" style="8" customWidth="1"/>
    <col min="23" max="26" width="13.7109375" customWidth="1"/>
    <col min="27" max="27" width="13.7109375" style="29" customWidth="1"/>
    <col min="28" max="28" width="13.7109375" customWidth="1"/>
    <col min="29" max="29" width="13.7109375" style="8" customWidth="1"/>
    <col min="31" max="35" width="13.7109375" customWidth="1"/>
    <col min="36" max="36" width="13.7109375" style="29" customWidth="1"/>
    <col min="38" max="42" width="13.7109375" customWidth="1"/>
    <col min="43" max="43" width="13.7109375" style="29" customWidth="1"/>
    <col min="45" max="49" width="13.7109375" customWidth="1"/>
    <col min="50" max="50" width="13.7109375" style="29" customWidth="1"/>
    <col min="52" max="53" width="13.7109375" customWidth="1"/>
    <col min="54" max="54" width="13.28515625" customWidth="1"/>
    <col min="57" max="57" width="51.7109375" customWidth="1"/>
    <col min="58" max="58" width="13.85546875" bestFit="1" customWidth="1"/>
    <col min="60" max="60" width="12.5703125" bestFit="1" customWidth="1"/>
    <col min="61" max="61" width="9.85546875" bestFit="1" customWidth="1"/>
    <col min="62" max="62" width="10.42578125" bestFit="1" customWidth="1"/>
  </cols>
  <sheetData>
    <row r="1" spans="2:60" ht="16.5" customHeight="1" x14ac:dyDescent="0.25"/>
    <row r="2" spans="2:60" ht="16.5" customHeight="1" x14ac:dyDescent="0.25"/>
    <row r="3" spans="2:60" ht="16.5" customHeight="1" x14ac:dyDescent="0.25"/>
    <row r="4" spans="2:60" ht="16.5" customHeight="1" x14ac:dyDescent="0.25"/>
    <row r="5" spans="2:60" ht="16.5" customHeight="1" x14ac:dyDescent="0.25"/>
    <row r="6" spans="2:60" ht="16.5" customHeight="1" x14ac:dyDescent="0.25"/>
    <row r="7" spans="2:60" ht="16.5" customHeight="1" x14ac:dyDescent="0.25"/>
    <row r="8" spans="2:60" ht="16.5" customHeight="1" x14ac:dyDescent="0.25"/>
    <row r="9" spans="2:60" ht="16.5" customHeight="1" x14ac:dyDescent="0.25"/>
    <row r="10" spans="2:60" ht="16.5" customHeight="1" x14ac:dyDescent="0.25"/>
    <row r="11" spans="2:60" ht="16.5" customHeight="1" x14ac:dyDescent="0.25"/>
    <row r="12" spans="2:60" ht="16.5" customHeight="1" x14ac:dyDescent="0.25"/>
    <row r="13" spans="2:60" s="5" customFormat="1" ht="30" customHeight="1" x14ac:dyDescent="0.25">
      <c r="B13" s="17" t="s">
        <v>1</v>
      </c>
      <c r="C13" s="6" t="s">
        <v>3</v>
      </c>
      <c r="D13" s="6" t="s">
        <v>0</v>
      </c>
      <c r="E13" s="6" t="s">
        <v>12</v>
      </c>
      <c r="F13" s="6" t="s">
        <v>4</v>
      </c>
      <c r="G13" s="6" t="s">
        <v>24</v>
      </c>
      <c r="I13" s="17" t="s">
        <v>2</v>
      </c>
      <c r="J13" s="6" t="s">
        <v>5</v>
      </c>
      <c r="K13" s="6" t="s">
        <v>0</v>
      </c>
      <c r="L13" s="6" t="s">
        <v>12</v>
      </c>
      <c r="M13" s="6" t="s">
        <v>4</v>
      </c>
      <c r="N13" s="6" t="s">
        <v>24</v>
      </c>
      <c r="P13" s="17" t="s">
        <v>6</v>
      </c>
      <c r="Q13" s="6" t="s">
        <v>7</v>
      </c>
      <c r="R13" s="6" t="s">
        <v>0</v>
      </c>
      <c r="S13" s="6" t="s">
        <v>12</v>
      </c>
      <c r="T13" s="6" t="s">
        <v>4</v>
      </c>
      <c r="U13" s="6" t="s">
        <v>24</v>
      </c>
      <c r="W13" s="17" t="s">
        <v>8</v>
      </c>
      <c r="X13" s="6" t="s">
        <v>9</v>
      </c>
      <c r="Y13" s="6" t="s">
        <v>0</v>
      </c>
      <c r="Z13" s="6" t="s">
        <v>12</v>
      </c>
      <c r="AA13" s="6"/>
      <c r="AB13" s="6" t="s">
        <v>4</v>
      </c>
      <c r="AC13" s="6" t="s">
        <v>24</v>
      </c>
      <c r="AE13" s="16" t="s">
        <v>10</v>
      </c>
      <c r="AF13" s="6" t="s">
        <v>11</v>
      </c>
      <c r="AG13" s="6" t="s">
        <v>0</v>
      </c>
      <c r="AH13" s="6" t="s">
        <v>12</v>
      </c>
      <c r="AI13" s="6" t="s">
        <v>4</v>
      </c>
      <c r="AJ13" s="6" t="s">
        <v>24</v>
      </c>
      <c r="AL13" s="20" t="s">
        <v>13</v>
      </c>
      <c r="AM13" s="6" t="s">
        <v>11</v>
      </c>
      <c r="AN13" s="6" t="s">
        <v>0</v>
      </c>
      <c r="AO13" s="6" t="s">
        <v>12</v>
      </c>
      <c r="AP13" s="6" t="s">
        <v>4</v>
      </c>
      <c r="AQ13" s="6" t="s">
        <v>24</v>
      </c>
      <c r="AS13" s="15" t="s">
        <v>14</v>
      </c>
      <c r="AT13" s="6" t="s">
        <v>15</v>
      </c>
      <c r="AU13" s="6" t="s">
        <v>0</v>
      </c>
      <c r="AV13" s="6" t="s">
        <v>12</v>
      </c>
      <c r="AW13" s="6" t="s">
        <v>4</v>
      </c>
      <c r="AX13" s="6" t="s">
        <v>24</v>
      </c>
      <c r="AZ13" s="21" t="s">
        <v>37</v>
      </c>
      <c r="BA13" s="6" t="s">
        <v>16</v>
      </c>
      <c r="BB13" s="6" t="s">
        <v>0</v>
      </c>
      <c r="BC13" s="6" t="s">
        <v>24</v>
      </c>
      <c r="BE13" s="15" t="s">
        <v>49</v>
      </c>
      <c r="BF13" s="6" t="s">
        <v>15</v>
      </c>
      <c r="BG13" s="6" t="s">
        <v>0</v>
      </c>
      <c r="BH13" s="6" t="s">
        <v>24</v>
      </c>
    </row>
    <row r="14" spans="2:60" x14ac:dyDescent="0.25">
      <c r="B14" s="1">
        <v>424.5</v>
      </c>
      <c r="C14" s="7">
        <f>(B14-AVERAGE($B$14:$B$21))/STDEV($B$14:$B$21)</f>
        <v>-1.4288690166235205</v>
      </c>
      <c r="D14" s="2">
        <v>0.6</v>
      </c>
      <c r="E14" s="3">
        <v>0.6</v>
      </c>
      <c r="F14" s="10">
        <v>0.65969847476024923</v>
      </c>
      <c r="G14" s="25">
        <f>SLOPE(F14:F21,C14:C21)</f>
        <v>-0.16188827191370364</v>
      </c>
      <c r="H14" s="34"/>
      <c r="I14" s="9">
        <v>0.64</v>
      </c>
      <c r="J14" s="14">
        <f>(I14-AVERAGE($I$14:$I$34))/STDEV($I$14:$I$34)</f>
        <v>1.6116459280507611</v>
      </c>
      <c r="K14" s="9">
        <v>0</v>
      </c>
      <c r="L14" s="9">
        <v>0</v>
      </c>
      <c r="M14" s="9">
        <v>0.15505880290969276</v>
      </c>
      <c r="N14" s="25">
        <f>SLOPE(M17:M34,J17:J34)</f>
        <v>3.4459778367926568E-2</v>
      </c>
      <c r="O14" s="33"/>
      <c r="P14" s="18">
        <v>18</v>
      </c>
      <c r="Q14" s="14">
        <f>(P14-AVERAGE($P$14:$P$36))/STDEV($P$14:$P$36)</f>
        <v>-1.6218615177038684</v>
      </c>
      <c r="R14" s="9">
        <v>0.18367346938775511</v>
      </c>
      <c r="S14" s="9">
        <v>0.18367346938775511</v>
      </c>
      <c r="T14" s="9">
        <v>0.16681806542107425</v>
      </c>
      <c r="U14" s="25">
        <f>SLOPE(T14:T36,Q14:Q36)</f>
        <v>-3.3748759038239165E-2</v>
      </c>
      <c r="V14" s="32">
        <v>1</v>
      </c>
      <c r="W14" s="12">
        <v>500000</v>
      </c>
      <c r="X14" s="14">
        <f>(W14-AVERAGE($W$14:$W$26))/STDEV($W$14:$W$26)</f>
        <v>2.095915705558232</v>
      </c>
      <c r="Y14" s="22">
        <v>7.1428571428571425E-2</v>
      </c>
      <c r="Z14" s="13">
        <v>7.1428571428571425E-2</v>
      </c>
      <c r="AA14" s="22">
        <f>0.0116*LN(W14)-0.0702</f>
        <v>8.2019415177890201E-2</v>
      </c>
      <c r="AB14" s="13">
        <f>AA14*V14-SUM($AA$14:AA14)</f>
        <v>0</v>
      </c>
      <c r="AC14" s="25">
        <f>SLOPE(AB14:AB26,X14:X26)</f>
        <v>-1.5223837830055641E-2</v>
      </c>
      <c r="AD14" s="44">
        <v>1.5</v>
      </c>
      <c r="AE14" s="12">
        <v>1</v>
      </c>
      <c r="AF14" s="14">
        <f t="shared" ref="AF14:AF20" si="0">(AE14-AVERAGE($AE$14:$AE$20))/STDEV($AE$14:$AE$20)</f>
        <v>-1.3887301496588271</v>
      </c>
      <c r="AG14" s="22">
        <v>2.4484536082474227E-2</v>
      </c>
      <c r="AH14" s="13">
        <v>2.4484536082474227E-2</v>
      </c>
      <c r="AI14" s="22">
        <v>2.6818263655145263E-2</v>
      </c>
      <c r="AJ14" s="30">
        <f>SLOPE(AI14:AI20,AF14:AF20)</f>
        <v>3.0477648135511954E-4</v>
      </c>
      <c r="AK14" s="32">
        <v>1</v>
      </c>
      <c r="AL14" s="12">
        <v>100000</v>
      </c>
      <c r="AM14" s="14">
        <f>(AL14-AVERAGE($AL$14:$AL$41))/STDEV($AL$14:$AL$41)</f>
        <v>-0.58898451470245461</v>
      </c>
      <c r="AN14" s="9">
        <v>3.8461538461538464E-2</v>
      </c>
      <c r="AO14" s="13">
        <v>3.8461538461538464E-2</v>
      </c>
      <c r="AP14" s="13">
        <v>1.3956312632857331E-2</v>
      </c>
      <c r="AQ14" s="30">
        <f>SLOPE(AP14:AP41,AM14:AM41)</f>
        <v>6.5982449478327876E-3</v>
      </c>
      <c r="AR14" s="28">
        <v>1</v>
      </c>
      <c r="AS14" s="19" t="s">
        <v>26</v>
      </c>
      <c r="AT14" s="14">
        <f>(AR14-AVERAGE($AR$14:$AR$24))/STDEV($AR$14:$AR$24)</f>
        <v>-1.4640835597248061</v>
      </c>
      <c r="AU14" s="9">
        <v>0.1875</v>
      </c>
      <c r="AV14" s="13">
        <v>0.1875</v>
      </c>
      <c r="AW14" s="13">
        <v>0.17732174846916787</v>
      </c>
      <c r="AX14" s="38">
        <f>SLOPE(AW14:AW24,AT14:AT24)</f>
        <v>-2.6872116846242033E-2</v>
      </c>
      <c r="AZ14" s="12">
        <v>1</v>
      </c>
      <c r="BA14" s="14">
        <f>(AZ14-AVERAGE($AZ$14:$AZ$15))/STDEV($AZ$14:$AZ$15)</f>
        <v>0.70710678118654746</v>
      </c>
      <c r="BB14" s="22">
        <v>0.126</v>
      </c>
      <c r="BC14" s="38">
        <f>SLOPE(BB14:BB15,BA14:BA15)</f>
        <v>1.6970562748477146E-2</v>
      </c>
      <c r="BD14" s="32">
        <v>1</v>
      </c>
      <c r="BE14" s="39" t="s">
        <v>38</v>
      </c>
      <c r="BF14" s="40">
        <f t="shared" ref="BF14:BF26" si="1">(BD14-AVERAGE($BD$14:$BD$26))/STDEV($BD$14:$BD$26)</f>
        <v>-1.5406577730392865</v>
      </c>
      <c r="BG14" s="43">
        <v>0.03</v>
      </c>
      <c r="BH14" s="38">
        <f>SLOPE(BG14:BG26,BF14:BF26)</f>
        <v>3.4045018052398741E-2</v>
      </c>
    </row>
    <row r="15" spans="2:60" ht="15.75" x14ac:dyDescent="0.3">
      <c r="B15" s="1">
        <v>474.5</v>
      </c>
      <c r="C15" s="7">
        <f t="shared" ref="C15:C21" si="2">(B15-AVERAGE($B$14:$B$21))/STDEV($B$14:$B$21)</f>
        <v>-1.0206207261596576</v>
      </c>
      <c r="D15" s="2">
        <v>0.37777777777777777</v>
      </c>
      <c r="E15" s="3">
        <v>0.4</v>
      </c>
      <c r="F15" s="11">
        <v>0.25205311836524102</v>
      </c>
      <c r="G15" s="24"/>
      <c r="H15" s="34"/>
      <c r="I15" s="9">
        <v>0.61</v>
      </c>
      <c r="J15" s="14">
        <f t="shared" ref="J15:J34" si="3">(I15-AVERAGE($I$14:$I$34))/STDEV($I$14:$I$34)</f>
        <v>1.4504813352456849</v>
      </c>
      <c r="K15" s="9">
        <v>0.1111111111111111</v>
      </c>
      <c r="L15" s="9">
        <v>6.25E-2</v>
      </c>
      <c r="M15" s="9">
        <v>0.14390691819750689</v>
      </c>
      <c r="N15" s="26"/>
      <c r="O15" s="33"/>
      <c r="P15" s="18">
        <v>20</v>
      </c>
      <c r="Q15" s="14">
        <f t="shared" ref="Q15:Q36" si="4">(P15-AVERAGE($P$14:$P$36))/STDEV($P$14:$P$36)</f>
        <v>-1.4744195615489712</v>
      </c>
      <c r="R15" s="9"/>
      <c r="S15" s="9"/>
      <c r="T15" s="9">
        <v>0.14014088450107259</v>
      </c>
      <c r="U15" s="26"/>
      <c r="V15" s="32">
        <v>2</v>
      </c>
      <c r="W15" s="12">
        <v>400000</v>
      </c>
      <c r="X15" s="31">
        <f t="shared" ref="X15:X26" si="5">(W15-AVERAGE($W$14:$W$26))/STDEV($W$14:$W$26)</f>
        <v>1.4066441605985303</v>
      </c>
      <c r="Y15" s="22">
        <v>3.0303030303030304E-2</v>
      </c>
      <c r="Z15" s="13">
        <v>4.2553191489361701E-2</v>
      </c>
      <c r="AA15" s="22">
        <f t="shared" ref="AA15:AA25" si="6">0.0116*LN(W15)-0.0702</f>
        <v>7.9430949982645369E-2</v>
      </c>
      <c r="AB15" s="13">
        <v>4.666556801255748E-2</v>
      </c>
      <c r="AC15" s="27"/>
      <c r="AD15" s="44">
        <v>3</v>
      </c>
      <c r="AE15" s="12">
        <v>2</v>
      </c>
      <c r="AF15" s="14">
        <f t="shared" si="0"/>
        <v>-0.92582009977255142</v>
      </c>
      <c r="AG15" s="22">
        <v>3.2315521628498725E-2</v>
      </c>
      <c r="AH15" s="13">
        <v>3.0098504195549068E-2</v>
      </c>
      <c r="AI15" s="22">
        <v>2.7225038658337686E-2</v>
      </c>
      <c r="AJ15" s="27"/>
      <c r="AK15" s="32">
        <v>2</v>
      </c>
      <c r="AL15" s="12">
        <v>200000</v>
      </c>
      <c r="AM15" s="14">
        <f t="shared" ref="AM15:AM41" si="7">(AL15-AVERAGE($AL$14:$AL$41))/STDEV($AL$14:$AL$41)</f>
        <v>-0.5844250548153469</v>
      </c>
      <c r="AN15" s="9">
        <v>0</v>
      </c>
      <c r="AO15" s="13">
        <v>1.0869565217391304E-2</v>
      </c>
      <c r="AP15" s="13">
        <v>3.258320912751872E-2</v>
      </c>
      <c r="AQ15" s="27"/>
      <c r="AR15" s="28">
        <v>4</v>
      </c>
      <c r="AS15" s="12" t="s">
        <v>27</v>
      </c>
      <c r="AT15" s="31">
        <f t="shared" ref="AT15:AT24" si="8">(AR15-AVERAGE($AR$14:$AR$24))/STDEV($AR$14:$AR$24)</f>
        <v>-1.1764957176360049</v>
      </c>
      <c r="AU15" s="9">
        <v>7.9710144927536225E-2</v>
      </c>
      <c r="AV15" s="13">
        <v>0.10752688172043011</v>
      </c>
      <c r="AW15" s="13">
        <v>3.9927764692921759E-2</v>
      </c>
      <c r="AX15" s="27"/>
      <c r="AZ15" s="12">
        <v>0</v>
      </c>
      <c r="BA15" s="14">
        <f>(AZ15-AVERAGE($AZ$14:$AZ$15))/STDEV($AZ$14:$AZ$15)</f>
        <v>-0.70710678118654746</v>
      </c>
      <c r="BB15" s="22">
        <v>0.10199999999999999</v>
      </c>
      <c r="BD15" s="32">
        <v>2</v>
      </c>
      <c r="BE15" s="39" t="s">
        <v>50</v>
      </c>
      <c r="BF15" s="40">
        <f t="shared" si="1"/>
        <v>-1.2838814775327387</v>
      </c>
      <c r="BG15" s="43">
        <f>BG14</f>
        <v>0.03</v>
      </c>
      <c r="BH15" s="27"/>
    </row>
    <row r="16" spans="2:60" ht="15.75" x14ac:dyDescent="0.3">
      <c r="B16" s="1">
        <v>524.5</v>
      </c>
      <c r="C16" s="7">
        <f t="shared" si="2"/>
        <v>-0.61237243569579447</v>
      </c>
      <c r="D16" s="2">
        <v>0.1796875</v>
      </c>
      <c r="E16" s="3">
        <v>0.24157303370786518</v>
      </c>
      <c r="F16" s="11">
        <v>0.10040706172504346</v>
      </c>
      <c r="G16" s="24"/>
      <c r="H16" s="34"/>
      <c r="I16" s="9">
        <v>0.57999999999999996</v>
      </c>
      <c r="J16" s="14">
        <f t="shared" si="3"/>
        <v>1.2893167424406089</v>
      </c>
      <c r="K16" s="9">
        <v>0.16666666666666666</v>
      </c>
      <c r="L16" s="9">
        <v>0.10714285714285714</v>
      </c>
      <c r="M16" s="9">
        <v>0.13344186675788905</v>
      </c>
      <c r="N16" s="26"/>
      <c r="O16" s="33"/>
      <c r="P16" s="18">
        <v>22</v>
      </c>
      <c r="Q16" s="14">
        <f t="shared" si="4"/>
        <v>-1.3269776053940743</v>
      </c>
      <c r="R16" s="9"/>
      <c r="S16" s="9"/>
      <c r="T16" s="9">
        <v>0.12017433291488946</v>
      </c>
      <c r="U16" s="26"/>
      <c r="V16" s="32">
        <v>3</v>
      </c>
      <c r="W16" s="12">
        <v>300000</v>
      </c>
      <c r="X16" s="31">
        <f t="shared" si="5"/>
        <v>0.71737261563882826</v>
      </c>
      <c r="Y16" s="22">
        <v>0.1891891891891892</v>
      </c>
      <c r="Z16" s="13">
        <v>0.10714285714285714</v>
      </c>
      <c r="AA16" s="22">
        <f t="shared" si="6"/>
        <v>7.6093837942204715E-2</v>
      </c>
      <c r="AB16" s="13">
        <v>5.176199457251094E-2</v>
      </c>
      <c r="AC16" s="27"/>
      <c r="AD16" s="44">
        <v>5</v>
      </c>
      <c r="AE16" s="12">
        <v>3</v>
      </c>
      <c r="AF16" s="14">
        <f t="shared" si="0"/>
        <v>-0.46291004988627571</v>
      </c>
      <c r="AG16" s="22">
        <v>2.1291696238466998E-2</v>
      </c>
      <c r="AH16" s="13">
        <v>2.8297779712668697E-2</v>
      </c>
      <c r="AI16" s="22">
        <v>2.7474279709184007E-2</v>
      </c>
      <c r="AJ16" s="27"/>
      <c r="AK16" s="32">
        <v>3</v>
      </c>
      <c r="AL16" s="12">
        <v>300000</v>
      </c>
      <c r="AM16" s="14">
        <f t="shared" si="7"/>
        <v>-0.57986559492823908</v>
      </c>
      <c r="AN16" s="9">
        <v>4.2105263157894736E-2</v>
      </c>
      <c r="AO16" s="13">
        <v>2.6737967914438502E-2</v>
      </c>
      <c r="AP16" s="13">
        <v>3.9613814811474912E-2</v>
      </c>
      <c r="AQ16" s="27"/>
      <c r="AR16" s="28">
        <v>7</v>
      </c>
      <c r="AS16" s="12" t="s">
        <v>28</v>
      </c>
      <c r="AT16" s="31">
        <f t="shared" si="8"/>
        <v>-0.88890787554720374</v>
      </c>
      <c r="AU16" s="9">
        <v>4.8951048951048952E-2</v>
      </c>
      <c r="AV16" s="13">
        <v>8.2066869300911852E-2</v>
      </c>
      <c r="AW16" s="13">
        <v>5.0226533678155778E-2</v>
      </c>
      <c r="AX16" s="27"/>
      <c r="AZ16" s="8"/>
      <c r="BA16" s="8"/>
      <c r="BD16" s="32">
        <v>3</v>
      </c>
      <c r="BE16" s="39" t="s">
        <v>51</v>
      </c>
      <c r="BF16" s="40">
        <f t="shared" si="1"/>
        <v>-1.0271051820261909</v>
      </c>
      <c r="BG16" s="43">
        <f t="shared" ref="BG16:BG19" si="9">BG15</f>
        <v>0.03</v>
      </c>
      <c r="BH16" s="27"/>
    </row>
    <row r="17" spans="2:62" ht="15.75" x14ac:dyDescent="0.3">
      <c r="B17" s="1">
        <v>574.5</v>
      </c>
      <c r="C17" s="7">
        <f t="shared" si="2"/>
        <v>-0.20412414523193151</v>
      </c>
      <c r="D17" s="2">
        <v>3.3333333333333333E-2</v>
      </c>
      <c r="E17" s="3">
        <v>0.12886597938144329</v>
      </c>
      <c r="F17" s="11">
        <v>4.7063764824325754E-2</v>
      </c>
      <c r="G17" s="24"/>
      <c r="H17" s="34"/>
      <c r="I17" s="9">
        <v>0.55000000000000004</v>
      </c>
      <c r="J17" s="14">
        <f t="shared" si="3"/>
        <v>1.1281521496355331</v>
      </c>
      <c r="K17" s="9">
        <v>0.18181818181818182</v>
      </c>
      <c r="L17" s="9">
        <v>0.12820512820512819</v>
      </c>
      <c r="M17" s="9">
        <v>0.12362604737761307</v>
      </c>
      <c r="N17" s="26"/>
      <c r="O17" s="33"/>
      <c r="P17" s="18">
        <v>24</v>
      </c>
      <c r="Q17" s="14">
        <f t="shared" si="4"/>
        <v>-1.1795356492391771</v>
      </c>
      <c r="R17" s="9">
        <v>0.11578947368421053</v>
      </c>
      <c r="S17" s="9">
        <v>0.1388888888888889</v>
      </c>
      <c r="T17" s="9">
        <v>0.1047924768540395</v>
      </c>
      <c r="U17" s="26"/>
      <c r="V17" s="32">
        <v>4</v>
      </c>
      <c r="W17" s="12">
        <v>260000</v>
      </c>
      <c r="X17" s="31">
        <f t="shared" si="5"/>
        <v>0.4416639976549474</v>
      </c>
      <c r="Y17" s="22">
        <v>3.5714285714285712E-2</v>
      </c>
      <c r="Z17" s="13">
        <v>8.9285714285714288E-2</v>
      </c>
      <c r="AA17" s="22">
        <f t="shared" si="6"/>
        <v>7.4433868155972902E-2</v>
      </c>
      <c r="AB17" s="13">
        <v>5.5071621081283405E-2</v>
      </c>
      <c r="AC17" s="27"/>
      <c r="AD17" s="44">
        <v>7</v>
      </c>
      <c r="AE17" s="12">
        <v>4</v>
      </c>
      <c r="AF17" s="14">
        <f t="shared" si="0"/>
        <v>0</v>
      </c>
      <c r="AG17" s="22">
        <v>5.8823529411764705E-3</v>
      </c>
      <c r="AH17" s="13">
        <v>2.6753141467369273E-2</v>
      </c>
      <c r="AI17" s="22">
        <v>2.7571885351195397E-2</v>
      </c>
      <c r="AJ17" s="27"/>
      <c r="AK17" s="32">
        <v>4</v>
      </c>
      <c r="AL17" s="12">
        <v>400000</v>
      </c>
      <c r="AM17" s="14">
        <f t="shared" si="7"/>
        <v>-0.57530613504113137</v>
      </c>
      <c r="AN17" s="9">
        <v>2.0618556701030927E-2</v>
      </c>
      <c r="AO17" s="13">
        <v>2.464788732394366E-2</v>
      </c>
      <c r="AP17" s="13">
        <v>4.4179499938223912E-2</v>
      </c>
      <c r="AQ17" s="27"/>
      <c r="AR17" s="28">
        <v>10</v>
      </c>
      <c r="AS17" s="12" t="s">
        <v>29</v>
      </c>
      <c r="AT17" s="31">
        <f t="shared" si="8"/>
        <v>-0.60132003345840257</v>
      </c>
      <c r="AU17" s="9">
        <v>3.8834951456310676E-2</v>
      </c>
      <c r="AV17" s="13">
        <v>7.1759259259259259E-2</v>
      </c>
      <c r="AW17" s="13">
        <v>4.7023041152593599E-2</v>
      </c>
      <c r="AX17" s="27"/>
      <c r="AZ17" s="8"/>
      <c r="BA17" s="8"/>
      <c r="BD17" s="32">
        <v>4</v>
      </c>
      <c r="BE17" s="39" t="s">
        <v>52</v>
      </c>
      <c r="BF17" s="40">
        <f t="shared" si="1"/>
        <v>-0.77032888651964326</v>
      </c>
      <c r="BG17" s="43">
        <f t="shared" si="9"/>
        <v>0.03</v>
      </c>
      <c r="BH17" s="27"/>
    </row>
    <row r="18" spans="2:62" x14ac:dyDescent="0.25">
      <c r="B18" s="1">
        <v>624.5</v>
      </c>
      <c r="C18" s="7">
        <f t="shared" si="2"/>
        <v>0.20412414523193151</v>
      </c>
      <c r="D18" s="2">
        <v>2.3696682464454975E-2</v>
      </c>
      <c r="E18" s="3">
        <v>9.1819699499165269E-2</v>
      </c>
      <c r="F18" s="11">
        <v>3.2728777744301302E-2</v>
      </c>
      <c r="G18" s="24"/>
      <c r="H18" s="34"/>
      <c r="I18" s="9">
        <v>0.52</v>
      </c>
      <c r="J18" s="14">
        <f t="shared" si="3"/>
        <v>0.96698755683045701</v>
      </c>
      <c r="K18" s="9">
        <v>9.0909090909090912E-2</v>
      </c>
      <c r="L18" s="9">
        <v>0.12</v>
      </c>
      <c r="M18" s="9">
        <v>0.11442378869395142</v>
      </c>
      <c r="N18" s="26"/>
      <c r="O18" s="33"/>
      <c r="P18" s="18">
        <v>26</v>
      </c>
      <c r="Q18" s="14">
        <f t="shared" si="4"/>
        <v>-1.0320936930842799</v>
      </c>
      <c r="R18" s="9">
        <v>0.11971830985915492</v>
      </c>
      <c r="S18" s="9">
        <v>0.12937062937062938</v>
      </c>
      <c r="T18" s="9">
        <v>9.2657790854762806E-2</v>
      </c>
      <c r="U18" s="26"/>
      <c r="V18" s="32">
        <v>5</v>
      </c>
      <c r="W18" s="12">
        <v>240000</v>
      </c>
      <c r="X18" s="31">
        <f t="shared" si="5"/>
        <v>0.303809688663007</v>
      </c>
      <c r="Y18" s="22">
        <v>7.6923076923076927E-2</v>
      </c>
      <c r="Z18" s="13">
        <v>8.5365853658536592E-2</v>
      </c>
      <c r="AA18" s="22">
        <f t="shared" si="6"/>
        <v>7.3505372746959882E-2</v>
      </c>
      <c r="AB18" s="13">
        <v>5.7532636870347903E-2</v>
      </c>
      <c r="AC18" s="27"/>
      <c r="AD18" s="44">
        <v>9</v>
      </c>
      <c r="AE18" s="12">
        <v>5</v>
      </c>
      <c r="AF18" s="14">
        <f t="shared" si="0"/>
        <v>0.46291004988627571</v>
      </c>
      <c r="AG18" s="22">
        <v>0</v>
      </c>
      <c r="AH18" s="13">
        <v>2.64E-2</v>
      </c>
      <c r="AI18" s="22">
        <v>2.7646418625506153E-2</v>
      </c>
      <c r="AJ18" s="27"/>
      <c r="AK18" s="32">
        <v>5</v>
      </c>
      <c r="AL18" s="12">
        <v>500000</v>
      </c>
      <c r="AM18" s="14">
        <f t="shared" si="7"/>
        <v>-0.57074667515402366</v>
      </c>
      <c r="AN18" s="9">
        <v>6.2827225130890049E-2</v>
      </c>
      <c r="AO18" s="13">
        <v>0.04</v>
      </c>
      <c r="AP18" s="13">
        <v>4.757451238299476E-2</v>
      </c>
      <c r="AQ18" s="27"/>
      <c r="AR18" s="28">
        <v>13</v>
      </c>
      <c r="AS18" s="12" t="s">
        <v>30</v>
      </c>
      <c r="AT18" s="31">
        <f t="shared" si="8"/>
        <v>-0.31373219136960134</v>
      </c>
      <c r="AU18" s="9">
        <v>5.7142857142857141E-2</v>
      </c>
      <c r="AV18" s="13">
        <v>6.9721115537848599E-2</v>
      </c>
      <c r="AW18" s="13">
        <v>4.3924754578223597E-2</v>
      </c>
      <c r="AX18" s="27"/>
      <c r="AZ18" s="8"/>
      <c r="BA18" s="8"/>
      <c r="BD18" s="32">
        <v>5</v>
      </c>
      <c r="BE18" s="39" t="s">
        <v>43</v>
      </c>
      <c r="BF18" s="40">
        <f t="shared" si="1"/>
        <v>-0.51355259101309547</v>
      </c>
      <c r="BG18" s="43">
        <f t="shared" si="9"/>
        <v>0.03</v>
      </c>
      <c r="BH18" s="27"/>
    </row>
    <row r="19" spans="2:62" x14ac:dyDescent="0.25">
      <c r="B19" s="1">
        <v>674.5</v>
      </c>
      <c r="C19" s="7">
        <f t="shared" si="2"/>
        <v>0.61237243569579447</v>
      </c>
      <c r="D19" s="2">
        <v>0</v>
      </c>
      <c r="E19" s="3">
        <v>7.1895424836601302E-2</v>
      </c>
      <c r="F19" s="11">
        <v>3.3751413531746849E-2</v>
      </c>
      <c r="G19" s="24"/>
      <c r="H19" s="34"/>
      <c r="I19" s="9">
        <v>0.49</v>
      </c>
      <c r="J19" s="14">
        <f t="shared" si="3"/>
        <v>0.80582296402538078</v>
      </c>
      <c r="K19" s="9">
        <v>6.6666666666666666E-2</v>
      </c>
      <c r="L19" s="9">
        <v>0.1076923076923077</v>
      </c>
      <c r="M19" s="9">
        <v>0.10580125410864727</v>
      </c>
      <c r="N19" s="26"/>
      <c r="O19" s="33"/>
      <c r="P19" s="18">
        <v>28.000000000000004</v>
      </c>
      <c r="Q19" s="14">
        <f t="shared" si="4"/>
        <v>-0.88465173692938259</v>
      </c>
      <c r="R19" s="9">
        <v>5.4263565891472867E-2</v>
      </c>
      <c r="S19" s="9">
        <v>0.10602409638554217</v>
      </c>
      <c r="T19" s="9">
        <v>8.2892604879059389E-2</v>
      </c>
      <c r="U19" s="26"/>
      <c r="V19" s="32">
        <v>6</v>
      </c>
      <c r="W19" s="12">
        <v>210000</v>
      </c>
      <c r="X19" s="31">
        <f t="shared" si="5"/>
        <v>9.7028225175096419E-2</v>
      </c>
      <c r="Y19" s="22">
        <v>4.9180327868852458E-2</v>
      </c>
      <c r="Z19" s="13">
        <v>7.5555555555555556E-2</v>
      </c>
      <c r="AA19" s="22">
        <f t="shared" si="6"/>
        <v>7.1956408592515411E-2</v>
      </c>
      <c r="AB19" s="13">
        <v>5.9493831903353327E-2</v>
      </c>
      <c r="AC19" s="27"/>
      <c r="AD19" s="44">
        <v>11</v>
      </c>
      <c r="AE19" s="12">
        <v>6</v>
      </c>
      <c r="AF19" s="14">
        <f t="shared" si="0"/>
        <v>0.92582009977255142</v>
      </c>
      <c r="AG19" s="22">
        <v>0.06</v>
      </c>
      <c r="AH19" s="13">
        <v>2.662251655629139E-2</v>
      </c>
      <c r="AI19" s="22">
        <v>2.7706470619997953E-2</v>
      </c>
      <c r="AJ19" s="27"/>
      <c r="AK19" s="32">
        <v>6</v>
      </c>
      <c r="AL19" s="12">
        <v>600000</v>
      </c>
      <c r="AM19" s="14">
        <f t="shared" si="7"/>
        <v>-0.56618721526691584</v>
      </c>
      <c r="AN19" s="9">
        <v>3.3333333333333333E-2</v>
      </c>
      <c r="AO19" s="13">
        <v>3.925233644859813E-2</v>
      </c>
      <c r="AP19" s="13">
        <v>5.0280013734616436E-2</v>
      </c>
      <c r="AQ19" s="27"/>
      <c r="AR19" s="28">
        <v>16</v>
      </c>
      <c r="AS19" s="12" t="s">
        <v>31</v>
      </c>
      <c r="AT19" s="31">
        <f t="shared" si="8"/>
        <v>-2.6144349280800169E-2</v>
      </c>
      <c r="AU19" s="9">
        <v>3.7037037037037035E-2</v>
      </c>
      <c r="AV19" s="13">
        <v>6.5180102915951971E-2</v>
      </c>
      <c r="AW19" s="13">
        <v>4.1372440041428211E-2</v>
      </c>
      <c r="AX19" s="27"/>
      <c r="AZ19" s="8"/>
      <c r="BA19" s="8"/>
      <c r="BD19" s="32">
        <v>6</v>
      </c>
      <c r="BE19" s="39" t="s">
        <v>53</v>
      </c>
      <c r="BF19" s="40">
        <f t="shared" si="1"/>
        <v>-0.25677629550654774</v>
      </c>
      <c r="BG19" s="43">
        <f t="shared" si="9"/>
        <v>0.03</v>
      </c>
      <c r="BH19" s="27"/>
    </row>
    <row r="20" spans="2:62" x14ac:dyDescent="0.25">
      <c r="B20" s="1">
        <v>724.5</v>
      </c>
      <c r="C20" s="7">
        <f t="shared" si="2"/>
        <v>1.0206207261596576</v>
      </c>
      <c r="D20" s="2">
        <v>0</v>
      </c>
      <c r="E20" s="3">
        <v>6.3145809414466125E-2</v>
      </c>
      <c r="F20" s="11">
        <v>4.0351596488951175E-2</v>
      </c>
      <c r="G20" s="24"/>
      <c r="H20" s="34"/>
      <c r="I20" s="9">
        <v>0.46</v>
      </c>
      <c r="J20" s="14">
        <f t="shared" si="3"/>
        <v>0.64465837122030489</v>
      </c>
      <c r="K20" s="9">
        <v>0.14285714285714285</v>
      </c>
      <c r="L20" s="9">
        <v>0.11392405063291139</v>
      </c>
      <c r="M20" s="9">
        <v>9.7726351256749333E-2</v>
      </c>
      <c r="N20" s="26"/>
      <c r="O20" s="33"/>
      <c r="P20" s="18">
        <v>30</v>
      </c>
      <c r="Q20" s="14">
        <f t="shared" si="4"/>
        <v>-0.73720978077448562</v>
      </c>
      <c r="R20" s="9">
        <v>6.6666666666666666E-2</v>
      </c>
      <c r="S20" s="9">
        <v>9.719626168224299E-2</v>
      </c>
      <c r="T20" s="9">
        <v>7.4900458416139043E-2</v>
      </c>
      <c r="U20" s="26"/>
      <c r="V20" s="32">
        <v>7</v>
      </c>
      <c r="W20" s="12">
        <v>180000</v>
      </c>
      <c r="X20" s="31">
        <f t="shared" si="5"/>
        <v>-0.10975323831281418</v>
      </c>
      <c r="Y20" s="22">
        <v>7.3170731707317069E-2</v>
      </c>
      <c r="Z20" s="13">
        <v>7.4918566775244305E-2</v>
      </c>
      <c r="AA20" s="22">
        <f t="shared" si="6"/>
        <v>7.0168260706519228E-2</v>
      </c>
      <c r="AB20" s="13">
        <v>6.1124762122660069E-2</v>
      </c>
      <c r="AC20" s="27"/>
      <c r="AD20" s="44">
        <v>13</v>
      </c>
      <c r="AE20" s="12">
        <v>7</v>
      </c>
      <c r="AF20" s="14">
        <f t="shared" si="0"/>
        <v>1.3887301496588271</v>
      </c>
      <c r="AG20" s="22">
        <v>4.5454545454545456E-2</v>
      </c>
      <c r="AH20" s="13">
        <v>2.6731630234395575E-2</v>
      </c>
      <c r="AI20" s="22">
        <v>2.7756714273021482E-2</v>
      </c>
      <c r="AJ20" s="27"/>
      <c r="AK20" s="32">
        <v>7</v>
      </c>
      <c r="AL20" s="12">
        <v>700000</v>
      </c>
      <c r="AM20" s="14">
        <f t="shared" si="7"/>
        <v>-0.56162775537980814</v>
      </c>
      <c r="AN20" s="9">
        <v>2.3255813953488372E-2</v>
      </c>
      <c r="AO20" s="13">
        <v>3.8062283737024222E-2</v>
      </c>
      <c r="AP20" s="13">
        <v>5.2529909251623375E-2</v>
      </c>
      <c r="AQ20" s="27"/>
      <c r="AR20" s="28">
        <v>19</v>
      </c>
      <c r="AS20" s="12" t="s">
        <v>32</v>
      </c>
      <c r="AT20" s="31">
        <f t="shared" si="8"/>
        <v>0.261443492808001</v>
      </c>
      <c r="AU20" s="9">
        <v>6.0240963855421686E-2</v>
      </c>
      <c r="AV20" s="13">
        <v>6.4564564564564567E-2</v>
      </c>
      <c r="AW20" s="13">
        <v>3.9272695338648751E-2</v>
      </c>
      <c r="AX20" s="27"/>
      <c r="AZ20" s="8"/>
      <c r="BA20" s="8"/>
      <c r="BD20" s="32">
        <v>7</v>
      </c>
      <c r="BE20" s="41" t="s">
        <v>39</v>
      </c>
      <c r="BF20" s="42">
        <f t="shared" si="1"/>
        <v>0</v>
      </c>
      <c r="BG20" s="22">
        <v>5.6578947368421055E-2</v>
      </c>
      <c r="BH20" s="27"/>
    </row>
    <row r="21" spans="2:62" x14ac:dyDescent="0.25">
      <c r="B21" s="1">
        <v>774.5</v>
      </c>
      <c r="C21" s="7">
        <f t="shared" si="2"/>
        <v>1.4288690166235205</v>
      </c>
      <c r="D21" s="2">
        <v>0</v>
      </c>
      <c r="E21" s="3">
        <v>6.2358276643990927E-2</v>
      </c>
      <c r="F21" s="11">
        <v>4.8441086135707329E-2</v>
      </c>
      <c r="G21" s="24"/>
      <c r="H21" s="34"/>
      <c r="I21" s="9">
        <v>0.43</v>
      </c>
      <c r="J21" s="14">
        <f t="shared" si="3"/>
        <v>0.48349377841522861</v>
      </c>
      <c r="K21" s="9">
        <v>4.7619047619047616E-2</v>
      </c>
      <c r="L21" s="9">
        <v>0.1</v>
      </c>
      <c r="M21" s="9">
        <v>9.0168645816570248E-2</v>
      </c>
      <c r="N21" s="26"/>
      <c r="O21" s="33"/>
      <c r="P21" s="18">
        <v>32</v>
      </c>
      <c r="Q21" s="14">
        <f t="shared" si="4"/>
        <v>-0.58976782461958854</v>
      </c>
      <c r="R21" s="9">
        <v>5.46875E-2</v>
      </c>
      <c r="S21" s="9">
        <v>8.8989441930618404E-2</v>
      </c>
      <c r="T21" s="9">
        <v>6.82637978604346E-2</v>
      </c>
      <c r="U21" s="26"/>
      <c r="V21" s="32">
        <v>8</v>
      </c>
      <c r="W21" s="12">
        <v>150000</v>
      </c>
      <c r="X21" s="31">
        <f t="shared" si="5"/>
        <v>-0.31653470180072479</v>
      </c>
      <c r="Y21" s="22">
        <v>3.5714285714285712E-2</v>
      </c>
      <c r="Z21" s="13">
        <v>6.2639821029082776E-2</v>
      </c>
      <c r="AA21" s="22">
        <f t="shared" si="6"/>
        <v>6.805333064770934E-2</v>
      </c>
      <c r="AB21" s="13">
        <v>6.252095966858609E-2</v>
      </c>
      <c r="AC21" s="27"/>
      <c r="AG21" s="35">
        <f>AVERAGE(AG7:AG20)</f>
        <v>2.7061236049308841E-2</v>
      </c>
      <c r="AH21" s="35">
        <f>AVERAGE(AH7:AH20)</f>
        <v>2.7055444035535458E-2</v>
      </c>
      <c r="AI21" s="35">
        <f>AVERAGE(AI7:AI20)</f>
        <v>2.7457010127483993E-2</v>
      </c>
      <c r="AK21" s="32">
        <v>8</v>
      </c>
      <c r="AL21" s="12">
        <v>800000</v>
      </c>
      <c r="AM21" s="14">
        <f t="shared" si="7"/>
        <v>-0.55706829549270043</v>
      </c>
      <c r="AN21" s="9">
        <v>5.3571428571428568E-2</v>
      </c>
      <c r="AO21" s="13">
        <v>3.9432176656151417E-2</v>
      </c>
      <c r="AP21" s="13">
        <v>5.4455987119485794E-2</v>
      </c>
      <c r="AQ21" s="27"/>
      <c r="AR21" s="28">
        <v>22</v>
      </c>
      <c r="AS21" s="12" t="s">
        <v>33</v>
      </c>
      <c r="AT21" s="31">
        <f t="shared" si="8"/>
        <v>0.54903133489680223</v>
      </c>
      <c r="AU21" s="9">
        <v>0</v>
      </c>
      <c r="AV21" s="13">
        <v>6.0563380281690143E-2</v>
      </c>
      <c r="AW21" s="13">
        <v>3.7516579595779927E-2</v>
      </c>
      <c r="AX21" s="27"/>
      <c r="AZ21" s="8"/>
      <c r="BA21" s="8"/>
      <c r="BD21" s="32">
        <v>8</v>
      </c>
      <c r="BE21" s="41" t="s">
        <v>40</v>
      </c>
      <c r="BF21" s="42">
        <f t="shared" si="1"/>
        <v>0.25677629550654774</v>
      </c>
      <c r="BG21" s="22">
        <v>7.3724007561436669E-2</v>
      </c>
      <c r="BH21" s="27"/>
    </row>
    <row r="22" spans="2:62" x14ac:dyDescent="0.25">
      <c r="B22" s="4"/>
      <c r="C22" s="4"/>
      <c r="D22" s="35">
        <f>AVERAGE(D14:D21)</f>
        <v>0.15181191169694577</v>
      </c>
      <c r="E22" s="35">
        <f t="shared" ref="E22:F22" si="10">AVERAGE(E14:E21)</f>
        <v>0.20745727793544153</v>
      </c>
      <c r="F22" s="35">
        <f t="shared" si="10"/>
        <v>0.15181191169694577</v>
      </c>
      <c r="I22" s="9">
        <v>0.4</v>
      </c>
      <c r="J22" s="14">
        <f t="shared" si="3"/>
        <v>0.32232918561015272</v>
      </c>
      <c r="K22" s="9">
        <v>3.0303030303030304E-2</v>
      </c>
      <c r="L22" s="9">
        <v>8.2706766917293228E-2</v>
      </c>
      <c r="M22" s="9">
        <v>8.3099279456911757E-2</v>
      </c>
      <c r="N22" s="26"/>
      <c r="O22" s="33"/>
      <c r="P22" s="18">
        <v>34</v>
      </c>
      <c r="Q22" s="14">
        <f t="shared" si="4"/>
        <v>-0.44232586846469141</v>
      </c>
      <c r="R22" s="9">
        <v>8.4507042253521125E-2</v>
      </c>
      <c r="S22" s="9">
        <v>8.819875776397515E-2</v>
      </c>
      <c r="T22" s="9">
        <v>6.2682784419002907E-2</v>
      </c>
      <c r="U22" s="26"/>
      <c r="V22" s="32">
        <v>9</v>
      </c>
      <c r="W22" s="12">
        <v>120000</v>
      </c>
      <c r="X22" s="31">
        <f t="shared" si="5"/>
        <v>-0.52331616528863534</v>
      </c>
      <c r="Y22" s="22">
        <v>5.8510638297872342E-2</v>
      </c>
      <c r="Z22" s="13">
        <v>6.1417322834645668E-2</v>
      </c>
      <c r="AA22" s="22">
        <f t="shared" si="6"/>
        <v>6.5464865452464507E-2</v>
      </c>
      <c r="AB22" s="13">
        <v>6.3741647743598889E-2</v>
      </c>
      <c r="AC22" s="27"/>
      <c r="AG22" s="36"/>
      <c r="AH22" s="36" t="s">
        <v>25</v>
      </c>
      <c r="AI22" s="35">
        <v>3.1175264850018904E-2</v>
      </c>
      <c r="AK22" s="32">
        <v>9</v>
      </c>
      <c r="AL22" s="12">
        <v>900000</v>
      </c>
      <c r="AM22" s="14">
        <f t="shared" si="7"/>
        <v>-0.55250883560559261</v>
      </c>
      <c r="AN22" s="9">
        <v>5.128205128205128E-2</v>
      </c>
      <c r="AO22" s="13">
        <v>4.0118870728083213E-2</v>
      </c>
      <c r="AP22" s="13">
        <v>5.6139946736594615E-2</v>
      </c>
      <c r="AQ22" s="27"/>
      <c r="AR22" s="28">
        <v>25</v>
      </c>
      <c r="AS22" s="12" t="s">
        <v>34</v>
      </c>
      <c r="AT22" s="31">
        <f t="shared" si="8"/>
        <v>0.8366191769856034</v>
      </c>
      <c r="AU22" s="9">
        <v>3.2786885245901641E-2</v>
      </c>
      <c r="AV22" s="13">
        <v>5.8365758754863814E-2</v>
      </c>
      <c r="AW22" s="13">
        <v>3.6022047087112437E-2</v>
      </c>
      <c r="AX22" s="27"/>
      <c r="AZ22" s="8"/>
      <c r="BA22" s="8"/>
      <c r="BD22" s="32">
        <v>9</v>
      </c>
      <c r="BE22" s="41" t="s">
        <v>41</v>
      </c>
      <c r="BF22" s="42">
        <f t="shared" si="1"/>
        <v>0.51355259101309547</v>
      </c>
      <c r="BG22" s="22">
        <v>7.3913043478260873E-2</v>
      </c>
      <c r="BH22" s="27"/>
    </row>
    <row r="23" spans="2:62" x14ac:dyDescent="0.25">
      <c r="B23" s="4"/>
      <c r="C23" s="4"/>
      <c r="D23" s="36"/>
      <c r="E23" s="36" t="s">
        <v>25</v>
      </c>
      <c r="F23" s="35">
        <v>0.10506788229922473</v>
      </c>
      <c r="I23" s="9">
        <v>0.37</v>
      </c>
      <c r="J23" s="14">
        <f t="shared" si="3"/>
        <v>0.1611645928050765</v>
      </c>
      <c r="K23" s="9">
        <v>9.6774193548387094E-2</v>
      </c>
      <c r="L23" s="9">
        <v>8.5365853658536592E-2</v>
      </c>
      <c r="M23" s="9">
        <v>7.6490891727106325E-2</v>
      </c>
      <c r="N23" s="26"/>
      <c r="O23" s="33"/>
      <c r="P23" s="18">
        <v>36</v>
      </c>
      <c r="Q23" s="14">
        <f t="shared" si="4"/>
        <v>-0.29488391230979427</v>
      </c>
      <c r="R23" s="9">
        <v>0.04</v>
      </c>
      <c r="S23" s="9">
        <v>8.1720430107526887E-2</v>
      </c>
      <c r="T23" s="9">
        <v>5.7937306830704784E-2</v>
      </c>
      <c r="U23" s="26"/>
      <c r="V23" s="32">
        <v>10</v>
      </c>
      <c r="W23" s="12">
        <v>90000</v>
      </c>
      <c r="X23" s="31">
        <f t="shared" si="5"/>
        <v>-0.73009762877654594</v>
      </c>
      <c r="Y23" s="22">
        <v>3.553299492385787E-2</v>
      </c>
      <c r="Z23" s="13">
        <v>5.5288461538461536E-2</v>
      </c>
      <c r="AA23" s="22">
        <f t="shared" si="6"/>
        <v>6.2127753412023853E-2</v>
      </c>
      <c r="AB23" s="13">
        <v>6.482610562577637E-2</v>
      </c>
      <c r="AC23" s="27"/>
      <c r="AK23" s="32">
        <v>10</v>
      </c>
      <c r="AL23" s="12">
        <v>1000000</v>
      </c>
      <c r="AM23" s="14">
        <f t="shared" si="7"/>
        <v>-0.5479493757184849</v>
      </c>
      <c r="AN23" s="9">
        <v>6.1855670103092786E-2</v>
      </c>
      <c r="AO23" s="13">
        <v>4.2857142857142858E-2</v>
      </c>
      <c r="AP23" s="13">
        <v>5.7635974524056444E-2</v>
      </c>
      <c r="AQ23" s="27"/>
      <c r="AR23" s="28">
        <v>28</v>
      </c>
      <c r="AS23" s="12" t="s">
        <v>35</v>
      </c>
      <c r="AT23" s="31">
        <f t="shared" si="8"/>
        <v>1.1242070190744047</v>
      </c>
      <c r="AU23" s="9">
        <v>0</v>
      </c>
      <c r="AV23" s="13">
        <v>5.6179775280898875E-2</v>
      </c>
      <c r="AW23" s="13">
        <v>3.4730301797942349E-2</v>
      </c>
      <c r="AX23" s="27"/>
      <c r="AZ23" s="8"/>
      <c r="BA23" s="8"/>
      <c r="BD23" s="32">
        <v>10</v>
      </c>
      <c r="BE23" s="41" t="s">
        <v>42</v>
      </c>
      <c r="BF23" s="42">
        <f t="shared" si="1"/>
        <v>0.77032888651964326</v>
      </c>
      <c r="BG23" s="22">
        <v>7.9207920792079209E-2</v>
      </c>
    </row>
    <row r="24" spans="2:62" x14ac:dyDescent="0.25">
      <c r="B24" s="4"/>
      <c r="C24" s="4"/>
      <c r="D24" s="4"/>
      <c r="E24" s="4">
        <f>_xlfn.STDEV.P(D14:D21)</f>
        <v>0.2098515661858544</v>
      </c>
      <c r="I24" s="9">
        <v>0.34</v>
      </c>
      <c r="J24" s="14">
        <f t="shared" si="3"/>
        <v>5.9642880562177763E-16</v>
      </c>
      <c r="K24" s="9">
        <v>9.8039215686274508E-2</v>
      </c>
      <c r="L24" s="9">
        <v>8.8372093023255813E-2</v>
      </c>
      <c r="M24" s="9">
        <v>7.0317545704433271E-2</v>
      </c>
      <c r="N24" s="26"/>
      <c r="O24" s="33"/>
      <c r="P24" s="18">
        <v>38</v>
      </c>
      <c r="Q24" s="14">
        <f t="shared" si="4"/>
        <v>-0.14744195615489714</v>
      </c>
      <c r="R24" s="9">
        <v>1.0101010101010102E-2</v>
      </c>
      <c r="S24" s="9">
        <v>7.4829931972789115E-2</v>
      </c>
      <c r="T24" s="9">
        <v>5.3862630448112604E-2</v>
      </c>
      <c r="U24" s="26"/>
      <c r="V24" s="32">
        <v>11</v>
      </c>
      <c r="W24" s="12">
        <v>60000</v>
      </c>
      <c r="X24" s="31">
        <f t="shared" si="5"/>
        <v>-0.93687909226445654</v>
      </c>
      <c r="Y24" s="22">
        <v>1.1764705882352941E-2</v>
      </c>
      <c r="Z24" s="13">
        <v>5.1254089422028352E-2</v>
      </c>
      <c r="AA24" s="22">
        <f t="shared" si="6"/>
        <v>5.742435815796916E-2</v>
      </c>
      <c r="AB24" s="13">
        <v>6.5801733504133458E-2</v>
      </c>
      <c r="AC24" s="27"/>
      <c r="AK24" s="32">
        <v>11</v>
      </c>
      <c r="AL24" s="12">
        <v>2000000</v>
      </c>
      <c r="AM24" s="14">
        <f t="shared" si="7"/>
        <v>-0.50235477684740737</v>
      </c>
      <c r="AN24" s="9">
        <v>9.8591549295774641E-2</v>
      </c>
      <c r="AO24" s="13">
        <v>5.1535087719298246E-2</v>
      </c>
      <c r="AP24" s="13">
        <v>5.8981869500921491E-2</v>
      </c>
      <c r="AQ24" s="27"/>
      <c r="AR24" s="28">
        <v>34</v>
      </c>
      <c r="AS24" s="12" t="s">
        <v>36</v>
      </c>
      <c r="AT24" s="31">
        <f t="shared" si="8"/>
        <v>1.699382703252007</v>
      </c>
      <c r="AU24" s="9">
        <v>2.0202020202020204E-2</v>
      </c>
      <c r="AV24" s="13">
        <v>5.2222222222222225E-2</v>
      </c>
      <c r="AW24" s="13">
        <v>1.5068002386159358E-2</v>
      </c>
      <c r="AX24" s="27"/>
      <c r="AZ24" s="8"/>
      <c r="BA24" s="8"/>
      <c r="BD24" s="32">
        <v>11</v>
      </c>
      <c r="BE24" s="41" t="s">
        <v>44</v>
      </c>
      <c r="BF24" s="42">
        <f t="shared" si="1"/>
        <v>1.0271051820261909</v>
      </c>
      <c r="BG24" s="22">
        <v>8.6103323988786548E-2</v>
      </c>
      <c r="BJ24" s="27"/>
    </row>
    <row r="25" spans="2:62" x14ac:dyDescent="0.25">
      <c r="B25" s="4"/>
      <c r="C25" s="4"/>
      <c r="D25" s="4"/>
      <c r="E25" s="4"/>
      <c r="I25" s="9">
        <v>0.31</v>
      </c>
      <c r="J25" s="14">
        <f t="shared" si="3"/>
        <v>-0.16116459280507561</v>
      </c>
      <c r="K25" s="9">
        <v>7.3170731707317069E-2</v>
      </c>
      <c r="L25" s="9">
        <v>8.59375E-2</v>
      </c>
      <c r="M25" s="9">
        <v>6.4554657222038903E-2</v>
      </c>
      <c r="N25" s="26"/>
      <c r="O25" s="33"/>
      <c r="P25" s="18">
        <v>40</v>
      </c>
      <c r="Q25" s="14">
        <f t="shared" si="4"/>
        <v>0</v>
      </c>
      <c r="R25" s="9">
        <v>8.0808080808080815E-2</v>
      </c>
      <c r="S25" s="9">
        <v>7.5354609929078012E-2</v>
      </c>
      <c r="T25" s="9">
        <v>5.0333344324042274E-2</v>
      </c>
      <c r="U25" s="26"/>
      <c r="V25" s="32">
        <v>12</v>
      </c>
      <c r="W25" s="12">
        <v>36000</v>
      </c>
      <c r="X25" s="31">
        <f t="shared" si="5"/>
        <v>-1.102304263054785</v>
      </c>
      <c r="Y25" s="22">
        <v>3.8461538461538464E-2</v>
      </c>
      <c r="Z25" s="13">
        <v>5.0901378579003183E-2</v>
      </c>
      <c r="AA25" s="22">
        <f t="shared" si="6"/>
        <v>5.149878092228366E-2</v>
      </c>
      <c r="AB25" s="13">
        <v>6.6688409931252607E-2</v>
      </c>
      <c r="AC25" s="27"/>
      <c r="AK25" s="32">
        <v>12</v>
      </c>
      <c r="AL25" s="12">
        <v>3000000</v>
      </c>
      <c r="AM25" s="14">
        <f t="shared" si="7"/>
        <v>-0.4567601779763299</v>
      </c>
      <c r="AN25" s="9">
        <v>4.3010752688172046E-2</v>
      </c>
      <c r="AO25" s="13">
        <v>5.0746268656716415E-2</v>
      </c>
      <c r="AP25" s="13">
        <v>6.0205054462972807E-2</v>
      </c>
      <c r="AQ25" s="27"/>
      <c r="AU25" s="35">
        <f>AVERAGE(AU14:AU24)</f>
        <v>5.1127809892557607E-2</v>
      </c>
      <c r="AV25" s="35">
        <f t="shared" ref="AV25:AW25" si="11">AVERAGE(AV14:AV24)</f>
        <v>7.9604539076240141E-2</v>
      </c>
      <c r="AW25" s="35">
        <f t="shared" si="11"/>
        <v>5.1127809892557601E-2</v>
      </c>
      <c r="AX25" s="27">
        <f>AU25-AW25</f>
        <v>0</v>
      </c>
      <c r="AZ25" s="8"/>
      <c r="BA25" s="8"/>
      <c r="BD25" s="32">
        <v>12</v>
      </c>
      <c r="BE25" s="41" t="s">
        <v>45</v>
      </c>
      <c r="BF25" s="42">
        <f t="shared" si="1"/>
        <v>1.2838814775327387</v>
      </c>
      <c r="BG25" s="22">
        <v>0.12195121951219512</v>
      </c>
    </row>
    <row r="26" spans="2:62" x14ac:dyDescent="0.25">
      <c r="B26" s="4"/>
      <c r="C26" s="4"/>
      <c r="D26" s="4"/>
      <c r="E26" s="4"/>
      <c r="I26" s="9">
        <v>0.28000000000000003</v>
      </c>
      <c r="J26" s="14">
        <f t="shared" si="3"/>
        <v>-0.3223291856101515</v>
      </c>
      <c r="K26" s="9">
        <v>7.407407407407407E-2</v>
      </c>
      <c r="L26" s="9">
        <v>8.387096774193549E-2</v>
      </c>
      <c r="M26" s="9">
        <v>5.9178927508684802E-2</v>
      </c>
      <c r="N26" s="26"/>
      <c r="O26" s="33"/>
      <c r="P26" s="18">
        <v>42</v>
      </c>
      <c r="Q26" s="14">
        <f t="shared" si="4"/>
        <v>0.14744195615489714</v>
      </c>
      <c r="R26" s="9">
        <v>7.3684210526315783E-2</v>
      </c>
      <c r="S26" s="9">
        <v>7.5224856909239579E-2</v>
      </c>
      <c r="T26" s="9">
        <v>4.7252514376056966E-2</v>
      </c>
      <c r="U26" s="26"/>
      <c r="V26" s="32">
        <v>13</v>
      </c>
      <c r="W26" s="12">
        <v>1000</v>
      </c>
      <c r="X26" s="31">
        <f t="shared" si="5"/>
        <v>-1.3435493037906807</v>
      </c>
      <c r="Y26" s="22">
        <v>0.03</v>
      </c>
      <c r="Z26" s="13">
        <v>0.04</v>
      </c>
      <c r="AA26" s="22">
        <f>0.0116*LN(W26)-0.0702</f>
        <v>9.9299612361927886E-3</v>
      </c>
      <c r="AB26" s="13">
        <v>6.7501016994291813E-2</v>
      </c>
      <c r="AC26" s="27"/>
      <c r="AK26" s="32">
        <v>13</v>
      </c>
      <c r="AL26" s="12">
        <v>4000000</v>
      </c>
      <c r="AM26" s="14">
        <f t="shared" si="7"/>
        <v>-0.41116557910525242</v>
      </c>
      <c r="AN26" s="9">
        <v>6.25E-2</v>
      </c>
      <c r="AO26" s="13">
        <v>5.128205128205128E-2</v>
      </c>
      <c r="AP26" s="13">
        <v>6.132605949836728E-2</v>
      </c>
      <c r="AQ26" s="27"/>
      <c r="AU26" s="36"/>
      <c r="AV26" s="36" t="s">
        <v>25</v>
      </c>
      <c r="AW26" s="37">
        <v>6.0256877416787341E-4</v>
      </c>
      <c r="AX26" s="27"/>
      <c r="AZ26" s="8"/>
      <c r="BA26" s="8"/>
      <c r="BD26" s="32">
        <v>13</v>
      </c>
      <c r="BE26" s="12" t="s">
        <v>46</v>
      </c>
      <c r="BF26" s="42">
        <f t="shared" si="1"/>
        <v>1.5406577730392865</v>
      </c>
      <c r="BG26" s="22">
        <v>0.13461538461538461</v>
      </c>
    </row>
    <row r="27" spans="2:62" x14ac:dyDescent="0.25">
      <c r="B27" s="4"/>
      <c r="C27" s="4"/>
      <c r="D27" s="4"/>
      <c r="E27" s="4"/>
      <c r="I27" s="9">
        <v>0.25</v>
      </c>
      <c r="J27" s="14">
        <f t="shared" si="3"/>
        <v>-0.48349377841522773</v>
      </c>
      <c r="K27" s="9">
        <v>6.8965517241379309E-2</v>
      </c>
      <c r="L27" s="9">
        <v>8.1521739130434784E-2</v>
      </c>
      <c r="M27" s="9">
        <v>5.4168279079458086E-2</v>
      </c>
      <c r="N27" s="26"/>
      <c r="O27" s="33"/>
      <c r="P27" s="18">
        <v>44</v>
      </c>
      <c r="Q27" s="14">
        <f t="shared" si="4"/>
        <v>0.29488391230979427</v>
      </c>
      <c r="R27" s="9">
        <v>3.2967032967032968E-2</v>
      </c>
      <c r="S27" s="9">
        <v>7.2298325722983253E-2</v>
      </c>
      <c r="T27" s="9">
        <v>4.4544192039689103E-2</v>
      </c>
      <c r="U27" s="26"/>
      <c r="W27" s="8"/>
      <c r="X27" s="8"/>
      <c r="Y27" s="35">
        <f>AVERAGE(Y6:Y26)</f>
        <v>5.6607182801094634E-2</v>
      </c>
      <c r="Z27" s="35">
        <f t="shared" ref="Z27" si="12">AVERAGE(Z6:Z26)</f>
        <v>6.6750106441466353E-2</v>
      </c>
      <c r="AA27" s="35"/>
      <c r="AB27" s="35">
        <f t="shared" ref="AB27" si="13">AVERAGE(AB6:AB26)</f>
        <v>5.5594637540796334E-2</v>
      </c>
      <c r="AK27" s="32">
        <v>14</v>
      </c>
      <c r="AL27" s="12">
        <v>5000000</v>
      </c>
      <c r="AM27" s="14">
        <f t="shared" si="7"/>
        <v>-0.36557098023417495</v>
      </c>
      <c r="AN27" s="9">
        <v>0.21052631578947367</v>
      </c>
      <c r="AO27" s="13">
        <v>5.6828597616865262E-2</v>
      </c>
      <c r="AP27" s="13">
        <v>6.2360655499540563E-2</v>
      </c>
      <c r="AQ27" s="27"/>
      <c r="AX27" s="27"/>
      <c r="AZ27" s="8"/>
      <c r="BA27" s="8"/>
    </row>
    <row r="28" spans="2:62" x14ac:dyDescent="0.25">
      <c r="B28" s="4"/>
      <c r="C28" s="4"/>
      <c r="D28" s="4"/>
      <c r="E28" s="4"/>
      <c r="I28" s="9">
        <v>0.22</v>
      </c>
      <c r="J28" s="14">
        <f t="shared" si="3"/>
        <v>-0.64465837122030378</v>
      </c>
      <c r="K28" s="9">
        <v>8.9743589743589744E-2</v>
      </c>
      <c r="L28" s="9">
        <v>8.2959641255605385E-2</v>
      </c>
      <c r="M28" s="9">
        <v>4.9501794724046248E-2</v>
      </c>
      <c r="N28" s="26"/>
      <c r="O28" s="33"/>
      <c r="P28" s="18">
        <v>46</v>
      </c>
      <c r="Q28" s="14">
        <f t="shared" si="4"/>
        <v>0.44232586846469141</v>
      </c>
      <c r="R28" s="9">
        <v>6.741573033707865E-2</v>
      </c>
      <c r="S28" s="9">
        <v>7.1988595866001426E-2</v>
      </c>
      <c r="T28" s="9">
        <v>4.2148138141533766E-2</v>
      </c>
      <c r="U28" s="26"/>
      <c r="W28" s="8"/>
      <c r="X28" s="8"/>
      <c r="Y28" s="36"/>
      <c r="Z28" s="36" t="s">
        <v>25</v>
      </c>
      <c r="AA28" s="36"/>
      <c r="AB28" s="35">
        <v>7.9844946838780947E-3</v>
      </c>
      <c r="AK28" s="32">
        <v>15</v>
      </c>
      <c r="AL28" s="12">
        <v>6000000</v>
      </c>
      <c r="AM28" s="14">
        <f>(AL28-AVERAGE($AL$14:$AL$41))/STDEV($AL$14:$AL$41)</f>
        <v>-0.31997638136309742</v>
      </c>
      <c r="AN28" s="9">
        <v>3.3333333333333333E-2</v>
      </c>
      <c r="AO28" s="13">
        <v>5.6199821587867974E-2</v>
      </c>
      <c r="AP28" s="13">
        <v>6.3321220824355373E-2</v>
      </c>
      <c r="AQ28" s="27"/>
      <c r="AX28" s="27"/>
      <c r="AZ28" s="8"/>
      <c r="BA28" s="8"/>
    </row>
    <row r="29" spans="2:62" x14ac:dyDescent="0.25">
      <c r="B29" s="4"/>
      <c r="C29" s="4"/>
      <c r="D29" s="4"/>
      <c r="E29" s="4"/>
      <c r="I29" s="9">
        <v>0.19</v>
      </c>
      <c r="J29" s="14">
        <f t="shared" si="3"/>
        <v>-0.8058229640253799</v>
      </c>
      <c r="K29" s="9">
        <v>1.834862385321101E-2</v>
      </c>
      <c r="L29" s="9">
        <v>7.0270270270270274E-2</v>
      </c>
      <c r="M29" s="9">
        <v>4.5159659446281412E-2</v>
      </c>
      <c r="N29" s="26"/>
      <c r="O29" s="33"/>
      <c r="P29" s="18">
        <v>48</v>
      </c>
      <c r="Q29" s="14">
        <f t="shared" si="4"/>
        <v>0.58976782461958854</v>
      </c>
      <c r="R29" s="9">
        <v>5.7971014492753624E-2</v>
      </c>
      <c r="S29" s="9">
        <v>7.1331521739130432E-2</v>
      </c>
      <c r="T29" s="9">
        <v>4.0016040966305434E-2</v>
      </c>
      <c r="U29" s="26"/>
      <c r="W29" s="8"/>
      <c r="X29" s="8"/>
      <c r="Y29" s="8"/>
      <c r="Z29" s="8"/>
      <c r="AB29" s="8"/>
      <c r="AK29" s="32">
        <v>16</v>
      </c>
      <c r="AL29" s="12">
        <v>7000000</v>
      </c>
      <c r="AM29" s="14">
        <f t="shared" si="7"/>
        <v>-0.27438178249201994</v>
      </c>
      <c r="AN29" s="9">
        <v>0.1111111111111111</v>
      </c>
      <c r="AO29" s="13">
        <v>5.7067603160667252E-2</v>
      </c>
      <c r="AP29" s="13">
        <v>6.4217649909277863E-2</v>
      </c>
      <c r="AQ29" s="27"/>
      <c r="AX29" s="27"/>
      <c r="AZ29" s="8"/>
      <c r="BA29" s="8"/>
    </row>
    <row r="30" spans="2:62" x14ac:dyDescent="0.25">
      <c r="B30" s="4"/>
      <c r="C30" s="4"/>
      <c r="D30" s="4"/>
      <c r="E30" s="4"/>
      <c r="I30" s="9">
        <v>0.16</v>
      </c>
      <c r="J30" s="14">
        <f t="shared" si="3"/>
        <v>-0.9669875568304559</v>
      </c>
      <c r="K30" s="9">
        <v>5.128205128205128E-2</v>
      </c>
      <c r="L30" s="9">
        <v>6.6964285714285712E-2</v>
      </c>
      <c r="M30" s="9">
        <v>4.1123105215464688E-2</v>
      </c>
      <c r="N30" s="26"/>
      <c r="O30" s="33"/>
      <c r="P30" s="18">
        <v>50</v>
      </c>
      <c r="Q30" s="14">
        <f t="shared" si="4"/>
        <v>0.73720978077448562</v>
      </c>
      <c r="R30" s="9">
        <v>6.6666666666666666E-2</v>
      </c>
      <c r="S30" s="9">
        <v>7.1148825065274146E-2</v>
      </c>
      <c r="T30" s="9">
        <v>3.8108761873621701E-2</v>
      </c>
      <c r="U30" s="26"/>
      <c r="W30" s="8"/>
      <c r="X30" s="8"/>
      <c r="Y30" s="8"/>
      <c r="Z30" s="8"/>
      <c r="AB30" s="8"/>
      <c r="AK30" s="32">
        <v>17</v>
      </c>
      <c r="AL30" s="12">
        <v>8000000</v>
      </c>
      <c r="AM30" s="14">
        <f t="shared" si="7"/>
        <v>-0.22878718362094244</v>
      </c>
      <c r="AN30" s="9">
        <v>0.13333333333333333</v>
      </c>
      <c r="AO30" s="13">
        <v>5.8058925476603122E-2</v>
      </c>
      <c r="AP30" s="13">
        <v>6.5057976596522293E-2</v>
      </c>
      <c r="AQ30" s="27"/>
      <c r="AX30" s="27"/>
    </row>
    <row r="31" spans="2:62" x14ac:dyDescent="0.25">
      <c r="B31" s="4"/>
      <c r="C31" s="4"/>
      <c r="D31" s="4"/>
      <c r="E31" s="4"/>
      <c r="I31" s="9">
        <v>0.13</v>
      </c>
      <c r="J31" s="14">
        <f t="shared" si="3"/>
        <v>-1.128152149635532</v>
      </c>
      <c r="K31" s="9">
        <v>3.7735849056603772E-2</v>
      </c>
      <c r="L31" s="9">
        <v>6.2982005141388173E-2</v>
      </c>
      <c r="M31" s="9">
        <v>3.7374358396443534E-2</v>
      </c>
      <c r="N31" s="26"/>
      <c r="O31" s="33"/>
      <c r="P31" s="18">
        <v>52</v>
      </c>
      <c r="Q31" s="14">
        <f t="shared" si="4"/>
        <v>0.88465173692938281</v>
      </c>
      <c r="R31" s="9">
        <v>1.4925373134328358E-2</v>
      </c>
      <c r="S31" s="9">
        <v>6.8792995622263917E-2</v>
      </c>
      <c r="T31" s="9">
        <v>3.6394300054240082E-2</v>
      </c>
      <c r="U31" s="26"/>
      <c r="W31" s="8"/>
      <c r="X31" s="8"/>
      <c r="Y31" s="8"/>
      <c r="Z31" s="8"/>
      <c r="AB31" s="8"/>
      <c r="AK31" s="32">
        <v>18</v>
      </c>
      <c r="AL31" s="12">
        <v>9000000</v>
      </c>
      <c r="AM31" s="14">
        <f t="shared" si="7"/>
        <v>-0.18319258474986497</v>
      </c>
      <c r="AN31" s="9">
        <v>0.1111111111111111</v>
      </c>
      <c r="AO31" s="13">
        <v>5.8873720136518773E-2</v>
      </c>
      <c r="AP31" s="13">
        <v>6.5848813371328141E-2</v>
      </c>
      <c r="AQ31" s="27"/>
      <c r="AX31" s="27"/>
    </row>
    <row r="32" spans="2:62" x14ac:dyDescent="0.25">
      <c r="B32" s="4"/>
      <c r="C32" s="4"/>
      <c r="D32" s="4"/>
      <c r="E32" s="4"/>
      <c r="I32" s="9">
        <v>0.1</v>
      </c>
      <c r="J32" s="14">
        <f t="shared" si="3"/>
        <v>-1.289316742440608</v>
      </c>
      <c r="K32" s="9">
        <v>7.407407407407407E-2</v>
      </c>
      <c r="L32" s="9">
        <v>6.3701923076923073E-2</v>
      </c>
      <c r="M32" s="9">
        <v>3.3896589731621345E-2</v>
      </c>
      <c r="N32" s="26"/>
      <c r="O32" s="33"/>
      <c r="P32" s="18">
        <v>54</v>
      </c>
      <c r="Q32" s="14">
        <f t="shared" si="4"/>
        <v>1.0320936930842799</v>
      </c>
      <c r="R32" s="9">
        <v>0</v>
      </c>
      <c r="S32" s="9">
        <v>6.5515187611673617E-2</v>
      </c>
      <c r="T32" s="9">
        <v>3.4846268678557703E-2</v>
      </c>
      <c r="U32" s="26"/>
      <c r="W32" s="8"/>
      <c r="X32" s="8"/>
      <c r="Y32" s="8"/>
      <c r="Z32" s="8"/>
      <c r="AB32" s="8"/>
      <c r="AK32" s="32">
        <v>19</v>
      </c>
      <c r="AL32" s="12">
        <v>10000000</v>
      </c>
      <c r="AM32" s="14">
        <f t="shared" si="7"/>
        <v>-0.13759798587878747</v>
      </c>
      <c r="AN32" s="9">
        <v>0.13333333333333333</v>
      </c>
      <c r="AO32" s="13">
        <v>5.9814658803706823E-2</v>
      </c>
      <c r="AP32" s="13">
        <v>6.6595668144067866E-2</v>
      </c>
      <c r="AQ32" s="27"/>
      <c r="AX32" s="27"/>
    </row>
    <row r="33" spans="2:50" x14ac:dyDescent="0.25">
      <c r="B33" s="4"/>
      <c r="C33" s="4"/>
      <c r="D33" s="4"/>
      <c r="E33" s="4"/>
      <c r="I33" s="9">
        <v>6.9999999999999105E-2</v>
      </c>
      <c r="J33" s="14">
        <f t="shared" si="3"/>
        <v>-1.4504813352456889</v>
      </c>
      <c r="K33" s="9">
        <v>2.6315789473684209E-2</v>
      </c>
      <c r="L33" s="9">
        <v>6.2068965517241378E-2</v>
      </c>
      <c r="M33" s="9">
        <v>3.067386675394889E-2</v>
      </c>
      <c r="N33" s="26"/>
      <c r="O33" s="33"/>
      <c r="P33" s="18">
        <v>56.000000000000007</v>
      </c>
      <c r="Q33" s="14">
        <f t="shared" si="4"/>
        <v>1.1795356492391775</v>
      </c>
      <c r="R33" s="9">
        <v>1.5873015873015872E-2</v>
      </c>
      <c r="S33" s="9">
        <v>6.3719862227324911E-2</v>
      </c>
      <c r="T33" s="9">
        <v>3.3442740049186938E-2</v>
      </c>
      <c r="U33" s="26"/>
      <c r="W33" s="8"/>
      <c r="X33" s="8"/>
      <c r="Y33" s="8"/>
      <c r="Z33" s="8"/>
      <c r="AB33" s="8"/>
      <c r="AK33" s="32">
        <v>20</v>
      </c>
      <c r="AL33" s="12">
        <v>12000000</v>
      </c>
      <c r="AM33" s="14">
        <f t="shared" si="7"/>
        <v>-4.6408788136632483E-2</v>
      </c>
      <c r="AN33" s="9">
        <v>4.3478260869565216E-2</v>
      </c>
      <c r="AO33" s="13">
        <v>5.9504132231404959E-2</v>
      </c>
      <c r="AP33" s="13">
        <v>6.7303177398706227E-2</v>
      </c>
      <c r="AQ33" s="27"/>
      <c r="AX33" s="27"/>
    </row>
    <row r="34" spans="2:50" x14ac:dyDescent="0.25">
      <c r="B34" s="4"/>
      <c r="C34" s="4"/>
      <c r="D34" s="4"/>
      <c r="E34" s="4"/>
      <c r="I34" s="9">
        <v>3.9999999999999002E-2</v>
      </c>
      <c r="J34" s="14">
        <f t="shared" si="3"/>
        <v>-1.6116459280507658</v>
      </c>
      <c r="K34" s="9">
        <v>9.0909090909090912E-2</v>
      </c>
      <c r="L34" s="9">
        <v>6.2429057888762768E-2</v>
      </c>
      <c r="M34" s="9">
        <v>2.7691108515615619E-2</v>
      </c>
      <c r="N34" s="26"/>
      <c r="O34" s="33"/>
      <c r="P34" s="18">
        <v>57.999999999999993</v>
      </c>
      <c r="Q34" s="14">
        <f t="shared" si="4"/>
        <v>1.3269776053940736</v>
      </c>
      <c r="R34" s="9">
        <v>5.5555555555555552E-2</v>
      </c>
      <c r="S34" s="9">
        <v>6.347438752783964E-2</v>
      </c>
      <c r="T34" s="9">
        <v>3.2165360604216632E-2</v>
      </c>
      <c r="U34" s="26"/>
      <c r="W34" s="8"/>
      <c r="X34" s="8"/>
      <c r="Y34" s="8"/>
      <c r="Z34" s="8"/>
      <c r="AB34" s="8"/>
      <c r="AK34" s="32">
        <v>21</v>
      </c>
      <c r="AL34" s="12">
        <v>14000000</v>
      </c>
      <c r="AM34" s="14">
        <f t="shared" si="7"/>
        <v>4.47804096055225E-2</v>
      </c>
      <c r="AN34" s="9">
        <v>6.6666666666666666E-2</v>
      </c>
      <c r="AO34" s="13">
        <v>5.9591836734693877E-2</v>
      </c>
      <c r="AP34" s="13">
        <v>6.79752808853748E-2</v>
      </c>
      <c r="AQ34" s="27"/>
      <c r="AX34" s="27"/>
    </row>
    <row r="35" spans="2:50" x14ac:dyDescent="0.25">
      <c r="K35" s="35">
        <f>AVERAGE(K14:K34)</f>
        <v>7.7970654219079755E-2</v>
      </c>
      <c r="L35" s="35">
        <f t="shared" ref="L35:M35" si="14">AVERAGE(L14:L34)</f>
        <v>8.1838829190911275E-2</v>
      </c>
      <c r="M35" s="35">
        <f t="shared" si="14"/>
        <v>7.7970654219079699E-2</v>
      </c>
      <c r="O35" s="33"/>
      <c r="P35" s="18">
        <v>60</v>
      </c>
      <c r="Q35" s="14">
        <f t="shared" si="4"/>
        <v>1.4744195615489712</v>
      </c>
      <c r="R35" s="9">
        <v>4.1666666666666664E-2</v>
      </c>
      <c r="S35" s="9">
        <v>6.3186813186813184E-2</v>
      </c>
      <c r="T35" s="9">
        <v>3.0998665709821717E-2</v>
      </c>
      <c r="U35" s="26"/>
      <c r="W35" s="8"/>
      <c r="X35" s="8"/>
      <c r="Y35" s="8"/>
      <c r="Z35" s="8"/>
      <c r="AB35" s="8"/>
      <c r="AK35" s="32">
        <v>22</v>
      </c>
      <c r="AL35" s="12">
        <v>16000000</v>
      </c>
      <c r="AM35" s="14">
        <f t="shared" si="7"/>
        <v>0.13596960734767749</v>
      </c>
      <c r="AN35" s="9">
        <v>8.3333333333333329E-2</v>
      </c>
      <c r="AO35" s="13">
        <v>5.9822150363783348E-2</v>
      </c>
      <c r="AP35" s="13">
        <v>6.8615354611129609E-2</v>
      </c>
      <c r="AQ35" s="27"/>
      <c r="AX35" s="27"/>
    </row>
    <row r="36" spans="2:50" x14ac:dyDescent="0.25">
      <c r="K36" s="36"/>
      <c r="L36" s="36" t="s">
        <v>25</v>
      </c>
      <c r="M36" s="35">
        <v>1.9256704786730576E-2</v>
      </c>
      <c r="P36" s="18">
        <v>62</v>
      </c>
      <c r="Q36" s="14">
        <f t="shared" si="4"/>
        <v>1.6218615177038684</v>
      </c>
      <c r="R36" s="9">
        <v>6.8965517241379309E-2</v>
      </c>
      <c r="S36" s="9">
        <v>6.3277447268793946E-2</v>
      </c>
      <c r="T36" s="9">
        <v>2.9929544066738568E-2</v>
      </c>
      <c r="U36" s="26"/>
      <c r="W36" s="8"/>
      <c r="X36" s="8"/>
      <c r="Y36" s="8"/>
      <c r="Z36" s="8"/>
      <c r="AB36" s="8"/>
      <c r="AK36" s="32">
        <v>23</v>
      </c>
      <c r="AL36" s="12">
        <v>18000000</v>
      </c>
      <c r="AM36" s="14">
        <f t="shared" si="7"/>
        <v>0.22715880508983247</v>
      </c>
      <c r="AN36" s="9">
        <v>6.6666666666666666E-2</v>
      </c>
      <c r="AO36" s="13">
        <v>5.9904153354632589E-2</v>
      </c>
      <c r="AP36" s="13">
        <v>6.9226313534320683E-2</v>
      </c>
      <c r="AQ36" s="27"/>
      <c r="AX36" s="27"/>
    </row>
    <row r="37" spans="2:50" x14ac:dyDescent="0.25">
      <c r="R37" s="35">
        <f>AVERAGE(R16:R36)</f>
        <v>5.6111621636245522E-2</v>
      </c>
      <c r="S37" s="35">
        <f t="shared" ref="S37" si="15">AVERAGE(S16:S36)</f>
        <v>8.1526593338931447E-2</v>
      </c>
      <c r="T37" s="35">
        <f t="shared" ref="T37" si="16">AVERAGE(T16:T36)</f>
        <v>5.6111621636245529E-2</v>
      </c>
      <c r="AK37" s="32">
        <v>24</v>
      </c>
      <c r="AL37" s="12">
        <v>20000000</v>
      </c>
      <c r="AM37" s="14">
        <f t="shared" si="7"/>
        <v>0.31834800283198744</v>
      </c>
      <c r="AN37" s="9">
        <v>0</v>
      </c>
      <c r="AO37" s="13">
        <v>5.9760956175298807E-2</v>
      </c>
      <c r="AP37" s="13">
        <v>6.9810691886286136E-2</v>
      </c>
      <c r="AQ37" s="27"/>
      <c r="AX37" s="27"/>
    </row>
    <row r="38" spans="2:50" x14ac:dyDescent="0.25">
      <c r="R38" s="36"/>
      <c r="S38" s="36" t="s">
        <v>25</v>
      </c>
      <c r="T38" s="35">
        <v>7.4750654584502599E-3</v>
      </c>
      <c r="AK38" s="32">
        <v>25</v>
      </c>
      <c r="AL38" s="12">
        <v>30000000</v>
      </c>
      <c r="AM38" s="14">
        <f t="shared" si="7"/>
        <v>0.77429399154276246</v>
      </c>
      <c r="AN38" s="9">
        <v>0</v>
      </c>
      <c r="AO38" s="13">
        <v>5.8685446009389672E-2</v>
      </c>
      <c r="AP38" s="13">
        <v>7.037070672664586E-2</v>
      </c>
      <c r="AQ38" s="27"/>
      <c r="AX38" s="27"/>
    </row>
    <row r="39" spans="2:50" x14ac:dyDescent="0.25">
      <c r="AK39" s="32">
        <v>26</v>
      </c>
      <c r="AL39" s="12">
        <v>40000000</v>
      </c>
      <c r="AM39" s="14">
        <f t="shared" si="7"/>
        <v>1.2302399802535373</v>
      </c>
      <c r="AN39" s="9">
        <v>0</v>
      </c>
      <c r="AO39" s="13">
        <v>5.8275058275058272E-2</v>
      </c>
      <c r="AP39" s="13">
        <v>7.090830876475035E-2</v>
      </c>
      <c r="AQ39" s="27"/>
      <c r="AX39" s="27"/>
    </row>
    <row r="40" spans="2:50" x14ac:dyDescent="0.25">
      <c r="AK40" s="32">
        <v>27</v>
      </c>
      <c r="AL40" s="12">
        <v>50000000</v>
      </c>
      <c r="AM40" s="14">
        <f t="shared" si="7"/>
        <v>1.6861859689643122</v>
      </c>
      <c r="AN40" s="9">
        <v>0</v>
      </c>
      <c r="AO40" s="13">
        <v>5.7959814528593508E-2</v>
      </c>
      <c r="AP40" s="13">
        <v>7.1425223391666737E-2</v>
      </c>
      <c r="AQ40" s="27"/>
      <c r="AX40" s="27"/>
    </row>
    <row r="41" spans="2:50" x14ac:dyDescent="0.25">
      <c r="AK41" s="32">
        <v>28</v>
      </c>
      <c r="AL41" s="12">
        <v>105000000</v>
      </c>
      <c r="AM41" s="14">
        <f t="shared" si="7"/>
        <v>4.1938889068735739</v>
      </c>
      <c r="AN41" s="9">
        <v>0</v>
      </c>
      <c r="AO41" s="13">
        <v>5.764796310530361E-2</v>
      </c>
      <c r="AP41" s="13">
        <v>7.1922984102076037E-2</v>
      </c>
      <c r="AQ41" s="27"/>
      <c r="AX41" s="27"/>
    </row>
    <row r="42" spans="2:50" x14ac:dyDescent="0.25">
      <c r="AN42" s="35">
        <f>AVERAGE(AN21:AN41)</f>
        <v>6.4938329404211764E-2</v>
      </c>
      <c r="AO42" s="35">
        <f t="shared" ref="AO42" si="17">AVERAGE(AO21:AO41)</f>
        <v>5.495078264094435E-2</v>
      </c>
      <c r="AP42" s="35">
        <f t="shared" ref="AP42" si="18">AVERAGE(AP21:AP41)</f>
        <v>6.4938329404211778E-2</v>
      </c>
      <c r="AX42" s="27"/>
    </row>
    <row r="43" spans="2:50" x14ac:dyDescent="0.25">
      <c r="AN43" s="36"/>
      <c r="AO43" s="36" t="s">
        <v>25</v>
      </c>
      <c r="AP43" s="35">
        <v>-2.4651093671426705E-3</v>
      </c>
      <c r="AX43" s="27"/>
    </row>
    <row r="44" spans="2:50" x14ac:dyDescent="0.25">
      <c r="AX44" s="27"/>
    </row>
    <row r="45" spans="2:50" x14ac:dyDescent="0.25">
      <c r="AX45" s="27"/>
    </row>
    <row r="46" spans="2:50" x14ac:dyDescent="0.25">
      <c r="AX46" s="27"/>
    </row>
    <row r="47" spans="2:50" x14ac:dyDescent="0.25">
      <c r="AX47" s="27"/>
    </row>
    <row r="48" spans="2:50" x14ac:dyDescent="0.25">
      <c r="AX48" s="27"/>
    </row>
    <row r="49" spans="50:50" x14ac:dyDescent="0.25">
      <c r="AX49" s="27"/>
    </row>
    <row r="50" spans="50:50" x14ac:dyDescent="0.25">
      <c r="AX50" s="27"/>
    </row>
    <row r="51" spans="50:50" x14ac:dyDescent="0.25">
      <c r="AX51" s="27"/>
    </row>
    <row r="52" spans="50:50" x14ac:dyDescent="0.25">
      <c r="AX52" s="27"/>
    </row>
    <row r="53" spans="50:50" x14ac:dyDescent="0.25">
      <c r="AX53" s="27"/>
    </row>
    <row r="54" spans="50:50" x14ac:dyDescent="0.25">
      <c r="AX54" s="27"/>
    </row>
    <row r="55" spans="50:50" x14ac:dyDescent="0.25">
      <c r="AX55" s="27"/>
    </row>
    <row r="56" spans="50:50" x14ac:dyDescent="0.25">
      <c r="AX56" s="27"/>
    </row>
  </sheetData>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F3C9DACE864194FA56C7A1E379D4CAA" ma:contentTypeVersion="0" ma:contentTypeDescription="Create a new document." ma:contentTypeScope="" ma:versionID="b8db03a1581c819ce23901828f97cfe9">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52DBC4-167E-4FFA-A8A7-D661250ACCFF}">
  <ds:schemaRefs>
    <ds:schemaRef ds:uri="http://schemas.microsoft.com/sharepoint/v3/contenttype/forms"/>
  </ds:schemaRefs>
</ds:datastoreItem>
</file>

<file path=customXml/itemProps2.xml><?xml version="1.0" encoding="utf-8"?>
<ds:datastoreItem xmlns:ds="http://schemas.openxmlformats.org/officeDocument/2006/customXml" ds:itemID="{AF7A7133-F0E0-4804-AFA2-C92B1EDA46D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ACF668B-BEA6-4EC3-9C8B-C7805F2E55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Scoring</vt:lpstr>
      <vt:lpstr>Loan amount, rate vs score</vt:lpstr>
      <vt:lpstr>Parameters, weights</vt:lpstr>
      <vt:lpstr>Parameters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2017-11-15T15:18:26Z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0x0101004F3C9DACE864194FA56C7A1E379D4CAA</vt:lpwstr>
  </property>
</Properties>
</file>