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 karamyan\Desktop\"/>
    </mc:Choice>
  </mc:AlternateContent>
  <bookViews>
    <workbookView xWindow="0" yWindow="0" windowWidth="19200" windowHeight="11595" firstSheet="1" activeTab="1"/>
  </bookViews>
  <sheets>
    <sheet name="Sheet1" sheetId="1" state="hidden" r:id="rId1"/>
    <sheet name="Calcul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1" i="2" s="1"/>
  <c r="I19" i="2"/>
  <c r="D20" i="2" l="1"/>
  <c r="D22" i="2" s="1"/>
  <c r="D25" i="2" l="1"/>
  <c r="B25" i="1"/>
  <c r="B31" i="1" s="1"/>
  <c r="B16" i="1"/>
  <c r="B20" i="1" s="1"/>
  <c r="B15" i="1"/>
  <c r="B14" i="1"/>
  <c r="D23" i="2" l="1"/>
  <c r="D26" i="2" s="1"/>
  <c r="D27" i="2" s="1"/>
  <c r="B26" i="1"/>
  <c r="B29" i="1" s="1"/>
  <c r="I20" i="2"/>
  <c r="I23" i="2" s="1"/>
  <c r="B27" i="1"/>
  <c r="B17" i="1"/>
  <c r="B18" i="1" s="1"/>
  <c r="I4" i="2" l="1"/>
  <c r="I5" i="2"/>
  <c r="I21" i="2"/>
  <c r="I25" i="2" s="1"/>
  <c r="D28" i="2"/>
  <c r="D24" i="2"/>
  <c r="B22" i="1"/>
  <c r="B21" i="1"/>
  <c r="B36" i="1" s="1"/>
  <c r="I9" i="2" l="1"/>
  <c r="I11" i="2"/>
  <c r="B35" i="1"/>
  <c r="B34" i="1"/>
  <c r="I6" i="2" l="1"/>
  <c r="I13" i="2" s="1"/>
</calcChain>
</file>

<file path=xl/sharedStrings.xml><?xml version="1.0" encoding="utf-8"?>
<sst xmlns="http://schemas.openxmlformats.org/spreadsheetml/2006/main" count="83" uniqueCount="57">
  <si>
    <t>Approved limit (w/o ref.)</t>
  </si>
  <si>
    <t>Approved limit (w/ ref.)</t>
  </si>
  <si>
    <t>Multiplier</t>
  </si>
  <si>
    <t>Multiplier  (w/o ref.)</t>
  </si>
  <si>
    <t>Applied Amount</t>
  </si>
  <si>
    <t>Average Monthly Rep. 12m</t>
  </si>
  <si>
    <t>Total Other Loans Amount</t>
  </si>
  <si>
    <t>Refinanced amount</t>
  </si>
  <si>
    <t>Offered Amount</t>
  </si>
  <si>
    <t>Offered Amount (w/ ref.)</t>
  </si>
  <si>
    <t>Offered Amount (w/o ref.)</t>
  </si>
  <si>
    <t>Multiplier  (w/ ref.)</t>
  </si>
  <si>
    <t>Average monthly turnover</t>
  </si>
  <si>
    <t>Existing Credit Limit Based on Turn. at Ameria</t>
  </si>
  <si>
    <t>Offered refinancing amount Based on Turnover</t>
  </si>
  <si>
    <t>Maximum Risk based on monthly repayment</t>
  </si>
  <si>
    <t>Maximum risk based on turnover</t>
  </si>
  <si>
    <t>Final Offer Amount without ref.</t>
  </si>
  <si>
    <t>Final Offered Amount with ref.</t>
  </si>
  <si>
    <t>Approved limit based on turnover</t>
  </si>
  <si>
    <t>Parameters</t>
  </si>
  <si>
    <t>Calculation</t>
  </si>
  <si>
    <t>Calculations based on Repayments</t>
  </si>
  <si>
    <t>Final Offer Amount without ref. based on repaym.</t>
  </si>
  <si>
    <t>Final Offered Amount with ref. based on repaym.</t>
  </si>
  <si>
    <t>Refinanced Amount based on repayments</t>
  </si>
  <si>
    <t>Final Offer Amount without ref. based on turnover</t>
  </si>
  <si>
    <t>Final Offered Amount with ref. based on turnover</t>
  </si>
  <si>
    <t>Refinanced Amount based on turnover</t>
  </si>
  <si>
    <t>Refinanced Amount based</t>
  </si>
  <si>
    <t>n/a</t>
  </si>
  <si>
    <t>Calculations based on Turnover</t>
  </si>
  <si>
    <t>Calculations to Show to Customer</t>
  </si>
  <si>
    <t>&lt;&gt;</t>
  </si>
  <si>
    <t>Calculations based on personal Limit</t>
  </si>
  <si>
    <t xml:space="preserve">Final offer amount w/o refinancing </t>
  </si>
  <si>
    <t xml:space="preserve">Calculations to Show to Customer final </t>
  </si>
  <si>
    <t xml:space="preserve">Final offer based on business scoring </t>
  </si>
  <si>
    <t>Final Offer Amount w/o ref. based on repaym.</t>
  </si>
  <si>
    <t>Final Offer Amount w/o ref. based on turnover</t>
  </si>
  <si>
    <t>Final Offer Amount w/o ref.</t>
  </si>
  <si>
    <t>Input</t>
  </si>
  <si>
    <t>Calculations</t>
  </si>
  <si>
    <t>Final offer</t>
  </si>
  <si>
    <t>Legal status</t>
  </si>
  <si>
    <t>IE</t>
  </si>
  <si>
    <t>LLC</t>
  </si>
  <si>
    <t>Total SME online Loans in  Ameria (based on rep.)</t>
  </si>
  <si>
    <t>Total SME online Loans in  Ameria (based on turn.)</t>
  </si>
  <si>
    <t>Total unsecured loans in Banking system</t>
  </si>
  <si>
    <t>Multiplier for turnover</t>
  </si>
  <si>
    <t>Requested amount</t>
  </si>
  <si>
    <t>Average Monthly Rep.</t>
  </si>
  <si>
    <t>Existing Credit Limit Based on turn. in Ameria</t>
  </si>
  <si>
    <t xml:space="preserve">Minimum Risk </t>
  </si>
  <si>
    <t>Maximum Risk based on turnover</t>
  </si>
  <si>
    <t xml:space="preserve">Maximum Risk all unsecured loans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</si>
</sst>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164" fontId="0" fillId="3" borderId="1" xfId="1" applyNumberFormat="1" applyFont="1" applyFill="1" applyBorder="1"/>
    <xf numFmtId="43" fontId="0" fillId="3" borderId="1" xfId="1" applyFont="1" applyFill="1" applyBorder="1"/>
    <xf numFmtId="10" fontId="0" fillId="3" borderId="1" xfId="0" applyNumberFormat="1" applyFill="1" applyBorder="1"/>
    <xf numFmtId="0" fontId="0" fillId="0" borderId="4" xfId="0" applyBorder="1"/>
    <xf numFmtId="164" fontId="0" fillId="0" borderId="4" xfId="1" applyNumberFormat="1" applyFont="1" applyBorder="1"/>
    <xf numFmtId="0" fontId="3" fillId="3" borderId="7" xfId="0" applyFont="1" applyFill="1" applyBorder="1"/>
    <xf numFmtId="164" fontId="3" fillId="3" borderId="8" xfId="1" applyNumberFormat="1" applyFont="1" applyFill="1" applyBorder="1"/>
    <xf numFmtId="164" fontId="3" fillId="3" borderId="8" xfId="1" applyNumberFormat="1" applyFont="1" applyFill="1" applyBorder="1" applyAlignment="1">
      <alignment horizontal="right"/>
    </xf>
    <xf numFmtId="0" fontId="3" fillId="3" borderId="9" xfId="0" applyFont="1" applyFill="1" applyBorder="1"/>
    <xf numFmtId="164" fontId="3" fillId="3" borderId="10" xfId="1" applyNumberFormat="1" applyFont="1" applyFill="1" applyBorder="1"/>
    <xf numFmtId="164" fontId="0" fillId="3" borderId="0" xfId="1" applyNumberFormat="1" applyFont="1" applyFill="1" applyBorder="1"/>
    <xf numFmtId="0" fontId="0" fillId="8" borderId="0" xfId="0" applyFill="1"/>
    <xf numFmtId="0" fontId="0" fillId="8" borderId="1" xfId="0" applyFill="1" applyBorder="1"/>
    <xf numFmtId="0" fontId="0" fillId="8" borderId="0" xfId="0" applyFill="1" applyBorder="1"/>
    <xf numFmtId="0" fontId="0" fillId="3" borderId="0" xfId="0" applyFill="1"/>
    <xf numFmtId="0" fontId="0" fillId="3" borderId="1" xfId="0" applyFill="1" applyBorder="1"/>
    <xf numFmtId="0" fontId="3" fillId="3" borderId="1" xfId="0" applyFont="1" applyFill="1" applyBorder="1"/>
    <xf numFmtId="164" fontId="3" fillId="3" borderId="1" xfId="1" applyNumberFormat="1" applyFont="1" applyFill="1" applyBorder="1"/>
    <xf numFmtId="164" fontId="0" fillId="3" borderId="1" xfId="0" applyNumberFormat="1" applyFill="1" applyBorder="1"/>
    <xf numFmtId="164" fontId="0" fillId="3" borderId="0" xfId="0" applyNumberFormat="1" applyFill="1" applyBorder="1"/>
    <xf numFmtId="164" fontId="0" fillId="3" borderId="0" xfId="0" applyNumberFormat="1" applyFill="1"/>
    <xf numFmtId="164" fontId="0" fillId="3" borderId="0" xfId="1" applyNumberFormat="1" applyFont="1" applyFill="1"/>
    <xf numFmtId="164" fontId="3" fillId="3" borderId="1" xfId="1" applyNumberFormat="1" applyFont="1" applyFill="1" applyBorder="1" applyAlignment="1">
      <alignment horizontal="right"/>
    </xf>
    <xf numFmtId="164" fontId="3" fillId="3" borderId="1" xfId="0" applyNumberFormat="1" applyFont="1" applyFill="1" applyBorder="1"/>
    <xf numFmtId="164" fontId="3" fillId="3" borderId="0" xfId="0" applyNumberFormat="1" applyFont="1" applyFill="1" applyBorder="1"/>
    <xf numFmtId="164" fontId="3" fillId="3" borderId="0" xfId="1" applyNumberFormat="1" applyFont="1" applyFill="1" applyBorder="1"/>
    <xf numFmtId="0" fontId="0" fillId="3" borderId="1" xfId="0" applyFill="1" applyBorder="1" applyAlignment="1">
      <alignment horizontal="right"/>
    </xf>
    <xf numFmtId="0" fontId="0" fillId="6" borderId="0" xfId="0" applyFill="1"/>
    <xf numFmtId="164" fontId="0" fillId="6" borderId="0" xfId="1" applyNumberFormat="1" applyFont="1" applyFill="1" applyBorder="1"/>
    <xf numFmtId="164" fontId="0" fillId="10" borderId="1" xfId="1" applyNumberFormat="1" applyFont="1" applyFill="1" applyBorder="1"/>
    <xf numFmtId="0" fontId="0" fillId="6" borderId="1" xfId="0" applyFont="1" applyFill="1" applyBorder="1"/>
    <xf numFmtId="164" fontId="1" fillId="6" borderId="1" xfId="1" applyNumberFormat="1" applyFont="1" applyFill="1" applyBorder="1"/>
    <xf numFmtId="164" fontId="1" fillId="6" borderId="1" xfId="1" applyNumberFormat="1" applyFont="1" applyFill="1" applyBorder="1" applyAlignment="1">
      <alignment horizontal="right"/>
    </xf>
    <xf numFmtId="0" fontId="4" fillId="0" borderId="0" xfId="0" applyFont="1" applyAlignment="1">
      <alignment vertical="center"/>
    </xf>
    <xf numFmtId="164" fontId="0" fillId="3" borderId="0" xfId="1" applyNumberFormat="1" applyFont="1" applyFill="1" applyAlignment="1">
      <alignment horizontal="left"/>
    </xf>
    <xf numFmtId="164" fontId="7" fillId="3" borderId="1" xfId="1" applyNumberFormat="1" applyFont="1" applyFill="1" applyBorder="1"/>
    <xf numFmtId="164" fontId="7" fillId="3" borderId="0" xfId="0" applyNumberFormat="1" applyFont="1" applyFill="1"/>
    <xf numFmtId="9" fontId="0" fillId="10" borderId="1" xfId="2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164" fontId="2" fillId="7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8" borderId="1" xfId="0" applyFont="1" applyFill="1" applyBorder="1"/>
    <xf numFmtId="164" fontId="0" fillId="0" borderId="0" xfId="0" applyNumberFormat="1"/>
    <xf numFmtId="164" fontId="0" fillId="11" borderId="1" xfId="1" applyNumberFormat="1" applyFont="1" applyFill="1" applyBorder="1"/>
    <xf numFmtId="164" fontId="0" fillId="0" borderId="0" xfId="1" applyNumberFormat="1" applyFont="1"/>
    <xf numFmtId="164" fontId="0" fillId="1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A13" sqref="A1:XFD1048576"/>
    </sheetView>
  </sheetViews>
  <sheetFormatPr defaultRowHeight="15" x14ac:dyDescent="0.25"/>
  <cols>
    <col min="1" max="1" width="46.42578125" bestFit="1" customWidth="1"/>
    <col min="2" max="2" width="25.140625" bestFit="1" customWidth="1"/>
    <col min="3" max="3" width="23.7109375" customWidth="1"/>
    <col min="4" max="4" width="22.5703125" bestFit="1" customWidth="1"/>
    <col min="5" max="5" width="24.42578125" bestFit="1" customWidth="1"/>
    <col min="6" max="6" width="14" bestFit="1" customWidth="1"/>
  </cols>
  <sheetData>
    <row r="1" spans="1:5" x14ac:dyDescent="0.25">
      <c r="A1" s="5" t="s">
        <v>20</v>
      </c>
      <c r="B1" s="5" t="s">
        <v>21</v>
      </c>
    </row>
    <row r="2" spans="1:5" x14ac:dyDescent="0.25">
      <c r="A2" s="1" t="s">
        <v>4</v>
      </c>
      <c r="B2" s="6">
        <v>900000</v>
      </c>
    </row>
    <row r="3" spans="1:5" x14ac:dyDescent="0.25">
      <c r="A3" s="1" t="s">
        <v>6</v>
      </c>
      <c r="B3" s="6">
        <v>3000000</v>
      </c>
    </row>
    <row r="4" spans="1:5" x14ac:dyDescent="0.25">
      <c r="A4" s="1" t="s">
        <v>5</v>
      </c>
      <c r="B4" s="6">
        <v>100000</v>
      </c>
    </row>
    <row r="5" spans="1:5" x14ac:dyDescent="0.25">
      <c r="A5" s="1" t="s">
        <v>3</v>
      </c>
      <c r="B5" s="7">
        <v>6</v>
      </c>
    </row>
    <row r="6" spans="1:5" x14ac:dyDescent="0.25">
      <c r="A6" s="1" t="s">
        <v>11</v>
      </c>
      <c r="B6" s="7">
        <v>45</v>
      </c>
    </row>
    <row r="7" spans="1:5" x14ac:dyDescent="0.25">
      <c r="A7" s="1" t="s">
        <v>15</v>
      </c>
      <c r="B7" s="6">
        <v>5000000</v>
      </c>
    </row>
    <row r="8" spans="1:5" x14ac:dyDescent="0.25">
      <c r="A8" s="1" t="s">
        <v>12</v>
      </c>
      <c r="B8" s="6">
        <v>0</v>
      </c>
    </row>
    <row r="9" spans="1:5" x14ac:dyDescent="0.25">
      <c r="A9" s="1" t="s">
        <v>2</v>
      </c>
      <c r="B9" s="8">
        <v>0.15</v>
      </c>
    </row>
    <row r="10" spans="1:5" x14ac:dyDescent="0.25">
      <c r="A10" s="1" t="s">
        <v>13</v>
      </c>
      <c r="B10" s="6">
        <v>3000000</v>
      </c>
    </row>
    <row r="11" spans="1:5" x14ac:dyDescent="0.25">
      <c r="A11" s="1" t="s">
        <v>16</v>
      </c>
      <c r="B11" s="6">
        <v>10000000</v>
      </c>
    </row>
    <row r="12" spans="1:5" x14ac:dyDescent="0.25">
      <c r="A12" s="1"/>
      <c r="B12" s="1"/>
    </row>
    <row r="13" spans="1:5" x14ac:dyDescent="0.25">
      <c r="A13" s="46" t="s">
        <v>22</v>
      </c>
      <c r="B13" s="47"/>
    </row>
    <row r="14" spans="1:5" x14ac:dyDescent="0.25">
      <c r="A14" s="1" t="s">
        <v>0</v>
      </c>
      <c r="B14" s="2">
        <f>+B4*B5</f>
        <v>600000</v>
      </c>
    </row>
    <row r="15" spans="1:5" x14ac:dyDescent="0.25">
      <c r="A15" s="1" t="s">
        <v>1</v>
      </c>
      <c r="B15" s="2">
        <f>+B4*B6</f>
        <v>4500000</v>
      </c>
    </row>
    <row r="16" spans="1:5" x14ac:dyDescent="0.25">
      <c r="A16" s="1" t="s">
        <v>10</v>
      </c>
      <c r="B16" s="3">
        <f>MIN(B2,B4*B5)</f>
        <v>600000</v>
      </c>
      <c r="E16" t="s">
        <v>33</v>
      </c>
    </row>
    <row r="17" spans="1:2" x14ac:dyDescent="0.25">
      <c r="A17" s="1" t="s">
        <v>9</v>
      </c>
      <c r="B17" s="3">
        <f>MIN(B2,MAX(B14,B15))</f>
        <v>900000</v>
      </c>
    </row>
    <row r="18" spans="1:2" x14ac:dyDescent="0.25">
      <c r="A18" s="1" t="s">
        <v>7</v>
      </c>
      <c r="B18" s="2">
        <f>IF(B3&lt;=B15-B17,B3,0)</f>
        <v>3000000</v>
      </c>
    </row>
    <row r="19" spans="1:2" ht="5.25" customHeight="1" x14ac:dyDescent="0.25">
      <c r="A19" s="1"/>
      <c r="B19" s="2"/>
    </row>
    <row r="20" spans="1:2" x14ac:dyDescent="0.25">
      <c r="A20" s="1" t="s">
        <v>23</v>
      </c>
      <c r="B20" s="3">
        <f>+B16</f>
        <v>600000</v>
      </c>
    </row>
    <row r="21" spans="1:2" x14ac:dyDescent="0.25">
      <c r="A21" s="1" t="s">
        <v>24</v>
      </c>
      <c r="B21" s="2">
        <f>IF(AND(B18&gt;0,B17&lt;&gt;B16),B17,0)</f>
        <v>900000</v>
      </c>
    </row>
    <row r="22" spans="1:2" x14ac:dyDescent="0.25">
      <c r="A22" s="1" t="s">
        <v>25</v>
      </c>
      <c r="B22" s="2">
        <f>B18</f>
        <v>3000000</v>
      </c>
    </row>
    <row r="23" spans="1:2" x14ac:dyDescent="0.25">
      <c r="A23" s="1"/>
      <c r="B23" s="1"/>
    </row>
    <row r="24" spans="1:2" x14ac:dyDescent="0.25">
      <c r="A24" s="46" t="s">
        <v>31</v>
      </c>
      <c r="B24" s="47"/>
    </row>
    <row r="25" spans="1:2" x14ac:dyDescent="0.25">
      <c r="A25" s="1" t="s">
        <v>19</v>
      </c>
      <c r="B25" s="2">
        <f>IF(B8*B9-B10&lt;=0,0,B8*B9-B10)</f>
        <v>0</v>
      </c>
    </row>
    <row r="26" spans="1:2" x14ac:dyDescent="0.25">
      <c r="A26" s="1" t="s">
        <v>8</v>
      </c>
      <c r="B26" s="2">
        <f>MIN(B25,B2)</f>
        <v>0</v>
      </c>
    </row>
    <row r="27" spans="1:2" x14ac:dyDescent="0.25">
      <c r="A27" s="1" t="s">
        <v>14</v>
      </c>
      <c r="B27" s="2">
        <f>IF(B25=0,0,IF(SUM(B26,B3)&gt;B11,0,MIN(B11-B26,B3)))</f>
        <v>0</v>
      </c>
    </row>
    <row r="28" spans="1:2" ht="5.25" customHeight="1" x14ac:dyDescent="0.25">
      <c r="A28" s="1"/>
      <c r="B28" s="1"/>
    </row>
    <row r="29" spans="1:2" x14ac:dyDescent="0.25">
      <c r="A29" s="1" t="s">
        <v>26</v>
      </c>
      <c r="B29" s="2">
        <f>+B26</f>
        <v>0</v>
      </c>
    </row>
    <row r="30" spans="1:2" x14ac:dyDescent="0.25">
      <c r="A30" s="1" t="s">
        <v>27</v>
      </c>
      <c r="B30" s="4" t="s">
        <v>30</v>
      </c>
    </row>
    <row r="31" spans="1:2" x14ac:dyDescent="0.25">
      <c r="A31" s="1" t="s">
        <v>28</v>
      </c>
      <c r="B31" s="2">
        <f>IF(B25=0,0,B27)</f>
        <v>0</v>
      </c>
    </row>
    <row r="32" spans="1:2" ht="15.75" thickBot="1" x14ac:dyDescent="0.3">
      <c r="A32" s="9"/>
      <c r="B32" s="10"/>
    </row>
    <row r="33" spans="1:2" x14ac:dyDescent="0.25">
      <c r="A33" s="44" t="s">
        <v>32</v>
      </c>
      <c r="B33" s="45"/>
    </row>
    <row r="34" spans="1:2" x14ac:dyDescent="0.25">
      <c r="A34" s="11" t="s">
        <v>17</v>
      </c>
      <c r="B34" s="12">
        <f>IF($B$29&gt;=MAX($B$20,$B$21),B29,B20)</f>
        <v>600000</v>
      </c>
    </row>
    <row r="35" spans="1:2" x14ac:dyDescent="0.25">
      <c r="A35" s="11" t="s">
        <v>18</v>
      </c>
      <c r="B35" s="13">
        <f>IF($B$29&gt;=MAX($B$20,$B$21),"n/a",B21)</f>
        <v>900000</v>
      </c>
    </row>
    <row r="36" spans="1:2" ht="15.75" thickBot="1" x14ac:dyDescent="0.3">
      <c r="A36" s="14" t="s">
        <v>29</v>
      </c>
      <c r="B36" s="15">
        <f>IF($B$29&gt;=MAX($B$20,$B$21),B31,B22)</f>
        <v>3000000</v>
      </c>
    </row>
  </sheetData>
  <mergeCells count="3">
    <mergeCell ref="A33:B33"/>
    <mergeCell ref="A13:B13"/>
    <mergeCell ref="A24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showGridLines="0" tabSelected="1" workbookViewId="0">
      <selection activeCell="C12" sqref="C12"/>
    </sheetView>
  </sheetViews>
  <sheetFormatPr defaultRowHeight="15" x14ac:dyDescent="0.25"/>
  <cols>
    <col min="1" max="1" width="3.28515625" customWidth="1"/>
    <col min="2" max="2" width="2.7109375" customWidth="1"/>
    <col min="3" max="3" width="45.5703125" bestFit="1" customWidth="1"/>
    <col min="4" max="4" width="13.5703125" customWidth="1"/>
    <col min="5" max="5" width="2.7109375" customWidth="1"/>
    <col min="6" max="6" width="5.140625" customWidth="1"/>
    <col min="7" max="7" width="2.5703125" customWidth="1"/>
    <col min="8" max="8" width="46" bestFit="1" customWidth="1"/>
    <col min="9" max="9" width="13.42578125" customWidth="1"/>
    <col min="10" max="10" width="2.5703125" customWidth="1"/>
    <col min="11" max="11" width="33" bestFit="1" customWidth="1"/>
    <col min="12" max="12" width="9" bestFit="1" customWidth="1"/>
    <col min="13" max="13" width="2" customWidth="1"/>
  </cols>
  <sheetData>
    <row r="2" spans="1:11" ht="26.25" x14ac:dyDescent="0.4">
      <c r="B2" s="17"/>
      <c r="C2" s="55" t="s">
        <v>41</v>
      </c>
      <c r="D2" s="55"/>
      <c r="E2" s="17"/>
      <c r="G2" s="33"/>
      <c r="H2" s="57" t="s">
        <v>43</v>
      </c>
      <c r="I2" s="57"/>
      <c r="J2" s="33"/>
    </row>
    <row r="3" spans="1:11" x14ac:dyDescent="0.25">
      <c r="B3" s="17"/>
      <c r="C3" s="54" t="s">
        <v>20</v>
      </c>
      <c r="D3" s="54"/>
      <c r="E3" s="17"/>
      <c r="G3" s="33"/>
      <c r="H3" s="48" t="s">
        <v>37</v>
      </c>
      <c r="I3" s="49"/>
      <c r="J3" s="33"/>
    </row>
    <row r="4" spans="1:11" x14ac:dyDescent="0.25">
      <c r="B4" s="17"/>
      <c r="C4" s="18" t="s">
        <v>51</v>
      </c>
      <c r="D4" s="35">
        <v>3500000</v>
      </c>
      <c r="E4" s="17"/>
      <c r="G4" s="33"/>
      <c r="H4" s="36" t="s">
        <v>40</v>
      </c>
      <c r="I4" s="37">
        <f>IF($I$23&gt;=MAX($D$25,$D$26),I23,D25)</f>
        <v>1100000</v>
      </c>
      <c r="J4" s="33"/>
    </row>
    <row r="5" spans="1:11" x14ac:dyDescent="0.25">
      <c r="B5" s="17"/>
      <c r="C5" s="18" t="s">
        <v>52</v>
      </c>
      <c r="D5" s="35">
        <v>110000</v>
      </c>
      <c r="E5" s="17"/>
      <c r="G5" s="33"/>
      <c r="H5" s="36" t="s">
        <v>18</v>
      </c>
      <c r="I5" s="38">
        <f>IF($I$23&gt;=MAX($D$25,$D$26),"n/a",D26)</f>
        <v>3000000</v>
      </c>
      <c r="J5" s="33"/>
    </row>
    <row r="6" spans="1:11" x14ac:dyDescent="0.25">
      <c r="B6" s="17"/>
      <c r="C6" s="18" t="s">
        <v>3</v>
      </c>
      <c r="D6" s="35">
        <v>10</v>
      </c>
      <c r="E6" s="17"/>
      <c r="G6" s="33"/>
      <c r="H6" s="36" t="s">
        <v>29</v>
      </c>
      <c r="I6" s="37">
        <f>IF($I$23&gt;=MAX($D$25,$D$26),I25,D27)</f>
        <v>2000000</v>
      </c>
      <c r="J6" s="34"/>
    </row>
    <row r="7" spans="1:11" x14ac:dyDescent="0.25">
      <c r="B7" s="17"/>
      <c r="C7" s="18" t="s">
        <v>11</v>
      </c>
      <c r="D7" s="35">
        <v>60</v>
      </c>
      <c r="E7" s="17"/>
      <c r="G7" s="33"/>
      <c r="H7" s="33"/>
      <c r="I7" s="33"/>
      <c r="J7" s="33"/>
    </row>
    <row r="8" spans="1:11" ht="15.75" x14ac:dyDescent="0.25">
      <c r="B8" s="17"/>
      <c r="C8" s="18" t="s">
        <v>12</v>
      </c>
      <c r="D8" s="35">
        <v>15000000</v>
      </c>
      <c r="E8" s="17"/>
      <c r="G8" s="33"/>
      <c r="H8" s="52" t="s">
        <v>36</v>
      </c>
      <c r="I8" s="53"/>
      <c r="J8" s="33"/>
      <c r="K8" s="65"/>
    </row>
    <row r="9" spans="1:11" x14ac:dyDescent="0.25">
      <c r="B9" s="17"/>
      <c r="C9" s="18" t="s">
        <v>50</v>
      </c>
      <c r="D9" s="43">
        <v>0.2</v>
      </c>
      <c r="E9" s="17"/>
      <c r="G9" s="33"/>
      <c r="H9" s="59" t="s">
        <v>40</v>
      </c>
      <c r="I9" s="58">
        <f>ROUND(IF(IF(D14="IE",I4+L19, IF(IF($L$19&gt;=MAX($I$4,$I$5),$L$19,$I$4)&lt;D30,0,IF($L$19&gt;=MAX($I$4,$I$5),$L$19,$I$4)))&gt;D33,D33,
       IF(D14="IE",I4+L19, IF(IF($L$19&gt;=MAX($I$4,$I$5),$L$19,$I$4)&lt;D30,0,IF($L$19&gt;=MAX($I$4,$I$5),$L$19,$I$4)))),-5)</f>
        <v>1900000</v>
      </c>
      <c r="J9" s="33"/>
      <c r="K9" s="63"/>
    </row>
    <row r="10" spans="1:11" x14ac:dyDescent="0.25">
      <c r="B10" s="17"/>
      <c r="C10" s="18" t="s">
        <v>49</v>
      </c>
      <c r="D10" s="35">
        <v>2000000</v>
      </c>
      <c r="E10" s="17"/>
      <c r="G10" s="33"/>
      <c r="H10" s="59"/>
      <c r="I10" s="58"/>
      <c r="J10" s="33"/>
      <c r="K10" s="63"/>
    </row>
    <row r="11" spans="1:11" x14ac:dyDescent="0.25">
      <c r="B11" s="17"/>
      <c r="C11" s="62" t="s">
        <v>47</v>
      </c>
      <c r="D11" s="35">
        <v>0</v>
      </c>
      <c r="E11" s="17"/>
      <c r="G11" s="33"/>
      <c r="H11" s="59" t="s">
        <v>18</v>
      </c>
      <c r="I11" s="58">
        <f>ROUND(IF(IF($L$19&gt;=MAX($I$4,$I$5),"n/a",$I$5)&lt;D30,0,
        IF($L$19&gt;=MAX($I$4,$I$5),"n/a",$I$5)),-5)</f>
        <v>3000000</v>
      </c>
      <c r="J11" s="33"/>
      <c r="K11" s="63"/>
    </row>
    <row r="12" spans="1:11" x14ac:dyDescent="0.25">
      <c r="B12" s="17"/>
      <c r="C12" s="62" t="s">
        <v>48</v>
      </c>
      <c r="D12" s="35">
        <v>1500000</v>
      </c>
      <c r="E12" s="17"/>
      <c r="G12" s="33"/>
      <c r="H12" s="59"/>
      <c r="I12" s="58"/>
      <c r="J12" s="33"/>
      <c r="K12" s="63"/>
    </row>
    <row r="13" spans="1:11" x14ac:dyDescent="0.25">
      <c r="B13" s="17"/>
      <c r="C13" s="18" t="s">
        <v>53</v>
      </c>
      <c r="D13" s="35">
        <v>500000</v>
      </c>
      <c r="E13" s="17"/>
      <c r="G13" s="33"/>
      <c r="H13" s="60" t="s">
        <v>29</v>
      </c>
      <c r="I13" s="58">
        <f>ROUND(IF(I6&lt;D30,0,I6),-5)</f>
        <v>2000000</v>
      </c>
      <c r="J13" s="33"/>
      <c r="K13" s="63"/>
    </row>
    <row r="14" spans="1:11" x14ac:dyDescent="0.25">
      <c r="A14" s="39" t="s">
        <v>45</v>
      </c>
      <c r="B14" s="17"/>
      <c r="C14" s="18" t="s">
        <v>44</v>
      </c>
      <c r="D14" s="66" t="s">
        <v>45</v>
      </c>
      <c r="E14" s="17"/>
      <c r="G14" s="33"/>
      <c r="H14" s="61"/>
      <c r="I14" s="58"/>
      <c r="J14" s="33"/>
      <c r="K14" s="63"/>
    </row>
    <row r="15" spans="1:11" ht="11.25" customHeight="1" x14ac:dyDescent="0.25">
      <c r="A15" s="39" t="s">
        <v>46</v>
      </c>
      <c r="B15" s="17"/>
      <c r="C15" s="19"/>
      <c r="D15" s="19"/>
      <c r="E15" s="17"/>
      <c r="G15" s="33"/>
      <c r="H15" s="33"/>
      <c r="I15" s="33"/>
      <c r="J15" s="33"/>
    </row>
    <row r="17" spans="2:13" ht="26.25" x14ac:dyDescent="0.4">
      <c r="B17" s="20"/>
      <c r="C17" s="56" t="s">
        <v>42</v>
      </c>
      <c r="D17" s="56"/>
      <c r="E17" s="20"/>
      <c r="F17" s="20"/>
      <c r="G17" s="20"/>
      <c r="H17" s="20"/>
      <c r="I17" s="20"/>
      <c r="J17" s="20"/>
      <c r="K17" s="20"/>
      <c r="L17" s="20"/>
      <c r="M17" s="20"/>
    </row>
    <row r="18" spans="2:13" x14ac:dyDescent="0.25">
      <c r="B18" s="20"/>
      <c r="C18" s="50" t="s">
        <v>22</v>
      </c>
      <c r="D18" s="51"/>
      <c r="E18" s="20"/>
      <c r="F18" s="20"/>
      <c r="G18" s="20"/>
      <c r="H18" s="50" t="s">
        <v>31</v>
      </c>
      <c r="I18" s="51"/>
      <c r="J18" s="20"/>
      <c r="K18" s="50" t="s">
        <v>34</v>
      </c>
      <c r="L18" s="51"/>
      <c r="M18" s="20"/>
    </row>
    <row r="19" spans="2:13" x14ac:dyDescent="0.25">
      <c r="B19" s="20"/>
      <c r="C19" s="21" t="s">
        <v>0</v>
      </c>
      <c r="D19" s="6">
        <f>IF(IF(D5*D6&gt;D31,D31,D5*D6)-D11&lt;0,0,
        IF(D5*D6&gt;D31,D31,D5*D6)-D11)</f>
        <v>1100000</v>
      </c>
      <c r="E19" s="20"/>
      <c r="F19" s="20"/>
      <c r="G19" s="20"/>
      <c r="H19" s="21" t="s">
        <v>19</v>
      </c>
      <c r="I19" s="6">
        <f>IF(IF(D8*D9-SUM(D12:D13)&lt;=0,0,D8*D9-SUM(D12:D13))&gt;D32,D32,
        IF(D8*D9-SUM(D12:D13)&lt;=0,0,D8*D9-SUM(D12:D13)))</f>
        <v>1000000</v>
      </c>
      <c r="J19" s="20"/>
      <c r="K19" s="22" t="s">
        <v>35</v>
      </c>
      <c r="L19" s="64">
        <v>760000</v>
      </c>
      <c r="M19" s="20"/>
    </row>
    <row r="20" spans="2:13" x14ac:dyDescent="0.25">
      <c r="B20" s="20"/>
      <c r="C20" s="21" t="s">
        <v>1</v>
      </c>
      <c r="D20" s="6">
        <f>IF(IF(D5*D7&gt;D31,D31,D5*D7)-D11&lt;0,0,
        IF(D5*D7&gt;D31,D31,D5*D7)-D11)</f>
        <v>5000000</v>
      </c>
      <c r="E20" s="16"/>
      <c r="F20" s="20"/>
      <c r="G20" s="20"/>
      <c r="H20" s="21" t="s">
        <v>8</v>
      </c>
      <c r="I20" s="6">
        <f>MIN(I19,D4)</f>
        <v>1000000</v>
      </c>
      <c r="J20" s="20"/>
      <c r="K20" s="20"/>
      <c r="L20" s="20"/>
      <c r="M20" s="20"/>
    </row>
    <row r="21" spans="2:13" x14ac:dyDescent="0.25">
      <c r="B21" s="20"/>
      <c r="C21" s="21" t="s">
        <v>10</v>
      </c>
      <c r="D21" s="24">
        <f>MIN(D4,D19)</f>
        <v>1100000</v>
      </c>
      <c r="E21" s="25"/>
      <c r="F21" s="20"/>
      <c r="G21" s="20"/>
      <c r="H21" s="21" t="s">
        <v>14</v>
      </c>
      <c r="I21" s="6">
        <f>IF(I19=0,0,IF(SUM(I20,D10)&gt;D32,0,MIN(D32-I20,D10)))</f>
        <v>2000000</v>
      </c>
      <c r="J21" s="20"/>
      <c r="K21" s="20"/>
      <c r="L21" s="20"/>
      <c r="M21" s="20"/>
    </row>
    <row r="22" spans="2:13" x14ac:dyDescent="0.25">
      <c r="B22" s="20"/>
      <c r="C22" s="21" t="s">
        <v>9</v>
      </c>
      <c r="D22" s="24">
        <f>IF(MIN((MAX(D19,D20)-D10),D4)&lt;0,0,MIN((MAX(D19,D20)-D10),D4))</f>
        <v>3000000</v>
      </c>
      <c r="E22" s="25"/>
      <c r="F22" s="26"/>
      <c r="G22" s="26"/>
      <c r="H22" s="20"/>
      <c r="I22" s="20"/>
      <c r="J22" s="20"/>
      <c r="K22" s="20"/>
      <c r="L22" s="20"/>
      <c r="M22" s="20"/>
    </row>
    <row r="23" spans="2:13" x14ac:dyDescent="0.25">
      <c r="B23" s="20"/>
      <c r="C23" s="21" t="s">
        <v>7</v>
      </c>
      <c r="D23" s="6">
        <f>IF(D10&lt;=D20-D22,D10,0)</f>
        <v>2000000</v>
      </c>
      <c r="E23" s="16"/>
      <c r="F23" s="27"/>
      <c r="G23" s="27"/>
      <c r="H23" s="22" t="s">
        <v>39</v>
      </c>
      <c r="I23" s="23">
        <f>+IF(SUM(I20,D10)&gt;=D33,D33-D10,I20)</f>
        <v>1000000</v>
      </c>
      <c r="J23" s="20"/>
      <c r="K23" s="20"/>
      <c r="L23" s="20"/>
      <c r="M23" s="20"/>
    </row>
    <row r="24" spans="2:13" ht="14.25" customHeight="1" x14ac:dyDescent="0.25">
      <c r="B24" s="20"/>
      <c r="C24" s="21"/>
      <c r="D24" s="41">
        <f>SUM(D22:D23)</f>
        <v>5000000</v>
      </c>
      <c r="E24" s="16"/>
      <c r="F24" s="20"/>
      <c r="G24" s="20"/>
      <c r="H24" s="22" t="s">
        <v>27</v>
      </c>
      <c r="I24" s="28" t="s">
        <v>30</v>
      </c>
      <c r="J24" s="20"/>
      <c r="K24" s="20"/>
      <c r="L24" s="20"/>
      <c r="M24" s="20"/>
    </row>
    <row r="25" spans="2:13" x14ac:dyDescent="0.25">
      <c r="B25" s="20"/>
      <c r="C25" s="22" t="s">
        <v>38</v>
      </c>
      <c r="D25" s="29">
        <f>(IF(IF(SUM(D10,D21)&gt;=D33,D33-D10,D21)&lt;0,0,
          IF(SUM(D10,D21)&gt;=D33,D33-D10,D21)))</f>
        <v>1100000</v>
      </c>
      <c r="E25" s="30"/>
      <c r="F25" s="20"/>
      <c r="G25" s="20"/>
      <c r="H25" s="22" t="s">
        <v>28</v>
      </c>
      <c r="I25" s="23">
        <f>IF(I19=0,0,I21)</f>
        <v>2000000</v>
      </c>
      <c r="J25" s="20"/>
      <c r="K25" s="20"/>
      <c r="L25" s="20"/>
      <c r="M25" s="20"/>
    </row>
    <row r="26" spans="2:13" x14ac:dyDescent="0.25">
      <c r="B26" s="20"/>
      <c r="C26" s="22" t="s">
        <v>24</v>
      </c>
      <c r="D26" s="23">
        <f>IF(AND(D23&gt;0,D22&gt;D21),D22,0)</f>
        <v>3000000</v>
      </c>
      <c r="E26" s="31"/>
      <c r="F26" s="20"/>
      <c r="G26" s="20"/>
      <c r="H26" s="40"/>
      <c r="I26" s="20"/>
      <c r="J26" s="20"/>
      <c r="K26" s="20"/>
      <c r="L26" s="20"/>
      <c r="M26" s="20"/>
    </row>
    <row r="27" spans="2:13" x14ac:dyDescent="0.25">
      <c r="B27" s="20"/>
      <c r="C27" s="22" t="s">
        <v>25</v>
      </c>
      <c r="D27" s="23">
        <f>IF(D22&lt;D21,0,IF(SUM(D25:D26)=0,0,D23))</f>
        <v>2000000</v>
      </c>
      <c r="E27" s="31"/>
      <c r="F27" s="20"/>
      <c r="G27" s="20"/>
      <c r="H27" s="20"/>
      <c r="I27" s="20"/>
      <c r="J27" s="20"/>
      <c r="K27" s="20"/>
      <c r="L27" s="20"/>
      <c r="M27" s="20"/>
    </row>
    <row r="28" spans="2:13" x14ac:dyDescent="0.25">
      <c r="B28" s="20"/>
      <c r="C28" s="20"/>
      <c r="D28" s="42">
        <f>SUM(D26:D27)</f>
        <v>5000000</v>
      </c>
      <c r="E28" s="20"/>
      <c r="F28" s="20"/>
      <c r="G28" s="20"/>
      <c r="H28" s="20"/>
      <c r="I28" s="20"/>
      <c r="J28" s="20"/>
      <c r="K28" s="20"/>
      <c r="L28" s="20"/>
      <c r="M28" s="20"/>
    </row>
    <row r="29" spans="2:13" x14ac:dyDescent="0.25">
      <c r="B29" s="20"/>
      <c r="C29" s="20"/>
      <c r="D29" s="26"/>
      <c r="E29" s="20"/>
      <c r="F29" s="20"/>
      <c r="G29" s="20"/>
      <c r="H29" s="20"/>
      <c r="I29" s="20"/>
      <c r="J29" s="20"/>
      <c r="K29" s="20"/>
      <c r="L29" s="20"/>
      <c r="M29" s="20"/>
    </row>
    <row r="30" spans="2:13" x14ac:dyDescent="0.25">
      <c r="B30" s="20"/>
      <c r="C30" s="32" t="s">
        <v>54</v>
      </c>
      <c r="D30" s="6">
        <v>1000000</v>
      </c>
      <c r="E30" s="20"/>
      <c r="F30" s="20"/>
      <c r="G30" s="20"/>
      <c r="H30" s="20"/>
      <c r="I30" s="20"/>
      <c r="J30" s="20"/>
      <c r="K30" s="20"/>
      <c r="L30" s="20"/>
      <c r="M30" s="20"/>
    </row>
    <row r="31" spans="2:13" x14ac:dyDescent="0.25">
      <c r="B31" s="20"/>
      <c r="C31" s="32" t="s">
        <v>15</v>
      </c>
      <c r="D31" s="6">
        <v>5000000</v>
      </c>
      <c r="E31" s="16"/>
      <c r="F31" s="20"/>
      <c r="G31" s="20"/>
      <c r="H31" s="27"/>
      <c r="I31" s="20"/>
      <c r="J31" s="20"/>
      <c r="K31" s="20"/>
      <c r="L31" s="20"/>
      <c r="M31" s="20"/>
    </row>
    <row r="32" spans="2:13" x14ac:dyDescent="0.25">
      <c r="B32" s="20"/>
      <c r="C32" s="32" t="s">
        <v>55</v>
      </c>
      <c r="D32" s="6">
        <v>10000000</v>
      </c>
      <c r="E32" s="16"/>
      <c r="F32" s="20"/>
      <c r="G32" s="20"/>
      <c r="H32" s="20"/>
      <c r="I32" s="20"/>
      <c r="J32" s="20"/>
      <c r="K32" s="20"/>
      <c r="L32" s="20"/>
      <c r="M32" s="20"/>
    </row>
    <row r="33" spans="2:13" x14ac:dyDescent="0.25">
      <c r="B33" s="20"/>
      <c r="C33" s="32" t="s">
        <v>56</v>
      </c>
      <c r="D33" s="6">
        <v>10000000</v>
      </c>
      <c r="E33" s="16"/>
      <c r="F33" s="20"/>
      <c r="G33" s="20"/>
      <c r="H33" s="20"/>
      <c r="I33" s="20"/>
      <c r="J33" s="20"/>
      <c r="K33" s="20"/>
      <c r="L33" s="20"/>
      <c r="M33" s="20"/>
    </row>
    <row r="34" spans="2:13" ht="13.5" customHeight="1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</sheetData>
  <mergeCells count="15">
    <mergeCell ref="H3:I3"/>
    <mergeCell ref="K18:L18"/>
    <mergeCell ref="H8:I8"/>
    <mergeCell ref="C3:D3"/>
    <mergeCell ref="C2:D2"/>
    <mergeCell ref="C17:D17"/>
    <mergeCell ref="H2:I2"/>
    <mergeCell ref="I9:I10"/>
    <mergeCell ref="H9:H10"/>
    <mergeCell ref="H11:H12"/>
    <mergeCell ref="I11:I12"/>
    <mergeCell ref="H13:H14"/>
    <mergeCell ref="I13:I14"/>
    <mergeCell ref="C18:D18"/>
    <mergeCell ref="H18:I18"/>
  </mergeCells>
  <conditionalFormatting sqref="D4">
    <cfRule type="containsBlanks" dxfId="5" priority="9">
      <formula>LEN(TRIM(D4))=0</formula>
    </cfRule>
  </conditionalFormatting>
  <conditionalFormatting sqref="D5:D7">
    <cfRule type="containsBlanks" dxfId="4" priority="5">
      <formula>LEN(TRIM(D5))=0</formula>
    </cfRule>
  </conditionalFormatting>
  <conditionalFormatting sqref="D8">
    <cfRule type="containsBlanks" dxfId="3" priority="4">
      <formula>LEN(TRIM(D8))=0</formula>
    </cfRule>
  </conditionalFormatting>
  <conditionalFormatting sqref="D9">
    <cfRule type="containsBlanks" dxfId="2" priority="3">
      <formula>LEN(TRIM(D9))=0</formula>
    </cfRule>
  </conditionalFormatting>
  <conditionalFormatting sqref="D10:D14">
    <cfRule type="containsBlanks" dxfId="1" priority="2">
      <formula>LEN(TRIM(D10))=0</formula>
    </cfRule>
  </conditionalFormatting>
  <conditionalFormatting sqref="L19">
    <cfRule type="containsBlanks" dxfId="0" priority="1">
      <formula>LEN(TRIM(L19))=0</formula>
    </cfRule>
  </conditionalFormatting>
  <dataValidations count="1">
    <dataValidation type="list" showInputMessage="1" showErrorMessage="1" sqref="D14">
      <formula1>$A$14:$A$15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Arpine Harutyunyan</dc:creator>
  <cp:lastModifiedBy>Karen Karamyan</cp:lastModifiedBy>
  <dcterms:created xsi:type="dcterms:W3CDTF">2018-08-23T08:23:35Z</dcterms:created>
  <dcterms:modified xsi:type="dcterms:W3CDTF">2018-09-14T07:00:39Z</dcterms:modified>
</cp:coreProperties>
</file>