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fit and Loss by Month" sheetId="1" r:id="rId4"/>
  </sheets>
</workbook>
</file>

<file path=xl/sharedStrings.xml><?xml version="1.0" encoding="utf-8"?>
<sst xmlns="http://schemas.openxmlformats.org/spreadsheetml/2006/main" uniqueCount="52">
  <si>
    <t>LetsGetOutdoors.com</t>
  </si>
  <si>
    <t>Profit and Loss by Month</t>
  </si>
  <si>
    <t>All Dates</t>
  </si>
  <si>
    <t>X</t>
  </si>
  <si>
    <t>Jan 2023</t>
  </si>
  <si>
    <t>Feb 2023</t>
  </si>
  <si>
    <t>March 2023</t>
  </si>
  <si>
    <t>April 2023</t>
  </si>
  <si>
    <t>May 2023</t>
  </si>
  <si>
    <t>June 2023</t>
  </si>
  <si>
    <t>July 2023</t>
  </si>
  <si>
    <t>Aug 2023</t>
  </si>
  <si>
    <t>Sept 2023</t>
  </si>
  <si>
    <t>Oct 2023</t>
  </si>
  <si>
    <t>Nov 2023</t>
  </si>
  <si>
    <t>Dec 2023</t>
  </si>
  <si>
    <t>Jan 2024</t>
  </si>
  <si>
    <t>Feb 2024</t>
  </si>
  <si>
    <t>March 2024</t>
  </si>
  <si>
    <t>April 2024</t>
  </si>
  <si>
    <t>May 2024</t>
  </si>
  <si>
    <t>June 2024</t>
  </si>
  <si>
    <t>July 2024</t>
  </si>
  <si>
    <t>Aug 2024</t>
  </si>
  <si>
    <t>Sept 2024</t>
  </si>
  <si>
    <t>Oct 2024</t>
  </si>
  <si>
    <t>Nov 2024</t>
  </si>
  <si>
    <t>De 2024</t>
  </si>
  <si>
    <t>Jan 2025</t>
  </si>
  <si>
    <t>Feb 2025</t>
  </si>
  <si>
    <t>March 2025</t>
  </si>
  <si>
    <t>April 2025</t>
  </si>
  <si>
    <t>May 2025</t>
  </si>
  <si>
    <t>Total</t>
  </si>
  <si>
    <t>Income</t>
  </si>
  <si>
    <t xml:space="preserve">   Sales</t>
  </si>
  <si>
    <t>Total Income</t>
  </si>
  <si>
    <t>Cost of Goods Sold</t>
  </si>
  <si>
    <t xml:space="preserve">   Cost of goods sold</t>
  </si>
  <si>
    <t>Total Cost of Goods Sold</t>
  </si>
  <si>
    <t>Gross Profit</t>
  </si>
  <si>
    <t>Expenses</t>
  </si>
  <si>
    <t xml:space="preserve">   Advertising &amp; marketing</t>
  </si>
  <si>
    <t xml:space="preserve">   General business expenses</t>
  </si>
  <si>
    <t xml:space="preserve">      Bank fees &amp; service charges</t>
  </si>
  <si>
    <t xml:space="preserve">   Total General business expenses</t>
  </si>
  <si>
    <t xml:space="preserve">   Office expenses</t>
  </si>
  <si>
    <t xml:space="preserve">      Software &amp; apps</t>
  </si>
  <si>
    <t xml:space="preserve">   Total Office expenses</t>
  </si>
  <si>
    <t>Total Expenses</t>
  </si>
  <si>
    <t>Net Operating Income</t>
  </si>
  <si>
    <t>Net Income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</si>
</sst>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,##0.00&quot;  &quot;"/>
    <numFmt numFmtId="60" formatCode="&quot;$&quot;* #,##0.00&quot;  &quot;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8"/>
      <name val="Arial"/>
    </font>
    <font>
      <b val="1"/>
      <sz val="10"/>
      <color indexed="8"/>
      <name val="Arial"/>
    </font>
    <font>
      <b val="1"/>
      <sz val="9"/>
      <color indexed="8"/>
      <name val="Arial"/>
    </font>
    <font>
      <b val="1"/>
      <sz val="8"/>
      <color indexed="8"/>
      <name val="Arial"/>
    </font>
    <font>
      <sz val="8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49" fontId="5" fillId="2" borderId="2" applyNumberFormat="1" applyFont="1" applyFill="1" applyBorder="1" applyAlignment="1" applyProtection="0">
      <alignment horizontal="center" vertical="bottom" wrapText="1"/>
    </xf>
    <xf numFmtId="49" fontId="6" fillId="2" borderId="1" applyNumberFormat="1" applyFont="1" applyFill="1" applyBorder="1" applyAlignment="1" applyProtection="0">
      <alignment horizontal="left" vertical="bottom" wrapText="1"/>
    </xf>
    <xf numFmtId="59" fontId="7" fillId="2" borderId="3" applyNumberFormat="1" applyFont="1" applyFill="1" applyBorder="1" applyAlignment="1" applyProtection="0">
      <alignment vertical="bottom" wrapText="1"/>
    </xf>
    <xf numFmtId="59" fontId="7" fillId="2" borderId="2" applyNumberFormat="1" applyFont="1" applyFill="1" applyBorder="1" applyAlignment="1" applyProtection="0">
      <alignment horizontal="right" vertical="bottom" wrapText="1"/>
    </xf>
    <xf numFmtId="59" fontId="0" borderId="1" applyNumberFormat="1" applyFont="1" applyFill="0" applyBorder="1" applyAlignment="1" applyProtection="0">
      <alignment vertical="bottom"/>
    </xf>
    <xf numFmtId="60" fontId="6" fillId="2" borderId="3" applyNumberFormat="1" applyFont="1" applyFill="1" applyBorder="1" applyAlignment="1" applyProtection="0">
      <alignment horizontal="right" vertical="bottom" wrapText="1"/>
    </xf>
    <xf numFmtId="59" fontId="7" fillId="2" borderId="1" applyNumberFormat="1" applyFont="1" applyFill="1" applyBorder="1" applyAlignment="1" applyProtection="0">
      <alignment vertical="bottom" wrapText="1"/>
    </xf>
    <xf numFmtId="60" fontId="6" fillId="2" borderId="4" applyNumberFormat="1" applyFont="1" applyFill="1" applyBorder="1" applyAlignment="1" applyProtection="0">
      <alignment horizontal="right" vertical="bottom" wrapText="1"/>
    </xf>
    <xf numFmtId="59" fontId="7" fillId="2" borderId="1" applyNumberFormat="1" applyFont="1" applyFill="1" applyBorder="1" applyAlignment="1" applyProtection="0">
      <alignment horizontal="right" vertical="bottom" wrapText="1"/>
    </xf>
    <xf numFmtId="0" fontId="6" fillId="2" borderId="1" applyNumberFormat="0" applyFont="1" applyFill="1" applyBorder="1" applyAlignment="1" applyProtection="0">
      <alignment horizontal="left" vertical="bottom" wrapText="1"/>
    </xf>
    <xf numFmtId="0" fontId="7" borderId="1" applyNumberFormat="0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F27"/>
  <sheetViews>
    <sheetView workbookViewId="0" showGridLines="0" defaultGridColor="1"/>
  </sheetViews>
  <sheetFormatPr defaultColWidth="8.83333" defaultRowHeight="15" customHeight="1" outlineLevelRow="0" outlineLevelCol="0"/>
  <cols>
    <col min="1" max="1" width="30.1719" style="1" customWidth="1"/>
    <col min="2" max="2" width="11.8516" style="1" customWidth="1"/>
    <col min="3" max="3" width="11.1719" style="1" customWidth="1"/>
    <col min="4" max="4" width="10.5" style="1" customWidth="1"/>
    <col min="5" max="5" width="12" style="1" customWidth="1"/>
    <col min="6" max="7" width="10.6719" style="1" customWidth="1"/>
    <col min="8" max="8" width="12.3516" style="1" customWidth="1"/>
    <col min="9" max="9" width="11.6719" style="1" customWidth="1"/>
    <col min="10" max="10" width="11.1719" style="1" customWidth="1"/>
    <col min="11" max="11" width="11.5" style="1" customWidth="1"/>
    <col min="12" max="12" width="11.6719" style="1" customWidth="1"/>
    <col min="13" max="13" width="11.3516" style="1" customWidth="1"/>
    <col min="14" max="14" width="11" style="1" customWidth="1"/>
    <col min="15" max="15" width="12" style="1" customWidth="1"/>
    <col min="16" max="30" width="10.6719" style="1" customWidth="1"/>
    <col min="31" max="31" width="15.3516" style="1" customWidth="1"/>
    <col min="32" max="32" width="8.85156" style="1" customWidth="1"/>
    <col min="33" max="16384" width="8.85156" style="1" customWidth="1"/>
  </cols>
  <sheetData>
    <row r="1" ht="18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ht="18" customHeight="1">
      <c r="A2" t="s" s="2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ht="13.65" customHeight="1">
      <c r="A3" t="s" s="4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ht="13.5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t="s" s="5">
        <v>3</v>
      </c>
      <c r="X4" s="3"/>
      <c r="Y4" s="3"/>
      <c r="Z4" s="3"/>
      <c r="AA4" s="3"/>
      <c r="AB4" s="3"/>
      <c r="AC4" s="3"/>
      <c r="AD4" s="3"/>
      <c r="AE4" s="3"/>
      <c r="AF4" s="3"/>
    </row>
    <row r="5" ht="24.75" customHeight="1">
      <c r="A5" s="6"/>
      <c r="B5" t="s" s="7">
        <v>4</v>
      </c>
      <c r="C5" t="s" s="7">
        <v>5</v>
      </c>
      <c r="D5" t="s" s="7">
        <v>6</v>
      </c>
      <c r="E5" t="s" s="7">
        <v>7</v>
      </c>
      <c r="F5" t="s" s="7">
        <v>8</v>
      </c>
      <c r="G5" t="s" s="7">
        <v>9</v>
      </c>
      <c r="H5" t="s" s="7">
        <v>10</v>
      </c>
      <c r="I5" t="s" s="7">
        <v>11</v>
      </c>
      <c r="J5" t="s" s="7">
        <v>12</v>
      </c>
      <c r="K5" t="s" s="7">
        <v>13</v>
      </c>
      <c r="L5" t="s" s="7">
        <v>14</v>
      </c>
      <c r="M5" t="s" s="7">
        <v>15</v>
      </c>
      <c r="N5" t="s" s="7">
        <v>16</v>
      </c>
      <c r="O5" t="s" s="7">
        <v>17</v>
      </c>
      <c r="P5" t="s" s="7">
        <v>18</v>
      </c>
      <c r="Q5" t="s" s="7">
        <v>19</v>
      </c>
      <c r="R5" t="s" s="7">
        <v>20</v>
      </c>
      <c r="S5" t="s" s="7">
        <v>21</v>
      </c>
      <c r="T5" t="s" s="7">
        <v>22</v>
      </c>
      <c r="U5" t="s" s="7">
        <v>23</v>
      </c>
      <c r="V5" t="s" s="7">
        <v>24</v>
      </c>
      <c r="W5" t="s" s="7">
        <v>25</v>
      </c>
      <c r="X5" t="s" s="7">
        <v>26</v>
      </c>
      <c r="Y5" t="s" s="7">
        <v>27</v>
      </c>
      <c r="Z5" t="s" s="7">
        <v>28</v>
      </c>
      <c r="AA5" t="s" s="7">
        <v>29</v>
      </c>
      <c r="AB5" t="s" s="7">
        <v>30</v>
      </c>
      <c r="AC5" t="s" s="7">
        <v>31</v>
      </c>
      <c r="AD5" t="s" s="7">
        <v>32</v>
      </c>
      <c r="AE5" t="s" s="7">
        <v>33</v>
      </c>
      <c r="AF5" s="3"/>
    </row>
    <row r="6" ht="13.55" customHeight="1">
      <c r="A6" t="s" s="8">
        <v>34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3"/>
    </row>
    <row r="7" ht="13.55" customHeight="1">
      <c r="A7" t="s" s="8">
        <v>35</v>
      </c>
      <c r="B7" s="10">
        <f>22547.59</f>
        <v>22547.59</v>
      </c>
      <c r="C7" s="10">
        <f>21493.58</f>
        <v>21493.58</v>
      </c>
      <c r="D7" s="10">
        <f>24498.9</f>
        <v>24498.9</v>
      </c>
      <c r="E7" s="10">
        <f>23396.69</f>
        <v>23396.69</v>
      </c>
      <c r="F7" s="10">
        <f>26002.35</f>
        <v>26002.35</v>
      </c>
      <c r="G7" s="10">
        <f>23502.49</f>
        <v>23502.49</v>
      </c>
      <c r="H7" s="10">
        <f>27709.86</f>
        <v>27709.86</v>
      </c>
      <c r="I7" s="10">
        <f>25645.67</f>
        <v>25645.67</v>
      </c>
      <c r="J7" s="10">
        <f>22449.89</f>
        <v>22449.89</v>
      </c>
      <c r="K7" s="10">
        <f>20789.46</f>
        <v>20789.46</v>
      </c>
      <c r="L7" s="10">
        <f>18550.27</f>
        <v>18550.27</v>
      </c>
      <c r="M7" s="10">
        <f>19985.55</f>
        <v>19985.55</v>
      </c>
      <c r="N7" s="10">
        <f>22058.8</f>
        <v>22058.8</v>
      </c>
      <c r="O7" s="10">
        <f>33086.49</f>
        <v>33086.49</v>
      </c>
      <c r="P7" s="10">
        <f>34497.6</f>
        <v>34497.6</v>
      </c>
      <c r="Q7" s="10">
        <f>38779.51</f>
        <v>38779.51</v>
      </c>
      <c r="R7" s="10">
        <f>35446.29</f>
        <v>35446.29</v>
      </c>
      <c r="S7" s="10">
        <f>37789.89</f>
        <v>37789.89</v>
      </c>
      <c r="T7" s="10">
        <f>40189.57</f>
        <v>40189.57</v>
      </c>
      <c r="U7" s="10">
        <f>38596.69</f>
        <v>38596.69</v>
      </c>
      <c r="V7" s="10">
        <f>37034.42</f>
        <v>37034.42</v>
      </c>
      <c r="W7" s="10">
        <f>27589.65</f>
        <v>27589.65</v>
      </c>
      <c r="X7" s="10">
        <f>12322.31</f>
        <v>12322.31</v>
      </c>
      <c r="Y7" s="10">
        <f>28855.08</f>
        <v>28855.08</v>
      </c>
      <c r="Z7" s="10">
        <f>30280.97</f>
        <v>30280.97</v>
      </c>
      <c r="AA7" s="10">
        <f>29563.25</f>
        <v>29563.25</v>
      </c>
      <c r="AB7" s="10">
        <f>25169.87</f>
        <v>25169.87</v>
      </c>
      <c r="AC7" s="10">
        <f>26825.45</f>
        <v>26825.45</v>
      </c>
      <c r="AD7" s="10">
        <v>21814.5</v>
      </c>
      <c r="AE7" s="10">
        <f>SUM(B7:AD7)</f>
        <v>796472.64</v>
      </c>
      <c r="AF7" s="11"/>
    </row>
    <row r="8" ht="13.55" customHeight="1">
      <c r="A8" t="s" s="8">
        <v>36</v>
      </c>
      <c r="B8" s="12">
        <f>B7</f>
        <v>22547.59</v>
      </c>
      <c r="C8" s="12">
        <f>C7</f>
        <v>21493.58</v>
      </c>
      <c r="D8" s="12">
        <f>D7</f>
        <v>24498.9</v>
      </c>
      <c r="E8" s="12">
        <f>E7</f>
        <v>23396.69</v>
      </c>
      <c r="F8" s="12">
        <f>F7</f>
        <v>26002.35</v>
      </c>
      <c r="G8" s="12">
        <f>G7</f>
        <v>23502.49</v>
      </c>
      <c r="H8" s="12">
        <f>H7</f>
        <v>27709.86</v>
      </c>
      <c r="I8" s="12">
        <f>I7</f>
        <v>25645.67</v>
      </c>
      <c r="J8" s="12">
        <f>J7</f>
        <v>22449.89</v>
      </c>
      <c r="K8" s="12">
        <f>K7</f>
        <v>20789.46</v>
      </c>
      <c r="L8" s="12">
        <f>L7</f>
        <v>18550.27</v>
      </c>
      <c r="M8" s="12">
        <f>M7</f>
        <v>19985.55</v>
      </c>
      <c r="N8" s="12">
        <f>N7</f>
        <v>22058.8</v>
      </c>
      <c r="O8" s="12">
        <f>O7</f>
        <v>33086.49</v>
      </c>
      <c r="P8" s="12">
        <f>P7</f>
        <v>34497.6</v>
      </c>
      <c r="Q8" s="12">
        <f>Q7</f>
        <v>38779.51</v>
      </c>
      <c r="R8" s="12">
        <f>R7</f>
        <v>35446.29</v>
      </c>
      <c r="S8" s="12">
        <f>S7</f>
        <v>37789.89</v>
      </c>
      <c r="T8" s="12">
        <f>T7</f>
        <v>40189.57</v>
      </c>
      <c r="U8" s="12">
        <f>U7</f>
        <v>38596.69</v>
      </c>
      <c r="V8" s="12">
        <f>V7</f>
        <v>37034.42</v>
      </c>
      <c r="W8" s="12">
        <f>W7</f>
        <v>27589.65</v>
      </c>
      <c r="X8" s="12">
        <f>X7</f>
        <v>12322.31</v>
      </c>
      <c r="Y8" s="12">
        <f>Y7</f>
        <v>28855.08</v>
      </c>
      <c r="Z8" s="12">
        <f>Z7</f>
        <v>30280.97</v>
      </c>
      <c r="AA8" s="12">
        <f>AA7</f>
        <v>29563.25</v>
      </c>
      <c r="AB8" s="12">
        <f>AB7</f>
        <v>25169.87</v>
      </c>
      <c r="AC8" s="12">
        <f>AC7</f>
        <v>26825.45</v>
      </c>
      <c r="AD8" s="12">
        <f>AD7</f>
        <v>21814.5</v>
      </c>
      <c r="AE8" s="12">
        <f>SUM(B8:AD8)</f>
        <v>796472.64</v>
      </c>
      <c r="AF8" s="3"/>
    </row>
    <row r="9" ht="13.55" customHeight="1">
      <c r="A9" t="s" s="8">
        <v>37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3"/>
    </row>
    <row r="10" ht="13.55" customHeight="1">
      <c r="A10" t="s" s="8">
        <v>38</v>
      </c>
      <c r="B10" s="10">
        <f>18444.89</f>
        <v>18444.89</v>
      </c>
      <c r="C10" s="10">
        <f>17902.22</f>
        <v>17902.22</v>
      </c>
      <c r="D10" s="10">
        <f>19977.52</f>
        <v>19977.52</v>
      </c>
      <c r="E10" s="10">
        <f>19056.2</f>
        <v>19056.2</v>
      </c>
      <c r="F10" s="10">
        <f>21123.58</f>
        <v>21123.58</v>
      </c>
      <c r="G10" s="10">
        <f>18937.68</f>
        <v>18937.68</v>
      </c>
      <c r="H10" s="10">
        <f>22384.99</f>
        <v>22384.99</v>
      </c>
      <c r="I10" s="10">
        <f>20952.33</f>
        <v>20952.33</v>
      </c>
      <c r="J10" s="10">
        <f>18171.11</f>
        <v>18171.11</v>
      </c>
      <c r="K10" s="10">
        <f>16922.24</f>
        <v>16922.24</v>
      </c>
      <c r="L10" s="10">
        <f>14951.13</f>
        <v>14951.13</v>
      </c>
      <c r="M10" s="10">
        <f>16082.5</f>
        <v>16082.5</v>
      </c>
      <c r="N10" s="10">
        <f>17922.87</f>
        <v>17922.87</v>
      </c>
      <c r="O10" s="10">
        <f>26932.22</f>
        <v>26932.22</v>
      </c>
      <c r="P10" s="10">
        <f>28814.02</f>
        <v>28814.02</v>
      </c>
      <c r="Q10" s="10">
        <f>31876.55</f>
        <v>31876.55</v>
      </c>
      <c r="R10" s="10">
        <f>29030.63</f>
        <v>29030.63</v>
      </c>
      <c r="S10" s="10">
        <f>30798.54</f>
        <v>30798.54</v>
      </c>
      <c r="T10" s="10">
        <f>32954.88</f>
        <v>32954.88</v>
      </c>
      <c r="U10" s="10">
        <f>30915.58</f>
        <v>30915.58</v>
      </c>
      <c r="V10" s="10">
        <f>29153.68</f>
        <v>29153.68</v>
      </c>
      <c r="W10" s="10">
        <f>21989.56</f>
        <v>21989.56</v>
      </c>
      <c r="X10" s="10">
        <f>9919.05</f>
        <v>9919.049999999999</v>
      </c>
      <c r="Y10" s="10">
        <f>23257.91</f>
        <v>23257.91</v>
      </c>
      <c r="Z10" s="10">
        <f>24375.55</f>
        <v>24375.55</v>
      </c>
      <c r="AA10" s="10">
        <f>23768.2</f>
        <v>23768.2</v>
      </c>
      <c r="AB10" s="10">
        <f>20261.45</f>
        <v>20261.45</v>
      </c>
      <c r="AC10" s="10">
        <f>20985.64</f>
        <v>20985.64</v>
      </c>
      <c r="AD10" s="10">
        <f>17325.85</f>
        <v>17325.85</v>
      </c>
      <c r="AE10" s="10">
        <f>SUM(B10:AD10)</f>
        <v>645188.5699999999</v>
      </c>
      <c r="AF10" s="3"/>
    </row>
    <row r="11" ht="13.55" customHeight="1">
      <c r="A11" t="s" s="8">
        <v>39</v>
      </c>
      <c r="B11" s="14">
        <f>B10</f>
        <v>18444.89</v>
      </c>
      <c r="C11" s="14">
        <f>C10</f>
        <v>17902.22</v>
      </c>
      <c r="D11" s="14">
        <f>D10</f>
        <v>19977.52</v>
      </c>
      <c r="E11" s="14">
        <f>E10</f>
        <v>19056.2</v>
      </c>
      <c r="F11" s="14">
        <f>F10</f>
        <v>21123.58</v>
      </c>
      <c r="G11" s="14">
        <f>G10</f>
        <v>18937.68</v>
      </c>
      <c r="H11" s="14">
        <f>H10</f>
        <v>22384.99</v>
      </c>
      <c r="I11" s="14">
        <f>I10</f>
        <v>20952.33</v>
      </c>
      <c r="J11" s="14">
        <f>J10</f>
        <v>18171.11</v>
      </c>
      <c r="K11" s="14">
        <f>K10</f>
        <v>16922.24</v>
      </c>
      <c r="L11" s="14">
        <f>L10</f>
        <v>14951.13</v>
      </c>
      <c r="M11" s="14">
        <f>M10</f>
        <v>16082.5</v>
      </c>
      <c r="N11" s="14">
        <f>N10</f>
        <v>17922.87</v>
      </c>
      <c r="O11" s="14">
        <f>O10</f>
        <v>26932.22</v>
      </c>
      <c r="P11" s="14">
        <f>P10</f>
        <v>28814.02</v>
      </c>
      <c r="Q11" s="14">
        <f>Q10</f>
        <v>31876.55</v>
      </c>
      <c r="R11" s="14">
        <f>R10</f>
        <v>29030.63</v>
      </c>
      <c r="S11" s="14">
        <f>S10</f>
        <v>30798.54</v>
      </c>
      <c r="T11" s="14">
        <f>T10</f>
        <v>32954.88</v>
      </c>
      <c r="U11" s="14">
        <f>U10</f>
        <v>30915.58</v>
      </c>
      <c r="V11" s="14">
        <f>V10</f>
        <v>29153.68</v>
      </c>
      <c r="W11" s="14">
        <f>W10</f>
        <v>21989.56</v>
      </c>
      <c r="X11" s="14">
        <f>X10</f>
        <v>9919.049999999999</v>
      </c>
      <c r="Y11" s="14">
        <f>Y10</f>
        <v>23257.91</v>
      </c>
      <c r="Z11" s="14">
        <f>Z10</f>
        <v>24375.55</v>
      </c>
      <c r="AA11" s="14">
        <f>AA10</f>
        <v>23768.2</v>
      </c>
      <c r="AB11" s="14">
        <f>AB10</f>
        <v>20261.45</v>
      </c>
      <c r="AC11" s="14">
        <f>AC10</f>
        <v>20985.64</v>
      </c>
      <c r="AD11" s="14">
        <f>AD10</f>
        <v>17325.85</v>
      </c>
      <c r="AE11" s="14">
        <f>SUM(B11:AD11)</f>
        <v>645188.5699999999</v>
      </c>
      <c r="AF11" s="3"/>
    </row>
    <row r="12" ht="13.55" customHeight="1">
      <c r="A12" t="s" s="8">
        <v>40</v>
      </c>
      <c r="B12" s="12">
        <f>(B8)-(B11)</f>
        <v>4102.7</v>
      </c>
      <c r="C12" s="12">
        <f>(C8)-(C11)</f>
        <v>3591.36</v>
      </c>
      <c r="D12" s="12">
        <f>(D8)-(D11)</f>
        <v>4521.38</v>
      </c>
      <c r="E12" s="12">
        <f>(E8)-(E11)</f>
        <v>4340.49</v>
      </c>
      <c r="F12" s="12">
        <f>(F8)-(F11)</f>
        <v>4878.77</v>
      </c>
      <c r="G12" s="12">
        <f>(G8)-(G11)</f>
        <v>4564.81</v>
      </c>
      <c r="H12" s="12">
        <f>(H8)-(H11)</f>
        <v>5324.87</v>
      </c>
      <c r="I12" s="12">
        <f>(I8)-(I11)</f>
        <v>4693.34</v>
      </c>
      <c r="J12" s="12">
        <f>(J8)-(J11)</f>
        <v>4278.78</v>
      </c>
      <c r="K12" s="12">
        <f>(K8)-(K11)</f>
        <v>3867.22</v>
      </c>
      <c r="L12" s="12">
        <f>(L8)-(L11)</f>
        <v>3599.14</v>
      </c>
      <c r="M12" s="12">
        <f>(M8)-(M11)</f>
        <v>3903.05</v>
      </c>
      <c r="N12" s="12">
        <f>(N8)-(N11)</f>
        <v>4135.93</v>
      </c>
      <c r="O12" s="12">
        <f>(O8)-(O11)</f>
        <v>6154.27</v>
      </c>
      <c r="P12" s="12">
        <f>(P8)-(P11)</f>
        <v>5683.58</v>
      </c>
      <c r="Q12" s="12">
        <f>(Q8)-(Q11)</f>
        <v>6902.96</v>
      </c>
      <c r="R12" s="12">
        <f>(R8)-(R11)</f>
        <v>6415.66</v>
      </c>
      <c r="S12" s="12">
        <f>(S8)-(S11)</f>
        <v>6991.35</v>
      </c>
      <c r="T12" s="12">
        <f>(T8)-(T11)</f>
        <v>7234.69</v>
      </c>
      <c r="U12" s="12">
        <f>(U8)-(U11)</f>
        <v>7681.11</v>
      </c>
      <c r="V12" s="12">
        <f>(V8)-(V11)</f>
        <v>7880.74</v>
      </c>
      <c r="W12" s="12">
        <f>(W8)-(W11)</f>
        <v>5600.09</v>
      </c>
      <c r="X12" s="12">
        <f>(X8)-(X11)</f>
        <v>2403.26</v>
      </c>
      <c r="Y12" s="12">
        <f>(Y8)-(Y11)</f>
        <v>5597.17</v>
      </c>
      <c r="Z12" s="12">
        <f>(Z8)-(Z11)</f>
        <v>5905.42</v>
      </c>
      <c r="AA12" s="12">
        <f>(AA8)-(AA11)</f>
        <v>5795.05</v>
      </c>
      <c r="AB12" s="12">
        <f>(AB8)-(AB11)</f>
        <v>4908.42</v>
      </c>
      <c r="AC12" s="12">
        <f>(AC8)-(AC11)</f>
        <v>5839.81</v>
      </c>
      <c r="AD12" s="12">
        <f>(AD8)-(AD11)</f>
        <v>4488.65</v>
      </c>
      <c r="AE12" s="12">
        <f>SUM(B12:AD12)</f>
        <v>151284.07</v>
      </c>
      <c r="AF12" s="3"/>
    </row>
    <row r="13" ht="13.55" customHeight="1">
      <c r="A13" t="s" s="8">
        <v>41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3"/>
    </row>
    <row r="14" ht="13.55" customHeight="1">
      <c r="A14" t="s" s="8">
        <v>42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f t="shared" si="149" ref="R14:W18">0</f>
        <v>0</v>
      </c>
      <c r="S14" s="15">
        <f t="shared" si="149"/>
        <v>0</v>
      </c>
      <c r="T14" s="15">
        <f t="shared" si="149"/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f>SUM(B14:AD14)</f>
        <v>0</v>
      </c>
      <c r="AF14" s="3"/>
    </row>
    <row r="15" ht="13.55" customHeight="1">
      <c r="A15" t="s" s="8">
        <v>43</v>
      </c>
      <c r="B15" s="15">
        <f>0</f>
        <v>0</v>
      </c>
      <c r="C15" s="15">
        <f>0</f>
        <v>0</v>
      </c>
      <c r="D15" s="15">
        <f>0</f>
        <v>0</v>
      </c>
      <c r="E15" s="15">
        <f>0</f>
        <v>0</v>
      </c>
      <c r="F15" s="15">
        <f>0</f>
        <v>0</v>
      </c>
      <c r="G15" s="15">
        <f>0</f>
        <v>0</v>
      </c>
      <c r="H15" s="15">
        <f>0</f>
        <v>0</v>
      </c>
      <c r="I15" s="15">
        <f>0</f>
        <v>0</v>
      </c>
      <c r="J15" s="15">
        <f>0</f>
        <v>0</v>
      </c>
      <c r="K15" s="15">
        <f>0</f>
        <v>0</v>
      </c>
      <c r="L15" s="15">
        <f>0</f>
        <v>0</v>
      </c>
      <c r="M15" s="15">
        <f>0</f>
        <v>0</v>
      </c>
      <c r="N15" s="15">
        <f>0</f>
        <v>0</v>
      </c>
      <c r="O15" s="15">
        <f>0</f>
        <v>0</v>
      </c>
      <c r="P15" s="15">
        <f>0</f>
        <v>0</v>
      </c>
      <c r="Q15" s="15">
        <f>0</f>
        <v>0</v>
      </c>
      <c r="R15" s="15">
        <f t="shared" si="149"/>
        <v>0</v>
      </c>
      <c r="S15" s="15">
        <f t="shared" si="149"/>
        <v>0</v>
      </c>
      <c r="T15" s="15">
        <f t="shared" si="149"/>
        <v>0</v>
      </c>
      <c r="U15" s="15">
        <f t="shared" si="149"/>
        <v>0</v>
      </c>
      <c r="V15" s="15">
        <f t="shared" si="149"/>
        <v>0</v>
      </c>
      <c r="W15" s="15">
        <f t="shared" si="149"/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f>SUM(B15:AD15)</f>
        <v>0</v>
      </c>
      <c r="AF15" s="3"/>
    </row>
    <row r="16" ht="13.55" customHeight="1">
      <c r="A16" t="s" s="8">
        <v>44</v>
      </c>
      <c r="B16" s="10">
        <f t="shared" si="176" ref="B16:W16">15</f>
        <v>15</v>
      </c>
      <c r="C16" s="10">
        <f t="shared" si="176"/>
        <v>15</v>
      </c>
      <c r="D16" s="10">
        <f t="shared" si="176"/>
        <v>15</v>
      </c>
      <c r="E16" s="10">
        <f t="shared" si="176"/>
        <v>15</v>
      </c>
      <c r="F16" s="10">
        <f t="shared" si="176"/>
        <v>15</v>
      </c>
      <c r="G16" s="10">
        <f t="shared" si="176"/>
        <v>15</v>
      </c>
      <c r="H16" s="10">
        <f t="shared" si="176"/>
        <v>15</v>
      </c>
      <c r="I16" s="10">
        <f t="shared" si="176"/>
        <v>15</v>
      </c>
      <c r="J16" s="10">
        <f t="shared" si="176"/>
        <v>15</v>
      </c>
      <c r="K16" s="10">
        <f t="shared" si="176"/>
        <v>15</v>
      </c>
      <c r="L16" s="10">
        <f t="shared" si="176"/>
        <v>15</v>
      </c>
      <c r="M16" s="10">
        <f t="shared" si="176"/>
        <v>15</v>
      </c>
      <c r="N16" s="10">
        <f t="shared" si="176"/>
        <v>15</v>
      </c>
      <c r="O16" s="10">
        <f t="shared" si="176"/>
        <v>15</v>
      </c>
      <c r="P16" s="10">
        <v>15</v>
      </c>
      <c r="Q16" s="10">
        <v>15</v>
      </c>
      <c r="R16" s="10">
        <f t="shared" si="176"/>
        <v>15</v>
      </c>
      <c r="S16" s="10">
        <v>15</v>
      </c>
      <c r="T16" s="10">
        <v>15</v>
      </c>
      <c r="U16" s="10">
        <v>15</v>
      </c>
      <c r="V16" s="10">
        <v>15</v>
      </c>
      <c r="W16" s="10">
        <f t="shared" si="176"/>
        <v>15</v>
      </c>
      <c r="X16" s="10">
        <v>15</v>
      </c>
      <c r="Y16" s="10">
        <v>15</v>
      </c>
      <c r="Z16" s="10">
        <v>15</v>
      </c>
      <c r="AA16" s="10">
        <v>15</v>
      </c>
      <c r="AB16" s="10">
        <v>15</v>
      </c>
      <c r="AC16" s="10">
        <v>15</v>
      </c>
      <c r="AD16" s="10">
        <v>0</v>
      </c>
      <c r="AE16" s="10">
        <f>SUM(B16:AD16)</f>
        <v>420</v>
      </c>
      <c r="AF16" s="3"/>
    </row>
    <row r="17" ht="13.55" customHeight="1">
      <c r="A17" t="s" s="8">
        <v>45</v>
      </c>
      <c r="B17" s="12">
        <f>(B15)+(B16)</f>
        <v>15</v>
      </c>
      <c r="C17" s="12">
        <f>(C15)+(C16)</f>
        <v>15</v>
      </c>
      <c r="D17" s="12">
        <f>(D15)+(D16)</f>
        <v>15</v>
      </c>
      <c r="E17" s="12">
        <f>(E15)+(E16)</f>
        <v>15</v>
      </c>
      <c r="F17" s="12">
        <f>(F15)+(F16)</f>
        <v>15</v>
      </c>
      <c r="G17" s="12">
        <f>(G15)+(G16)</f>
        <v>15</v>
      </c>
      <c r="H17" s="12">
        <f>(H15)+(H16)</f>
        <v>15</v>
      </c>
      <c r="I17" s="12">
        <f>(I15)+(I16)</f>
        <v>15</v>
      </c>
      <c r="J17" s="12">
        <f>(J15)+(J16)</f>
        <v>15</v>
      </c>
      <c r="K17" s="12">
        <f>(K15)+(K16)</f>
        <v>15</v>
      </c>
      <c r="L17" s="12">
        <f>(L15)+(L16)</f>
        <v>15</v>
      </c>
      <c r="M17" s="12">
        <f>(M15)+(M16)</f>
        <v>15</v>
      </c>
      <c r="N17" s="12">
        <f>(N15)+(N16)</f>
        <v>15</v>
      </c>
      <c r="O17" s="12">
        <f>(O15)+(O16)</f>
        <v>15</v>
      </c>
      <c r="P17" s="12">
        <f>(P15)+(P16)</f>
        <v>15</v>
      </c>
      <c r="Q17" s="12">
        <f>(Q15)+(Q16)</f>
        <v>15</v>
      </c>
      <c r="R17" s="12">
        <f>(R15)+(R16)</f>
        <v>15</v>
      </c>
      <c r="S17" s="12">
        <v>15</v>
      </c>
      <c r="T17" s="12">
        <v>15</v>
      </c>
      <c r="U17" s="12">
        <v>15</v>
      </c>
      <c r="V17" s="12">
        <v>15</v>
      </c>
      <c r="W17" s="12">
        <v>15</v>
      </c>
      <c r="X17" s="12">
        <v>15</v>
      </c>
      <c r="Y17" s="12">
        <v>15</v>
      </c>
      <c r="Z17" s="12">
        <v>15</v>
      </c>
      <c r="AA17" s="12">
        <v>15</v>
      </c>
      <c r="AB17" s="12">
        <v>15</v>
      </c>
      <c r="AC17" s="12">
        <v>15</v>
      </c>
      <c r="AD17" s="12">
        <v>15</v>
      </c>
      <c r="AE17" s="12">
        <f>SUM(B17:AD17)</f>
        <v>435</v>
      </c>
      <c r="AF17" s="3"/>
    </row>
    <row r="18" ht="13.55" customHeight="1">
      <c r="A18" t="s" s="8">
        <v>46</v>
      </c>
      <c r="B18" s="15">
        <f>0</f>
        <v>0</v>
      </c>
      <c r="C18" s="15">
        <f>0</f>
        <v>0</v>
      </c>
      <c r="D18" s="15">
        <f>0</f>
        <v>0</v>
      </c>
      <c r="E18" s="15">
        <f>0</f>
        <v>0</v>
      </c>
      <c r="F18" s="15">
        <f>0</f>
        <v>0</v>
      </c>
      <c r="G18" s="15">
        <f>0</f>
        <v>0</v>
      </c>
      <c r="H18" s="15">
        <f>0</f>
        <v>0</v>
      </c>
      <c r="I18" s="15">
        <f>0</f>
        <v>0</v>
      </c>
      <c r="J18" s="15">
        <f>0</f>
        <v>0</v>
      </c>
      <c r="K18" s="15">
        <f>0</f>
        <v>0</v>
      </c>
      <c r="L18" s="15">
        <f>0</f>
        <v>0</v>
      </c>
      <c r="M18" s="15">
        <f>0</f>
        <v>0</v>
      </c>
      <c r="N18" s="15">
        <f>0</f>
        <v>0</v>
      </c>
      <c r="O18" s="15">
        <f>0</f>
        <v>0</v>
      </c>
      <c r="P18" s="15">
        <f>0</f>
        <v>0</v>
      </c>
      <c r="Q18" s="15">
        <f>0</f>
        <v>0</v>
      </c>
      <c r="R18" s="15">
        <f t="shared" si="149"/>
        <v>0</v>
      </c>
      <c r="S18" s="15">
        <v>0</v>
      </c>
      <c r="T18" s="15">
        <v>0</v>
      </c>
      <c r="U18" s="15">
        <v>0</v>
      </c>
      <c r="V18" s="15">
        <v>0</v>
      </c>
      <c r="W18" s="15">
        <f t="shared" si="149"/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f>SUM(B18:AD18)</f>
        <v>0</v>
      </c>
      <c r="AF18" s="3"/>
    </row>
    <row r="19" ht="13.55" customHeight="1">
      <c r="A19" t="s" s="8">
        <v>47</v>
      </c>
      <c r="B19" s="10">
        <v>79</v>
      </c>
      <c r="C19" s="10">
        <v>79</v>
      </c>
      <c r="D19" s="10">
        <v>79</v>
      </c>
      <c r="E19" s="10">
        <v>79</v>
      </c>
      <c r="F19" s="10">
        <v>79</v>
      </c>
      <c r="G19" s="10">
        <v>79</v>
      </c>
      <c r="H19" s="10">
        <v>79</v>
      </c>
      <c r="I19" s="10">
        <v>79</v>
      </c>
      <c r="J19" s="10">
        <v>79</v>
      </c>
      <c r="K19" s="10">
        <v>79</v>
      </c>
      <c r="L19" s="10">
        <v>79</v>
      </c>
      <c r="M19" s="10">
        <v>79</v>
      </c>
      <c r="N19" s="10">
        <v>79</v>
      </c>
      <c r="O19" s="10">
        <v>79</v>
      </c>
      <c r="P19" s="10">
        <v>79</v>
      </c>
      <c r="Q19" s="10">
        <v>79</v>
      </c>
      <c r="R19" s="10">
        <v>79</v>
      </c>
      <c r="S19" s="10">
        <v>79</v>
      </c>
      <c r="T19" s="10">
        <v>79</v>
      </c>
      <c r="U19" s="10">
        <v>79</v>
      </c>
      <c r="V19" s="10">
        <v>79</v>
      </c>
      <c r="W19" s="10">
        <f>269.72</f>
        <v>269.72</v>
      </c>
      <c r="X19" s="10">
        <f>460.57</f>
        <v>460.57</v>
      </c>
      <c r="Y19" s="10">
        <f>424.57</f>
        <v>424.57</v>
      </c>
      <c r="Z19" s="10">
        <f>477.57</f>
        <v>477.57</v>
      </c>
      <c r="AA19" s="10">
        <f t="shared" si="234" ref="AA19:AC19">539.93</f>
        <v>539.9299999999999</v>
      </c>
      <c r="AB19" s="10">
        <f t="shared" si="234"/>
        <v>539.9299999999999</v>
      </c>
      <c r="AC19" s="10">
        <f t="shared" si="234"/>
        <v>539.9299999999999</v>
      </c>
      <c r="AD19" s="10">
        <v>539.9299999999999</v>
      </c>
      <c r="AE19" s="10">
        <f>SUM(B19:AD19)</f>
        <v>5451.15</v>
      </c>
      <c r="AF19" s="3"/>
    </row>
    <row r="20" ht="13.55" customHeight="1">
      <c r="A20" t="s" s="8">
        <v>48</v>
      </c>
      <c r="B20" s="14">
        <f>(B18)+(B19)</f>
        <v>79</v>
      </c>
      <c r="C20" s="14">
        <f>(C18)+(C19)</f>
        <v>79</v>
      </c>
      <c r="D20" s="14">
        <f>(D18)+(D19)</f>
        <v>79</v>
      </c>
      <c r="E20" s="14">
        <f>(E18)+(E19)</f>
        <v>79</v>
      </c>
      <c r="F20" s="14">
        <f>(F18)+(F19)</f>
        <v>79</v>
      </c>
      <c r="G20" s="14">
        <f>(G18)+(G19)</f>
        <v>79</v>
      </c>
      <c r="H20" s="14">
        <f>(H18)+(H19)</f>
        <v>79</v>
      </c>
      <c r="I20" s="14">
        <f>(I18)+(I19)</f>
        <v>79</v>
      </c>
      <c r="J20" s="14">
        <f>(J18)+(J19)</f>
        <v>79</v>
      </c>
      <c r="K20" s="14">
        <f>(K18)+(K19)</f>
        <v>79</v>
      </c>
      <c r="L20" s="14">
        <f>(L18)+(L19)</f>
        <v>79</v>
      </c>
      <c r="M20" s="14">
        <f>(M18)+(M19)</f>
        <v>79</v>
      </c>
      <c r="N20" s="14">
        <f>(N18)+(N19)</f>
        <v>79</v>
      </c>
      <c r="O20" s="14">
        <f>(O18)+(O19)</f>
        <v>79</v>
      </c>
      <c r="P20" s="14">
        <f>(P18)+(P19)</f>
        <v>79</v>
      </c>
      <c r="Q20" s="14">
        <f>(Q18)+(Q19)</f>
        <v>79</v>
      </c>
      <c r="R20" s="14">
        <f>(R18)+(R19)</f>
        <v>79</v>
      </c>
      <c r="S20" s="14">
        <f>(S18)+(S19)</f>
        <v>79</v>
      </c>
      <c r="T20" s="14">
        <f>(T18)+(T19)</f>
        <v>79</v>
      </c>
      <c r="U20" s="14">
        <f>(U18)+(U19)</f>
        <v>79</v>
      </c>
      <c r="V20" s="14">
        <f>(V18)+(V19)</f>
        <v>79</v>
      </c>
      <c r="W20" s="14">
        <f>(W18)+(W19)</f>
        <v>269.72</v>
      </c>
      <c r="X20" s="14">
        <f>(X18)+(X19)</f>
        <v>460.57</v>
      </c>
      <c r="Y20" s="14">
        <f>(Y18)+(Y19)</f>
        <v>424.57</v>
      </c>
      <c r="Z20" s="14">
        <f>(Z18)+(Z19)</f>
        <v>477.57</v>
      </c>
      <c r="AA20" s="14">
        <f>(AA18)+(AA19)</f>
        <v>539.9299999999999</v>
      </c>
      <c r="AB20" s="14">
        <f>(AB18)+(AB19)</f>
        <v>539.9299999999999</v>
      </c>
      <c r="AC20" s="14">
        <f>(AC18)+(AC19)</f>
        <v>539.9299999999999</v>
      </c>
      <c r="AD20" s="14">
        <f>(AD18)+(AD19)</f>
        <v>539.9299999999999</v>
      </c>
      <c r="AE20" s="14">
        <f>SUM(B20:AD20)</f>
        <v>5451.15</v>
      </c>
      <c r="AF20" s="3"/>
    </row>
    <row r="21" ht="13.55" customHeight="1">
      <c r="A21" t="s" s="8">
        <v>49</v>
      </c>
      <c r="B21" s="14">
        <f>((B14)+(B17))+(B20)</f>
        <v>94</v>
      </c>
      <c r="C21" s="14">
        <f>((C14)+(C17))+(C20)</f>
        <v>94</v>
      </c>
      <c r="D21" s="14">
        <f>((D14)+(D17))+(D20)</f>
        <v>94</v>
      </c>
      <c r="E21" s="14">
        <f>((E14)+(E17))+(E20)</f>
        <v>94</v>
      </c>
      <c r="F21" s="14">
        <f>((F14)+(F17))+(F20)</f>
        <v>94</v>
      </c>
      <c r="G21" s="14">
        <f>((G14)+(G17))+(G20)</f>
        <v>94</v>
      </c>
      <c r="H21" s="14">
        <f>((H14)+(H17))+(H20)</f>
        <v>94</v>
      </c>
      <c r="I21" s="14">
        <f>((I14)+(I17))+(I20)</f>
        <v>94</v>
      </c>
      <c r="J21" s="14">
        <f>((J14)+(J17))+(J20)</f>
        <v>94</v>
      </c>
      <c r="K21" s="14">
        <f>((K14)+(K17))+(K20)</f>
        <v>94</v>
      </c>
      <c r="L21" s="14">
        <f>((L14)+(L17))+(L20)</f>
        <v>94</v>
      </c>
      <c r="M21" s="14">
        <f>((M14)+(M17))+(M20)</f>
        <v>94</v>
      </c>
      <c r="N21" s="14">
        <f>((N14)+(N17))+(N20)</f>
        <v>94</v>
      </c>
      <c r="O21" s="14">
        <f>((O14)+(O17))+(O20)</f>
        <v>94</v>
      </c>
      <c r="P21" s="14">
        <f>((P14)+(P17))+(P20)</f>
        <v>94</v>
      </c>
      <c r="Q21" s="14">
        <f>((Q14)+(Q17))+(Q20)</f>
        <v>94</v>
      </c>
      <c r="R21" s="14">
        <f>((R14)+(R17))+(R20)</f>
        <v>94</v>
      </c>
      <c r="S21" s="14">
        <f>((S14)+(S17))+(S20)</f>
        <v>94</v>
      </c>
      <c r="T21" s="14">
        <f>((T14)+(T17))+(T20)</f>
        <v>94</v>
      </c>
      <c r="U21" s="14">
        <f>((U14)+(U17))+(U20)</f>
        <v>94</v>
      </c>
      <c r="V21" s="14">
        <f>((V14)+(V17))+(V20)</f>
        <v>94</v>
      </c>
      <c r="W21" s="14">
        <f>((W14)+(W17))+(W20)</f>
        <v>284.72</v>
      </c>
      <c r="X21" s="14">
        <f>((X14)+(X17))+(X20)</f>
        <v>475.57</v>
      </c>
      <c r="Y21" s="14">
        <f>((Y14)+(Y17))+(Y20)</f>
        <v>439.57</v>
      </c>
      <c r="Z21" s="14">
        <f>((Z14)+(Z17))+(Z20)</f>
        <v>492.57</v>
      </c>
      <c r="AA21" s="14">
        <f>((AA14)+(AA17))+(AA20)</f>
        <v>554.9299999999999</v>
      </c>
      <c r="AB21" s="14">
        <f>((AB14)+(AB17))+(AB20)</f>
        <v>554.9299999999999</v>
      </c>
      <c r="AC21" s="14">
        <f>((AC14)+(AC17))+(AC20)</f>
        <v>554.9299999999999</v>
      </c>
      <c r="AD21" s="14">
        <f>((AD14)+(AD17))+(AD20)</f>
        <v>554.9299999999999</v>
      </c>
      <c r="AE21" s="14">
        <f>SUM(B21:AD21)</f>
        <v>5886.15</v>
      </c>
      <c r="AF21" s="3"/>
    </row>
    <row r="22" ht="13.55" customHeight="1">
      <c r="A22" t="s" s="8">
        <v>50</v>
      </c>
      <c r="B22" s="14">
        <f>(B12)-(B21)</f>
        <v>4008.7</v>
      </c>
      <c r="C22" s="14">
        <f>(C12)-(C21)</f>
        <v>3497.36</v>
      </c>
      <c r="D22" s="14">
        <f>(D12)-(D21)</f>
        <v>4427.38</v>
      </c>
      <c r="E22" s="14">
        <f>(E12)-(E21)</f>
        <v>4246.49</v>
      </c>
      <c r="F22" s="14">
        <f>(F12)-(F21)</f>
        <v>4784.77</v>
      </c>
      <c r="G22" s="14">
        <f>(G12)-(G21)</f>
        <v>4470.81</v>
      </c>
      <c r="H22" s="14">
        <f>(H12)-(H21)</f>
        <v>5230.87</v>
      </c>
      <c r="I22" s="14">
        <f>(I12)-(I21)</f>
        <v>4599.34</v>
      </c>
      <c r="J22" s="14">
        <f>(J12)-(J21)</f>
        <v>4184.78</v>
      </c>
      <c r="K22" s="14">
        <f>(K12)-(K21)</f>
        <v>3773.22</v>
      </c>
      <c r="L22" s="14">
        <f>(L12)-(L21)</f>
        <v>3505.14</v>
      </c>
      <c r="M22" s="14">
        <f>(M12)-(M21)</f>
        <v>3809.05</v>
      </c>
      <c r="N22" s="14">
        <f>(N12)-(N21)</f>
        <v>4041.93</v>
      </c>
      <c r="O22" s="14">
        <f>(O12)-(O21)</f>
        <v>6060.27</v>
      </c>
      <c r="P22" s="14">
        <f>(P12)-(P21)</f>
        <v>5589.58</v>
      </c>
      <c r="Q22" s="14">
        <f>(Q12)-(Q21)</f>
        <v>6808.96</v>
      </c>
      <c r="R22" s="14">
        <f>(R12)-(R21)</f>
        <v>6321.66</v>
      </c>
      <c r="S22" s="14">
        <f>(S12)-(S21)</f>
        <v>6897.35</v>
      </c>
      <c r="T22" s="14">
        <f>(T12)-(T21)</f>
        <v>7140.69</v>
      </c>
      <c r="U22" s="14">
        <f>(U12)-(U21)</f>
        <v>7587.11</v>
      </c>
      <c r="V22" s="14">
        <f>(V12)-(V21)</f>
        <v>7786.74</v>
      </c>
      <c r="W22" s="14">
        <f>(W12)-(W21)</f>
        <v>5315.37</v>
      </c>
      <c r="X22" s="14">
        <f>(X12)-(X21)</f>
        <v>1927.69</v>
      </c>
      <c r="Y22" s="14">
        <f>(Y12)-(Y21)</f>
        <v>5157.6</v>
      </c>
      <c r="Z22" s="14">
        <f>(Z12)-(Z21)</f>
        <v>5412.85</v>
      </c>
      <c r="AA22" s="14">
        <f>(AA12)-(AA21)</f>
        <v>5240.12</v>
      </c>
      <c r="AB22" s="14">
        <f>(AB12)-(AB21)</f>
        <v>4353.49</v>
      </c>
      <c r="AC22" s="14">
        <f>(AC12)-(AC21)</f>
        <v>5284.88</v>
      </c>
      <c r="AD22" s="14">
        <f>(AD12)-(AD21)</f>
        <v>3933.72</v>
      </c>
      <c r="AE22" s="14">
        <f>SUM(B22:AD22)</f>
        <v>145397.92</v>
      </c>
      <c r="AF22" s="3"/>
    </row>
    <row r="23" ht="13.55" customHeight="1">
      <c r="A23" t="s" s="8">
        <v>51</v>
      </c>
      <c r="B23" s="12">
        <f>(B22)+(0)</f>
        <v>4008.7</v>
      </c>
      <c r="C23" s="12">
        <f>(C22)+(0)</f>
        <v>3497.36</v>
      </c>
      <c r="D23" s="12">
        <f>(D22)+(0)</f>
        <v>4427.38</v>
      </c>
      <c r="E23" s="12">
        <f>(E22)+(0)</f>
        <v>4246.49</v>
      </c>
      <c r="F23" s="12">
        <f>(F22)+(0)</f>
        <v>4784.77</v>
      </c>
      <c r="G23" s="12">
        <f>(G22)+(0)</f>
        <v>4470.81</v>
      </c>
      <c r="H23" s="12">
        <f>(H22)+(0)</f>
        <v>5230.87</v>
      </c>
      <c r="I23" s="12">
        <f>(I22)+(0)</f>
        <v>4599.34</v>
      </c>
      <c r="J23" s="12">
        <f>(J22)+(0)</f>
        <v>4184.78</v>
      </c>
      <c r="K23" s="12">
        <f>(K22)+(0)</f>
        <v>3773.22</v>
      </c>
      <c r="L23" s="12">
        <f>(L22)+(0)</f>
        <v>3505.14</v>
      </c>
      <c r="M23" s="12">
        <f>(M22)+(0)</f>
        <v>3809.05</v>
      </c>
      <c r="N23" s="12">
        <f>(N22)+(0)</f>
        <v>4041.93</v>
      </c>
      <c r="O23" s="12">
        <f>(O22)+(0)</f>
        <v>6060.27</v>
      </c>
      <c r="P23" s="12">
        <f>(P22)+(0)</f>
        <v>5589.58</v>
      </c>
      <c r="Q23" s="12">
        <f>(Q22)+(0)</f>
        <v>6808.96</v>
      </c>
      <c r="R23" s="12">
        <f>(R22)+(0)</f>
        <v>6321.66</v>
      </c>
      <c r="S23" s="12">
        <f>(S22)+(0)</f>
        <v>6897.35</v>
      </c>
      <c r="T23" s="12">
        <f>(T22)+(0)</f>
        <v>7140.69</v>
      </c>
      <c r="U23" s="12">
        <f>(U22)+(0)</f>
        <v>7587.11</v>
      </c>
      <c r="V23" s="12">
        <f>(V22)+(0)</f>
        <v>7786.74</v>
      </c>
      <c r="W23" s="12">
        <f>(W22)+(0)</f>
        <v>5315.37</v>
      </c>
      <c r="X23" s="12">
        <f>(X22)+(0)</f>
        <v>1927.69</v>
      </c>
      <c r="Y23" s="12">
        <f>(Y22)+(0)</f>
        <v>5157.6</v>
      </c>
      <c r="Z23" s="12">
        <f>(Z22)+(0)</f>
        <v>5412.85</v>
      </c>
      <c r="AA23" s="12">
        <f>(AA22)+(0)</f>
        <v>5240.12</v>
      </c>
      <c r="AB23" s="12">
        <f>(AB22)+(0)</f>
        <v>4353.49</v>
      </c>
      <c r="AC23" s="12">
        <f>(AC22)+(0)</f>
        <v>5284.88</v>
      </c>
      <c r="AD23" s="12">
        <f>(AD22)+(0)</f>
        <v>3933.72</v>
      </c>
      <c r="AE23" s="12">
        <f>SUM(B23:AD23)</f>
        <v>145397.92</v>
      </c>
      <c r="AF23" s="3"/>
    </row>
    <row r="24" ht="13.55" customHeight="1">
      <c r="A24" s="16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3"/>
    </row>
    <row r="25" ht="13.5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ht="13.5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ht="13.55" customHeight="1">
      <c r="A27" s="1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</sheetData>
  <mergeCells count="4">
    <mergeCell ref="A27:AE27"/>
    <mergeCell ref="A1:AE1"/>
    <mergeCell ref="A2:AE2"/>
    <mergeCell ref="A3:AE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