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ephanieWilson 1/userDocuments/DAT203/"/>
    </mc:Choice>
  </mc:AlternateContent>
  <xr:revisionPtr revIDLastSave="0" documentId="13_ncr:1_{4839D3BA-A7B3-B04F-8FF8-512A4FE71302}" xr6:coauthVersionLast="36" xr6:coauthVersionMax="36" xr10:uidLastSave="{00000000-0000-0000-0000-000000000000}"/>
  <bookViews>
    <workbookView minimized="1" xWindow="0" yWindow="460" windowWidth="27280" windowHeight="16380" tabRatio="500" xr2:uid="{00000000-000D-0000-FFFF-FFFF00000000}"/>
  </bookViews>
  <sheets>
    <sheet name="data" sheetId="1" r:id="rId1"/>
    <sheet name="quality_score_guide" sheetId="2" r:id="rId2"/>
    <sheet name="data_types" sheetId="3" r:id="rId3"/>
    <sheet name="data_dictionary" sheetId="4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2" i="1" l="1"/>
  <c r="K63" i="1"/>
  <c r="K64" i="1"/>
  <c r="F62" i="1"/>
  <c r="F63" i="1"/>
  <c r="F64" i="1"/>
  <c r="F61" i="1" l="1"/>
  <c r="K61" i="1"/>
  <c r="K60" i="1"/>
  <c r="G13" i="1" l="1"/>
  <c r="K57" i="1"/>
  <c r="K58" i="1"/>
  <c r="K59" i="1"/>
  <c r="F57" i="1"/>
  <c r="F58" i="1"/>
  <c r="F59" i="1"/>
  <c r="F60" i="1"/>
  <c r="K49" i="1" l="1"/>
  <c r="F53" i="1"/>
  <c r="F54" i="1"/>
  <c r="F55" i="1"/>
  <c r="F56" i="1"/>
  <c r="K52" i="1"/>
  <c r="K53" i="1"/>
  <c r="K54" i="1"/>
  <c r="K55" i="1"/>
  <c r="K56" i="1"/>
  <c r="F52" i="1"/>
  <c r="F47" i="1"/>
  <c r="K47" i="1"/>
  <c r="F48" i="1"/>
  <c r="K48" i="1"/>
  <c r="F49" i="1"/>
  <c r="K50" i="1"/>
  <c r="K46" i="1"/>
  <c r="K51" i="1"/>
  <c r="F46" i="1"/>
  <c r="F50" i="1"/>
  <c r="F51" i="1"/>
  <c r="K45" i="1"/>
  <c r="F45" i="1"/>
  <c r="K44" i="1"/>
  <c r="F41" i="1"/>
  <c r="F42" i="1"/>
  <c r="F43" i="1"/>
  <c r="F44" i="1"/>
  <c r="F3" i="1"/>
  <c r="D4" i="1"/>
  <c r="F4" i="1"/>
  <c r="F5" i="1"/>
  <c r="F6" i="1"/>
  <c r="D7" i="1"/>
  <c r="F7" i="1"/>
  <c r="D8" i="1"/>
  <c r="F8" i="1" s="1"/>
  <c r="D9" i="1"/>
  <c r="F9" i="1" s="1"/>
  <c r="F10" i="1"/>
  <c r="D11" i="1"/>
  <c r="F11" i="1" s="1"/>
  <c r="D12" i="1"/>
  <c r="F12" i="1" s="1"/>
  <c r="F13" i="1"/>
  <c r="D14" i="1"/>
  <c r="F14" i="1" s="1"/>
  <c r="D15" i="1"/>
  <c r="F15" i="1" s="1"/>
  <c r="D16" i="1"/>
  <c r="F16" i="1" s="1"/>
  <c r="F17" i="1"/>
  <c r="D18" i="1"/>
  <c r="F18" i="1"/>
  <c r="D19" i="1"/>
  <c r="F19" i="1" s="1"/>
  <c r="F20" i="1"/>
  <c r="D21" i="1"/>
  <c r="F21" i="1"/>
  <c r="D22" i="1"/>
  <c r="F22" i="1" s="1"/>
  <c r="D23" i="1"/>
  <c r="F23" i="1" s="1"/>
  <c r="D24" i="1"/>
  <c r="F24" i="1" s="1"/>
  <c r="D25" i="1"/>
  <c r="F25" i="1" s="1"/>
  <c r="D26" i="1"/>
  <c r="F26" i="1" s="1"/>
  <c r="F27" i="1"/>
  <c r="D28" i="1"/>
  <c r="F28" i="1" s="1"/>
  <c r="F29" i="1"/>
  <c r="D30" i="1"/>
  <c r="F30" i="1"/>
  <c r="F31" i="1"/>
  <c r="D32" i="1"/>
  <c r="F32" i="1"/>
  <c r="D33" i="1"/>
  <c r="F33" i="1" s="1"/>
  <c r="F34" i="1"/>
  <c r="D35" i="1"/>
  <c r="F35" i="1"/>
  <c r="D36" i="1"/>
  <c r="F36" i="1" s="1"/>
  <c r="F37" i="1"/>
  <c r="F38" i="1"/>
  <c r="D39" i="1"/>
  <c r="F39" i="1" s="1"/>
  <c r="D40" i="1"/>
  <c r="F40" i="1"/>
  <c r="G4" i="1"/>
  <c r="H4" i="1"/>
  <c r="I4" i="1"/>
  <c r="G5" i="1"/>
  <c r="K5" i="1" s="1"/>
  <c r="H5" i="1"/>
  <c r="I5" i="1"/>
  <c r="G6" i="1"/>
  <c r="H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H13" i="1"/>
  <c r="K13" i="1" s="1"/>
  <c r="I13" i="1"/>
  <c r="G14" i="1"/>
  <c r="H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2" i="1"/>
  <c r="H22" i="1"/>
  <c r="I22" i="1"/>
  <c r="G23" i="1"/>
  <c r="H23" i="1"/>
  <c r="I23" i="1"/>
  <c r="G24" i="1"/>
  <c r="K24" i="1" s="1"/>
  <c r="H24" i="1"/>
  <c r="G25" i="1"/>
  <c r="H25" i="1"/>
  <c r="I25" i="1"/>
  <c r="G26" i="1"/>
  <c r="H26" i="1"/>
  <c r="K26" i="1" s="1"/>
  <c r="I26" i="1"/>
  <c r="G27" i="1"/>
  <c r="H27" i="1"/>
  <c r="I27" i="1"/>
  <c r="G28" i="1"/>
  <c r="H28" i="1"/>
  <c r="I28" i="1"/>
  <c r="G29" i="1"/>
  <c r="H29" i="1"/>
  <c r="I29" i="1"/>
  <c r="G30" i="1"/>
  <c r="H30" i="1"/>
  <c r="K30" i="1" s="1"/>
  <c r="I30" i="1"/>
  <c r="G31" i="1"/>
  <c r="H31" i="1"/>
  <c r="I31" i="1"/>
  <c r="G32" i="1"/>
  <c r="H32" i="1"/>
  <c r="I32" i="1"/>
  <c r="G33" i="1"/>
  <c r="H33" i="1"/>
  <c r="I33" i="1"/>
  <c r="G34" i="1"/>
  <c r="H34" i="1"/>
  <c r="K34" i="1" s="1"/>
  <c r="I34" i="1"/>
  <c r="G35" i="1"/>
  <c r="H35" i="1"/>
  <c r="I35" i="1"/>
  <c r="G36" i="1"/>
  <c r="H36" i="1"/>
  <c r="I36" i="1"/>
  <c r="G37" i="1"/>
  <c r="H37" i="1"/>
  <c r="I37" i="1"/>
  <c r="G38" i="1"/>
  <c r="H38" i="1"/>
  <c r="K38" i="1" s="1"/>
  <c r="I38" i="1"/>
  <c r="G39" i="1"/>
  <c r="H39" i="1"/>
  <c r="I39" i="1"/>
  <c r="G40" i="1"/>
  <c r="H40" i="1"/>
  <c r="I40" i="1"/>
  <c r="G41" i="1"/>
  <c r="H41" i="1"/>
  <c r="I41" i="1"/>
  <c r="H42" i="1"/>
  <c r="I42" i="1"/>
  <c r="K42" i="1" s="1"/>
  <c r="G43" i="1"/>
  <c r="H43" i="1"/>
  <c r="I43" i="1"/>
  <c r="G2" i="1"/>
  <c r="H2" i="1"/>
  <c r="I2" i="1"/>
  <c r="K2" i="1" s="1"/>
  <c r="G3" i="1"/>
  <c r="H3" i="1"/>
  <c r="I3" i="1"/>
  <c r="D2" i="1"/>
  <c r="F2" i="1" s="1"/>
  <c r="K3" i="1" l="1"/>
  <c r="K20" i="1"/>
  <c r="K16" i="1"/>
  <c r="K9" i="1"/>
  <c r="K6" i="1"/>
  <c r="K22" i="1"/>
  <c r="K17" i="1"/>
  <c r="K14" i="1"/>
  <c r="K10" i="1"/>
  <c r="K43" i="1"/>
  <c r="K4" i="1"/>
  <c r="K39" i="1"/>
  <c r="K35" i="1"/>
  <c r="K31" i="1"/>
  <c r="K27" i="1"/>
  <c r="K23" i="1"/>
  <c r="K18" i="1"/>
  <c r="K11" i="1"/>
  <c r="K7" i="1"/>
  <c r="K40" i="1"/>
  <c r="K36" i="1"/>
  <c r="K32" i="1"/>
  <c r="K28" i="1"/>
  <c r="K19" i="1"/>
  <c r="K15" i="1"/>
  <c r="K12" i="1"/>
  <c r="K8" i="1"/>
  <c r="K41" i="1"/>
  <c r="K37" i="1"/>
  <c r="K33" i="1"/>
  <c r="K29" i="1"/>
  <c r="K25" i="1"/>
</calcChain>
</file>

<file path=xl/sharedStrings.xml><?xml version="1.0" encoding="utf-8"?>
<sst xmlns="http://schemas.openxmlformats.org/spreadsheetml/2006/main" count="210" uniqueCount="70">
  <si>
    <t>Date</t>
  </si>
  <si>
    <t>Exercise</t>
  </si>
  <si>
    <t>HR</t>
  </si>
  <si>
    <t>Sleep</t>
  </si>
  <si>
    <t>yoga</t>
  </si>
  <si>
    <t>Thursday</t>
  </si>
  <si>
    <t>Friday</t>
  </si>
  <si>
    <t>Saturday</t>
  </si>
  <si>
    <t>Sunday</t>
  </si>
  <si>
    <t>Monday</t>
  </si>
  <si>
    <t>Tuesday</t>
  </si>
  <si>
    <t>Wednesday</t>
  </si>
  <si>
    <t>NA</t>
  </si>
  <si>
    <t>Notes</t>
  </si>
  <si>
    <t>run</t>
  </si>
  <si>
    <t>Sprained ankle</t>
  </si>
  <si>
    <t>My Quality Score</t>
  </si>
  <si>
    <t>I feel fairly well rested</t>
  </si>
  <si>
    <t>I've got energy to spare</t>
  </si>
  <si>
    <t>A bit lethargic</t>
  </si>
  <si>
    <t>Very low energy, difficult to concentrate</t>
  </si>
  <si>
    <t>Give me coffee or face my wrath - lethargic, unable to concentrate</t>
  </si>
  <si>
    <t>I could go for a nap - overall, I feel fully functional but could do with a 15 minute power nap</t>
  </si>
  <si>
    <t>deep_sleep</t>
  </si>
  <si>
    <t>indoor cycling</t>
  </si>
  <si>
    <t>Slept off a headache with a 45 min nap ~ 7pm</t>
  </si>
  <si>
    <t>strength training</t>
  </si>
  <si>
    <t>text</t>
  </si>
  <si>
    <t xml:space="preserve">decimal </t>
  </si>
  <si>
    <t>integer</t>
  </si>
  <si>
    <t>(text) The day of the week that I fall asleep in a given instance.</t>
  </si>
  <si>
    <t>(date format)The date of the day that I fall asleep</t>
  </si>
  <si>
    <t>(text) The exercise activity</t>
  </si>
  <si>
    <t>(integer) My average heart rate while exercising. As measured by my Apple iWatch</t>
  </si>
  <si>
    <t>(decimal) The amount of time spent doing the given activity (in hour). As recorded by my Apple iWatch</t>
  </si>
  <si>
    <t>(decimal) The amount of time it takes for me to fall asleep (in hours). As recorded by my Apple iWatch</t>
  </si>
  <si>
    <t>(decimal) The total amount of time I slept in a given instance.</t>
  </si>
  <si>
    <t>(decimal) The amount of deep sleep (in hours). As measured by my Apple iWatch. The watch continually tracks my heart rate and how still I am.</t>
  </si>
  <si>
    <t>(integer) My average heart rate while sleeping. As measured by my Apple iWatch</t>
  </si>
  <si>
    <t xml:space="preserve">The quality score I give each night's sleep by rating how I feel the next day. </t>
  </si>
  <si>
    <t>night</t>
  </si>
  <si>
    <t>date</t>
  </si>
  <si>
    <t>activity</t>
  </si>
  <si>
    <t>time</t>
  </si>
  <si>
    <t>time_til_sleep</t>
  </si>
  <si>
    <t>total_hours</t>
  </si>
  <si>
    <t>quality_score</t>
  </si>
  <si>
    <t>sprained ankle…again</t>
  </si>
  <si>
    <t>Took my watch off at some point in the night. Unsure when or why</t>
  </si>
  <si>
    <t>up late working</t>
  </si>
  <si>
    <t>cross training</t>
  </si>
  <si>
    <t>Coronavirus "social distancing" begins</t>
  </si>
  <si>
    <t>gyms are closed due to coronavirus quarantine. Making do with body weight exercises.</t>
  </si>
  <si>
    <t>Quarantine begins</t>
  </si>
  <si>
    <t>exercise heart rate was an estimate based on HR at similar pace. Watch didn't save my data.</t>
  </si>
  <si>
    <t>sleep_index</t>
  </si>
  <si>
    <t>exercise_index</t>
  </si>
  <si>
    <t>exercise_hr</t>
  </si>
  <si>
    <t>sleep_hr</t>
  </si>
  <si>
    <t>total_hours_sleep</t>
  </si>
  <si>
    <t>exercise_time</t>
  </si>
  <si>
    <t>sick</t>
  </si>
  <si>
    <t>still sick</t>
  </si>
  <si>
    <t>feel better, fever broke</t>
  </si>
  <si>
    <t>fever came back in the evening and brought shortness of breath, coughing</t>
  </si>
  <si>
    <t>took a ~5 hr nap in the middle of the day. Most likely cause is illness rather than bad night's sleep</t>
  </si>
  <si>
    <t>2nd day in a row where my only symptom is a fever</t>
  </si>
  <si>
    <t>It's difficult to judge my quality score when fever keeps knocking me out.</t>
  </si>
  <si>
    <t>Fever broke!</t>
  </si>
  <si>
    <t>hike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</si>
</sst>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workbookViewId="0">
      <selection activeCell="M28" sqref="M28"/>
    </sheetView>
  </sheetViews>
  <sheetFormatPr baseColWidth="10" defaultColWidth="11.1640625" defaultRowHeight="16"/>
  <cols>
    <col min="1" max="1" width="12" customWidth="1"/>
    <col min="3" max="3" width="15.6640625" customWidth="1"/>
    <col min="4" max="4" width="12.6640625" customWidth="1"/>
    <col min="6" max="6" width="13.1640625" customWidth="1"/>
    <col min="7" max="7" width="14" customWidth="1"/>
    <col min="8" max="8" width="11.1640625" style="31"/>
    <col min="10" max="10" width="8.6640625" customWidth="1"/>
    <col min="12" max="12" width="12.83203125" style="1" customWidth="1"/>
    <col min="13" max="13" width="32.6640625" customWidth="1"/>
    <col min="16" max="16" width="33" customWidth="1"/>
  </cols>
  <sheetData>
    <row r="1" spans="1:13" s="1" customFormat="1" ht="34">
      <c r="A1" s="7" t="s">
        <v>40</v>
      </c>
      <c r="B1" s="7" t="s">
        <v>41</v>
      </c>
      <c r="C1" s="8" t="s">
        <v>42</v>
      </c>
      <c r="D1" s="8" t="s">
        <v>60</v>
      </c>
      <c r="E1" s="8" t="s">
        <v>57</v>
      </c>
      <c r="F1" s="28" t="s">
        <v>56</v>
      </c>
      <c r="G1" s="4" t="s">
        <v>44</v>
      </c>
      <c r="H1" s="18" t="s">
        <v>59</v>
      </c>
      <c r="I1" s="4" t="s">
        <v>23</v>
      </c>
      <c r="J1" s="5" t="s">
        <v>58</v>
      </c>
      <c r="K1" s="29" t="s">
        <v>55</v>
      </c>
      <c r="L1" s="21" t="s">
        <v>46</v>
      </c>
      <c r="M1" s="1" t="s">
        <v>13</v>
      </c>
    </row>
    <row r="2" spans="1:13" s="2" customFormat="1" ht="18" customHeight="1">
      <c r="A2" s="2" t="s">
        <v>5</v>
      </c>
      <c r="B2" s="3">
        <v>43881</v>
      </c>
      <c r="C2" s="2" t="s">
        <v>4</v>
      </c>
      <c r="D2" s="30">
        <f>0.33 * 60</f>
        <v>19.8</v>
      </c>
      <c r="E2" s="2">
        <v>79</v>
      </c>
      <c r="F2" s="6">
        <f>(D2*0.4) + (E2*0.6)</f>
        <v>55.32</v>
      </c>
      <c r="G2" s="30">
        <f>0.33*60</f>
        <v>19.8</v>
      </c>
      <c r="H2" s="30">
        <f>8.1*60</f>
        <v>486</v>
      </c>
      <c r="I2" s="30">
        <f>1.47*60</f>
        <v>88.2</v>
      </c>
      <c r="J2" s="2">
        <v>60</v>
      </c>
      <c r="K2" s="6">
        <f>-(G2*0.1)+(H2*0.1)+(I2*0.4)-(J2*0.4)</f>
        <v>57.900000000000006</v>
      </c>
      <c r="L2" s="1"/>
    </row>
    <row r="3" spans="1:13" s="2" customFormat="1" ht="20" customHeight="1">
      <c r="A3" s="2" t="s">
        <v>6</v>
      </c>
      <c r="B3" s="3">
        <v>43882</v>
      </c>
      <c r="C3" s="2" t="s">
        <v>12</v>
      </c>
      <c r="D3" s="30">
        <v>0</v>
      </c>
      <c r="E3" s="2">
        <v>0</v>
      </c>
      <c r="F3" s="6">
        <f t="shared" ref="F3:F60" si="0">(D3*0.4) + (E3*0.6)</f>
        <v>0</v>
      </c>
      <c r="G3" s="30">
        <f>2.3*60</f>
        <v>138</v>
      </c>
      <c r="H3" s="30">
        <f>4.8*60</f>
        <v>288</v>
      </c>
      <c r="I3" s="30">
        <f>1.07*60</f>
        <v>64.2</v>
      </c>
      <c r="J3" s="2">
        <v>64</v>
      </c>
      <c r="K3" s="6">
        <f>-(G3*0.1)+(H3*0.1)+(I3*0.4)-(J3*0.4)</f>
        <v>15.080000000000005</v>
      </c>
      <c r="L3" s="22">
        <v>0</v>
      </c>
    </row>
    <row r="4" spans="1:13" s="2" customFormat="1" ht="19" customHeight="1">
      <c r="A4" s="2" t="s">
        <v>7</v>
      </c>
      <c r="B4" s="3">
        <v>43883</v>
      </c>
      <c r="C4" s="2" t="s">
        <v>14</v>
      </c>
      <c r="D4" s="30">
        <f>0.57*60</f>
        <v>34.199999999999996</v>
      </c>
      <c r="E4" s="2">
        <v>180</v>
      </c>
      <c r="F4" s="6">
        <f t="shared" si="0"/>
        <v>121.68</v>
      </c>
      <c r="G4" s="30">
        <f>0.4*60</f>
        <v>24</v>
      </c>
      <c r="H4" s="30">
        <f>60*9.2</f>
        <v>552</v>
      </c>
      <c r="I4" s="30">
        <f>60*1.48</f>
        <v>88.8</v>
      </c>
      <c r="J4" s="2">
        <v>61</v>
      </c>
      <c r="K4" s="6">
        <f t="shared" ref="K4:K60" si="1">-(G4*0.1)+(H4*0.1)+(I4*0.4)-(J4*0.4)</f>
        <v>63.92</v>
      </c>
      <c r="L4" s="1"/>
    </row>
    <row r="5" spans="1:13" s="2" customFormat="1" ht="18" customHeight="1">
      <c r="A5" s="2" t="s">
        <v>8</v>
      </c>
      <c r="B5" s="3">
        <v>43884</v>
      </c>
      <c r="C5" s="2" t="s">
        <v>12</v>
      </c>
      <c r="D5" s="30">
        <v>0</v>
      </c>
      <c r="E5" s="2">
        <v>0</v>
      </c>
      <c r="F5" s="6">
        <f t="shared" si="0"/>
        <v>0</v>
      </c>
      <c r="G5" s="30">
        <f>0.37*60</f>
        <v>22.2</v>
      </c>
      <c r="H5" s="30">
        <f>60*6.45</f>
        <v>387</v>
      </c>
      <c r="I5" s="30">
        <f>60*2.05</f>
        <v>122.99999999999999</v>
      </c>
      <c r="J5" s="2">
        <v>55</v>
      </c>
      <c r="K5" s="6">
        <f t="shared" si="1"/>
        <v>63.680000000000007</v>
      </c>
      <c r="L5" s="1"/>
      <c r="M5" s="2" t="s">
        <v>15</v>
      </c>
    </row>
    <row r="6" spans="1:13" s="2" customFormat="1" ht="20" customHeight="1">
      <c r="A6" s="2" t="s">
        <v>9</v>
      </c>
      <c r="B6" s="3">
        <v>43885</v>
      </c>
      <c r="C6" s="2" t="s">
        <v>12</v>
      </c>
      <c r="D6" s="30">
        <v>0</v>
      </c>
      <c r="E6" s="2">
        <v>0</v>
      </c>
      <c r="F6" s="6">
        <f t="shared" si="0"/>
        <v>0</v>
      </c>
      <c r="G6" s="30">
        <f>0.05*60</f>
        <v>3</v>
      </c>
      <c r="H6" s="30">
        <f>60*6.45</f>
        <v>387</v>
      </c>
      <c r="I6" s="30">
        <v>0</v>
      </c>
      <c r="J6" s="2">
        <v>58</v>
      </c>
      <c r="K6" s="6">
        <f t="shared" si="1"/>
        <v>15.200000000000003</v>
      </c>
      <c r="L6" s="1"/>
    </row>
    <row r="7" spans="1:13" s="2" customFormat="1" ht="19" customHeight="1">
      <c r="A7" s="2" t="s">
        <v>10</v>
      </c>
      <c r="B7" s="3">
        <v>43886</v>
      </c>
      <c r="C7" s="2" t="s">
        <v>4</v>
      </c>
      <c r="D7" s="30">
        <f>0.68*60</f>
        <v>40.800000000000004</v>
      </c>
      <c r="E7" s="2">
        <v>84</v>
      </c>
      <c r="F7" s="6">
        <f t="shared" si="0"/>
        <v>66.72</v>
      </c>
      <c r="G7" s="30">
        <f>0.1*60</f>
        <v>6</v>
      </c>
      <c r="H7" s="30">
        <f>60*7.15</f>
        <v>429</v>
      </c>
      <c r="I7" s="30">
        <f>60*1.52</f>
        <v>91.2</v>
      </c>
      <c r="J7" s="2">
        <v>58</v>
      </c>
      <c r="K7" s="6">
        <f t="shared" si="1"/>
        <v>55.58</v>
      </c>
      <c r="L7" s="23">
        <v>4</v>
      </c>
    </row>
    <row r="8" spans="1:13" s="2" customFormat="1" ht="19" customHeight="1">
      <c r="A8" s="2" t="s">
        <v>11</v>
      </c>
      <c r="B8" s="3">
        <v>43887</v>
      </c>
      <c r="C8" s="2" t="s">
        <v>14</v>
      </c>
      <c r="D8" s="30">
        <f>0.77*60</f>
        <v>46.2</v>
      </c>
      <c r="E8" s="2">
        <v>182</v>
      </c>
      <c r="F8" s="6">
        <f t="shared" si="0"/>
        <v>127.68</v>
      </c>
      <c r="G8" s="30">
        <f>0.1*60</f>
        <v>6</v>
      </c>
      <c r="H8" s="30">
        <f>60*6.92</f>
        <v>415.2</v>
      </c>
      <c r="I8" s="30">
        <f>60*1.01</f>
        <v>60.6</v>
      </c>
      <c r="J8" s="2">
        <v>61</v>
      </c>
      <c r="K8" s="6">
        <f t="shared" si="1"/>
        <v>40.759999999999991</v>
      </c>
      <c r="L8" s="24">
        <v>5</v>
      </c>
    </row>
    <row r="9" spans="1:13" s="2" customFormat="1" ht="17" customHeight="1">
      <c r="A9" s="2" t="s">
        <v>5</v>
      </c>
      <c r="B9" s="3">
        <v>43888</v>
      </c>
      <c r="C9" s="2" t="s">
        <v>24</v>
      </c>
      <c r="D9" s="30">
        <f>0.42*60</f>
        <v>25.2</v>
      </c>
      <c r="E9" s="2">
        <v>163</v>
      </c>
      <c r="F9" s="6">
        <f t="shared" si="0"/>
        <v>107.88</v>
      </c>
      <c r="G9" s="30">
        <f>0.05*60</f>
        <v>3</v>
      </c>
      <c r="H9" s="30">
        <f>60*7.23</f>
        <v>433.8</v>
      </c>
      <c r="I9" s="30">
        <f>60*0.76</f>
        <v>45.6</v>
      </c>
      <c r="J9" s="2">
        <v>62</v>
      </c>
      <c r="K9" s="6">
        <f t="shared" si="1"/>
        <v>36.52000000000001</v>
      </c>
      <c r="L9" s="23">
        <v>4</v>
      </c>
    </row>
    <row r="10" spans="1:13" s="2" customFormat="1" ht="19" customHeight="1">
      <c r="A10" s="2" t="s">
        <v>6</v>
      </c>
      <c r="B10" s="3">
        <v>43889</v>
      </c>
      <c r="C10" s="2" t="s">
        <v>12</v>
      </c>
      <c r="D10" s="30">
        <v>0</v>
      </c>
      <c r="E10" s="2">
        <v>0</v>
      </c>
      <c r="F10" s="6">
        <f t="shared" si="0"/>
        <v>0</v>
      </c>
      <c r="G10" s="30">
        <f>0.46*60</f>
        <v>27.6</v>
      </c>
      <c r="H10" s="30">
        <f>60*8</f>
        <v>480</v>
      </c>
      <c r="I10" s="30">
        <f>60*0.77</f>
        <v>46.2</v>
      </c>
      <c r="J10" s="2">
        <v>62</v>
      </c>
      <c r="K10" s="6">
        <f t="shared" si="1"/>
        <v>38.92</v>
      </c>
      <c r="L10" s="25">
        <v>2</v>
      </c>
    </row>
    <row r="11" spans="1:13" s="2" customFormat="1" ht="18" customHeight="1">
      <c r="A11" s="2" t="s">
        <v>7</v>
      </c>
      <c r="B11" s="3">
        <v>43890</v>
      </c>
      <c r="C11" s="2" t="s">
        <v>14</v>
      </c>
      <c r="D11" s="30">
        <f>0.58*60</f>
        <v>34.799999999999997</v>
      </c>
      <c r="E11" s="2">
        <v>183</v>
      </c>
      <c r="F11" s="6">
        <f t="shared" si="0"/>
        <v>123.72</v>
      </c>
      <c r="G11" s="30">
        <f>0.92*60</f>
        <v>55.2</v>
      </c>
      <c r="H11" s="30">
        <f>60*5</f>
        <v>300</v>
      </c>
      <c r="I11" s="30">
        <f>60*0.48</f>
        <v>28.799999999999997</v>
      </c>
      <c r="J11" s="2">
        <v>56</v>
      </c>
      <c r="K11" s="6">
        <f t="shared" si="1"/>
        <v>13.599999999999998</v>
      </c>
      <c r="L11" s="26">
        <v>3</v>
      </c>
      <c r="M11" s="2" t="s">
        <v>25</v>
      </c>
    </row>
    <row r="12" spans="1:13" s="2" customFormat="1" ht="19" customHeight="1">
      <c r="A12" s="2" t="s">
        <v>8</v>
      </c>
      <c r="B12" s="3">
        <v>43891</v>
      </c>
      <c r="C12" s="2" t="s">
        <v>14</v>
      </c>
      <c r="D12" s="30">
        <f>1.72*60</f>
        <v>103.2</v>
      </c>
      <c r="E12" s="2">
        <v>176</v>
      </c>
      <c r="F12" s="6">
        <f t="shared" si="0"/>
        <v>146.88</v>
      </c>
      <c r="G12" s="30">
        <f>2.25*60</f>
        <v>135</v>
      </c>
      <c r="H12" s="30">
        <f>60*4.83</f>
        <v>289.8</v>
      </c>
      <c r="I12" s="30">
        <f>60*0.96</f>
        <v>57.599999999999994</v>
      </c>
      <c r="J12" s="2">
        <v>60</v>
      </c>
      <c r="K12" s="6">
        <f t="shared" si="1"/>
        <v>14.520000000000003</v>
      </c>
      <c r="L12" s="25">
        <v>2</v>
      </c>
    </row>
    <row r="13" spans="1:13" s="2" customFormat="1" ht="19" customHeight="1">
      <c r="A13" s="2" t="s">
        <v>9</v>
      </c>
      <c r="B13" s="3">
        <v>43892</v>
      </c>
      <c r="C13" s="2" t="s">
        <v>12</v>
      </c>
      <c r="D13" s="30">
        <v>0</v>
      </c>
      <c r="E13" s="2">
        <v>0</v>
      </c>
      <c r="F13" s="6">
        <f t="shared" si="0"/>
        <v>0</v>
      </c>
      <c r="G13" s="30">
        <f>1.33*60</f>
        <v>79.800000000000011</v>
      </c>
      <c r="H13" s="30">
        <f>60*6.48</f>
        <v>388.8</v>
      </c>
      <c r="I13" s="30">
        <f>60*2.48</f>
        <v>148.80000000000001</v>
      </c>
      <c r="J13" s="2">
        <v>56</v>
      </c>
      <c r="K13" s="6">
        <f t="shared" si="1"/>
        <v>68.02000000000001</v>
      </c>
      <c r="L13" s="23">
        <v>4</v>
      </c>
    </row>
    <row r="14" spans="1:13" s="2" customFormat="1" ht="18" customHeight="1">
      <c r="A14" s="2" t="s">
        <v>10</v>
      </c>
      <c r="B14" s="3">
        <v>43893</v>
      </c>
      <c r="C14" s="2" t="s">
        <v>26</v>
      </c>
      <c r="D14" s="30">
        <f>0.57*60</f>
        <v>34.199999999999996</v>
      </c>
      <c r="E14" s="2">
        <v>135</v>
      </c>
      <c r="F14" s="6">
        <f t="shared" si="0"/>
        <v>94.68</v>
      </c>
      <c r="G14" s="30">
        <f>0.07*60</f>
        <v>4.2</v>
      </c>
      <c r="H14" s="30">
        <f>60*6.08</f>
        <v>364.8</v>
      </c>
      <c r="I14" s="30">
        <v>0</v>
      </c>
      <c r="J14" s="2">
        <v>62</v>
      </c>
      <c r="K14" s="6">
        <f t="shared" si="1"/>
        <v>11.260000000000002</v>
      </c>
      <c r="L14" s="26">
        <v>3</v>
      </c>
    </row>
    <row r="15" spans="1:13" s="2" customFormat="1" ht="19" customHeight="1">
      <c r="A15" s="2" t="s">
        <v>11</v>
      </c>
      <c r="B15" s="3">
        <v>43894</v>
      </c>
      <c r="C15" s="2" t="s">
        <v>14</v>
      </c>
      <c r="D15" s="30">
        <f>0.33*60</f>
        <v>19.8</v>
      </c>
      <c r="E15" s="2">
        <v>178</v>
      </c>
      <c r="F15" s="6">
        <f t="shared" si="0"/>
        <v>114.72</v>
      </c>
      <c r="G15" s="30">
        <f>0.18*60</f>
        <v>10.799999999999999</v>
      </c>
      <c r="H15" s="30">
        <f>60*5.28</f>
        <v>316.8</v>
      </c>
      <c r="I15" s="30">
        <f>60*1.67</f>
        <v>100.19999999999999</v>
      </c>
      <c r="J15" s="2">
        <v>58</v>
      </c>
      <c r="K15" s="6">
        <f t="shared" si="1"/>
        <v>47.480000000000004</v>
      </c>
      <c r="L15" s="25">
        <v>2</v>
      </c>
    </row>
    <row r="16" spans="1:13" s="2" customFormat="1">
      <c r="A16" s="2" t="s">
        <v>5</v>
      </c>
      <c r="B16" s="3">
        <v>43895</v>
      </c>
      <c r="C16" s="2" t="s">
        <v>14</v>
      </c>
      <c r="D16" s="30">
        <f>0.55*60</f>
        <v>33</v>
      </c>
      <c r="E16" s="2">
        <v>184</v>
      </c>
      <c r="F16" s="6">
        <f t="shared" si="0"/>
        <v>123.6</v>
      </c>
      <c r="G16" s="30">
        <f>0.08*60</f>
        <v>4.8</v>
      </c>
      <c r="H16" s="30">
        <f>60*7.03</f>
        <v>421.8</v>
      </c>
      <c r="I16" s="30">
        <f>60*1.3</f>
        <v>78</v>
      </c>
      <c r="J16" s="2">
        <v>56</v>
      </c>
      <c r="K16" s="6">
        <f t="shared" si="1"/>
        <v>50.5</v>
      </c>
      <c r="L16" s="23">
        <v>4</v>
      </c>
    </row>
    <row r="17" spans="1:13" s="2" customFormat="1">
      <c r="A17" s="2" t="s">
        <v>6</v>
      </c>
      <c r="B17" s="3">
        <v>43896</v>
      </c>
      <c r="C17" s="2" t="s">
        <v>12</v>
      </c>
      <c r="D17" s="30">
        <v>0</v>
      </c>
      <c r="E17" s="2">
        <v>0</v>
      </c>
      <c r="F17" s="6">
        <f t="shared" si="0"/>
        <v>0</v>
      </c>
      <c r="G17" s="30">
        <f>0.36*60</f>
        <v>21.599999999999998</v>
      </c>
      <c r="H17" s="30">
        <f>60*6.33</f>
        <v>379.8</v>
      </c>
      <c r="I17" s="30">
        <f>60*2.53</f>
        <v>151.79999999999998</v>
      </c>
      <c r="J17" s="2">
        <v>53</v>
      </c>
      <c r="K17" s="6">
        <f t="shared" si="1"/>
        <v>75.34</v>
      </c>
      <c r="L17" s="24">
        <v>5</v>
      </c>
    </row>
    <row r="18" spans="1:13" s="2" customFormat="1">
      <c r="A18" s="2" t="s">
        <v>7</v>
      </c>
      <c r="B18" s="3">
        <v>43897</v>
      </c>
      <c r="C18" s="2" t="s">
        <v>14</v>
      </c>
      <c r="D18" s="30">
        <f>0.78*60</f>
        <v>46.800000000000004</v>
      </c>
      <c r="E18" s="2">
        <v>181</v>
      </c>
      <c r="F18" s="6">
        <f t="shared" si="0"/>
        <v>127.32</v>
      </c>
      <c r="G18" s="30">
        <f>2.08*60</f>
        <v>124.80000000000001</v>
      </c>
      <c r="H18" s="30">
        <f>60*6.73</f>
        <v>403.8</v>
      </c>
      <c r="I18" s="30">
        <f>60*0.72</f>
        <v>43.199999999999996</v>
      </c>
      <c r="J18" s="2">
        <v>57</v>
      </c>
      <c r="K18" s="6">
        <f t="shared" si="1"/>
        <v>22.379999999999992</v>
      </c>
      <c r="L18" s="23">
        <v>4</v>
      </c>
    </row>
    <row r="19" spans="1:13" s="2" customFormat="1">
      <c r="A19" s="2" t="s">
        <v>8</v>
      </c>
      <c r="B19" s="3">
        <v>43898</v>
      </c>
      <c r="C19" s="2" t="s">
        <v>14</v>
      </c>
      <c r="D19" s="30">
        <f>0.55*60</f>
        <v>33</v>
      </c>
      <c r="E19" s="2">
        <v>174</v>
      </c>
      <c r="F19" s="6">
        <f t="shared" si="0"/>
        <v>117.6</v>
      </c>
      <c r="G19" s="30">
        <f>60*0.17</f>
        <v>10.200000000000001</v>
      </c>
      <c r="H19" s="30">
        <f>60*5.73</f>
        <v>343.8</v>
      </c>
      <c r="I19" s="30">
        <f>60*1.5</f>
        <v>90</v>
      </c>
      <c r="J19" s="2">
        <v>58</v>
      </c>
      <c r="K19" s="6">
        <f t="shared" si="1"/>
        <v>46.16</v>
      </c>
      <c r="L19" s="26">
        <v>3</v>
      </c>
      <c r="M19" s="2" t="s">
        <v>47</v>
      </c>
    </row>
    <row r="20" spans="1:13" s="2" customFormat="1">
      <c r="A20" s="2" t="s">
        <v>9</v>
      </c>
      <c r="B20" s="3">
        <v>43899</v>
      </c>
      <c r="C20" s="2" t="s">
        <v>12</v>
      </c>
      <c r="D20" s="30">
        <v>0</v>
      </c>
      <c r="E20" s="2">
        <v>0</v>
      </c>
      <c r="F20" s="6">
        <f t="shared" si="0"/>
        <v>0</v>
      </c>
      <c r="G20" s="30">
        <f>60*1.25</f>
        <v>75</v>
      </c>
      <c r="H20" s="30">
        <f>60*7.5</f>
        <v>450</v>
      </c>
      <c r="I20" s="30">
        <f>60*2</f>
        <v>120</v>
      </c>
      <c r="J20" s="2">
        <v>53</v>
      </c>
      <c r="K20" s="6">
        <f t="shared" si="1"/>
        <v>64.3</v>
      </c>
      <c r="L20" s="26">
        <v>3</v>
      </c>
    </row>
    <row r="21" spans="1:13" s="2" customFormat="1">
      <c r="A21" s="2" t="s">
        <v>10</v>
      </c>
      <c r="B21" s="3">
        <v>43900</v>
      </c>
      <c r="C21" s="2" t="s">
        <v>26</v>
      </c>
      <c r="D21" s="30">
        <f>0.9*60</f>
        <v>54</v>
      </c>
      <c r="E21" s="2">
        <v>127</v>
      </c>
      <c r="F21" s="6">
        <f t="shared" si="0"/>
        <v>97.800000000000011</v>
      </c>
      <c r="G21" s="30" t="s">
        <v>12</v>
      </c>
      <c r="H21" s="30" t="s">
        <v>12</v>
      </c>
      <c r="I21" s="30" t="s">
        <v>12</v>
      </c>
      <c r="J21" s="2" t="s">
        <v>12</v>
      </c>
      <c r="K21" s="6" t="s">
        <v>12</v>
      </c>
      <c r="L21" s="25">
        <v>2</v>
      </c>
      <c r="M21" s="2" t="s">
        <v>48</v>
      </c>
    </row>
    <row r="22" spans="1:13" s="2" customFormat="1">
      <c r="A22" s="2" t="s">
        <v>11</v>
      </c>
      <c r="B22" s="3">
        <v>43901</v>
      </c>
      <c r="C22" s="2" t="s">
        <v>14</v>
      </c>
      <c r="D22" s="30">
        <f>1*60</f>
        <v>60</v>
      </c>
      <c r="E22" s="2">
        <v>178</v>
      </c>
      <c r="F22" s="6">
        <f t="shared" si="0"/>
        <v>130.80000000000001</v>
      </c>
      <c r="G22" s="30">
        <f>60*0.78</f>
        <v>46.800000000000004</v>
      </c>
      <c r="H22" s="30">
        <f>60*4.78</f>
        <v>286.8</v>
      </c>
      <c r="I22" s="30">
        <f>60*0.75</f>
        <v>45</v>
      </c>
      <c r="J22" s="2">
        <v>57</v>
      </c>
      <c r="K22" s="6">
        <f t="shared" si="1"/>
        <v>19.2</v>
      </c>
      <c r="L22" s="27">
        <v>1</v>
      </c>
      <c r="M22" s="2" t="s">
        <v>49</v>
      </c>
    </row>
    <row r="23" spans="1:13" s="2" customFormat="1">
      <c r="A23" s="2" t="s">
        <v>5</v>
      </c>
      <c r="B23" s="3">
        <v>43902</v>
      </c>
      <c r="C23" s="2" t="s">
        <v>4</v>
      </c>
      <c r="D23" s="30">
        <f>0.55*60</f>
        <v>33</v>
      </c>
      <c r="E23" s="2">
        <v>94</v>
      </c>
      <c r="F23" s="6">
        <f t="shared" si="0"/>
        <v>69.599999999999994</v>
      </c>
      <c r="G23" s="30">
        <f>60*0.17</f>
        <v>10.200000000000001</v>
      </c>
      <c r="H23" s="30">
        <f>60*7.73</f>
        <v>463.8</v>
      </c>
      <c r="I23" s="30">
        <f>60*0.98</f>
        <v>58.8</v>
      </c>
      <c r="J23" s="2">
        <v>55</v>
      </c>
      <c r="K23" s="6">
        <f t="shared" si="1"/>
        <v>46.879999999999995</v>
      </c>
      <c r="L23" s="26">
        <v>3</v>
      </c>
      <c r="M23" s="2" t="s">
        <v>51</v>
      </c>
    </row>
    <row r="24" spans="1:13" s="2" customFormat="1">
      <c r="A24" s="2" t="s">
        <v>6</v>
      </c>
      <c r="B24" s="3">
        <v>43903</v>
      </c>
      <c r="C24" s="2" t="s">
        <v>4</v>
      </c>
      <c r="D24" s="30">
        <f>0.55*60</f>
        <v>33</v>
      </c>
      <c r="E24" s="2">
        <v>102</v>
      </c>
      <c r="F24" s="6">
        <f t="shared" si="0"/>
        <v>74.399999999999991</v>
      </c>
      <c r="G24" s="30">
        <f>60*0.25</f>
        <v>15</v>
      </c>
      <c r="H24" s="30">
        <f>60*5.47</f>
        <v>328.2</v>
      </c>
      <c r="I24" s="30">
        <v>0</v>
      </c>
      <c r="J24" s="2">
        <v>56</v>
      </c>
      <c r="K24" s="6">
        <f t="shared" si="1"/>
        <v>8.9199999999999982</v>
      </c>
      <c r="L24" s="27">
        <v>1</v>
      </c>
    </row>
    <row r="25" spans="1:13" s="2" customFormat="1">
      <c r="A25" s="2" t="s">
        <v>7</v>
      </c>
      <c r="B25" s="3">
        <v>43904</v>
      </c>
      <c r="C25" s="2" t="s">
        <v>14</v>
      </c>
      <c r="D25" s="30">
        <f>0.75*60</f>
        <v>45</v>
      </c>
      <c r="E25" s="2">
        <v>178</v>
      </c>
      <c r="F25" s="6">
        <f t="shared" si="0"/>
        <v>124.8</v>
      </c>
      <c r="G25" s="30">
        <f>60*1</f>
        <v>60</v>
      </c>
      <c r="H25" s="30">
        <f>60*4.43</f>
        <v>265.79999999999995</v>
      </c>
      <c r="I25" s="30">
        <f>60*0.83</f>
        <v>49.8</v>
      </c>
      <c r="J25" s="2">
        <v>56</v>
      </c>
      <c r="K25" s="6">
        <f t="shared" si="1"/>
        <v>18.099999999999998</v>
      </c>
      <c r="L25" s="27">
        <v>1</v>
      </c>
    </row>
    <row r="26" spans="1:13" s="2" customFormat="1">
      <c r="A26" s="2" t="s">
        <v>8</v>
      </c>
      <c r="B26" s="3">
        <v>43905</v>
      </c>
      <c r="C26" s="2" t="s">
        <v>14</v>
      </c>
      <c r="D26" s="30">
        <f>1.92*60</f>
        <v>115.19999999999999</v>
      </c>
      <c r="E26" s="2">
        <v>172</v>
      </c>
      <c r="F26" s="6">
        <f t="shared" si="0"/>
        <v>149.28</v>
      </c>
      <c r="G26" s="30">
        <f>60*1.25</f>
        <v>75</v>
      </c>
      <c r="H26" s="30">
        <f>60*3.43</f>
        <v>205.8</v>
      </c>
      <c r="I26" s="30">
        <f>60*0.9</f>
        <v>54</v>
      </c>
      <c r="J26" s="2">
        <v>56</v>
      </c>
      <c r="K26" s="6">
        <f t="shared" si="1"/>
        <v>12.280000000000005</v>
      </c>
      <c r="L26" s="22">
        <v>0</v>
      </c>
      <c r="M26" s="2" t="s">
        <v>53</v>
      </c>
    </row>
    <row r="27" spans="1:13" s="2" customFormat="1">
      <c r="A27" s="2" t="s">
        <v>9</v>
      </c>
      <c r="B27" s="3">
        <v>43906</v>
      </c>
      <c r="C27" s="2" t="s">
        <v>12</v>
      </c>
      <c r="D27" s="30">
        <v>0</v>
      </c>
      <c r="E27" s="2">
        <v>0</v>
      </c>
      <c r="F27" s="6">
        <f t="shared" si="0"/>
        <v>0</v>
      </c>
      <c r="G27" s="30">
        <f>60*0.5</f>
        <v>30</v>
      </c>
      <c r="H27" s="30">
        <f>60*3.83</f>
        <v>229.8</v>
      </c>
      <c r="I27" s="30">
        <f>60*1.37</f>
        <v>82.2</v>
      </c>
      <c r="J27" s="2">
        <v>53</v>
      </c>
      <c r="K27" s="6">
        <f t="shared" si="1"/>
        <v>31.660000000000004</v>
      </c>
      <c r="L27" s="25">
        <v>2</v>
      </c>
    </row>
    <row r="28" spans="1:13" s="2" customFormat="1">
      <c r="A28" s="2" t="s">
        <v>10</v>
      </c>
      <c r="B28" s="3">
        <v>43907</v>
      </c>
      <c r="C28" s="2" t="s">
        <v>50</v>
      </c>
      <c r="D28" s="30">
        <f>0.9*60</f>
        <v>54</v>
      </c>
      <c r="E28" s="2">
        <v>122</v>
      </c>
      <c r="F28" s="6">
        <f t="shared" si="0"/>
        <v>94.800000000000011</v>
      </c>
      <c r="G28" s="30">
        <f>60*0.13</f>
        <v>7.8000000000000007</v>
      </c>
      <c r="H28" s="30">
        <f>60*4.93</f>
        <v>295.79999999999995</v>
      </c>
      <c r="I28" s="30">
        <f>60*0.52</f>
        <v>31.200000000000003</v>
      </c>
      <c r="J28" s="2">
        <v>53</v>
      </c>
      <c r="K28" s="6">
        <f t="shared" si="1"/>
        <v>20.079999999999998</v>
      </c>
      <c r="L28" s="23">
        <v>4</v>
      </c>
      <c r="M28" s="2" t="s">
        <v>52</v>
      </c>
    </row>
    <row r="29" spans="1:13">
      <c r="A29" s="2" t="s">
        <v>11</v>
      </c>
      <c r="B29" s="3">
        <v>43908</v>
      </c>
      <c r="C29" s="2" t="s">
        <v>12</v>
      </c>
      <c r="D29" s="30">
        <v>0</v>
      </c>
      <c r="E29" s="2">
        <v>0</v>
      </c>
      <c r="F29" s="6">
        <f t="shared" si="0"/>
        <v>0</v>
      </c>
      <c r="G29" s="30">
        <f>60*0.15</f>
        <v>9</v>
      </c>
      <c r="H29" s="30">
        <f>60*4.73</f>
        <v>283.8</v>
      </c>
      <c r="I29" s="30">
        <f>60*1.67</f>
        <v>100.19999999999999</v>
      </c>
      <c r="J29" s="2">
        <v>54</v>
      </c>
      <c r="K29" s="6">
        <f t="shared" si="1"/>
        <v>45.96</v>
      </c>
      <c r="L29" s="26">
        <v>3</v>
      </c>
    </row>
    <row r="30" spans="1:13">
      <c r="A30" s="2" t="s">
        <v>5</v>
      </c>
      <c r="B30" s="3">
        <v>43909</v>
      </c>
      <c r="C30" s="2" t="s">
        <v>14</v>
      </c>
      <c r="D30" s="30">
        <f>1.07*60</f>
        <v>64.2</v>
      </c>
      <c r="E30" s="2">
        <v>179</v>
      </c>
      <c r="F30" s="6">
        <f t="shared" si="0"/>
        <v>133.07999999999998</v>
      </c>
      <c r="G30" s="30">
        <f>60*0.25</f>
        <v>15</v>
      </c>
      <c r="H30" s="30">
        <f>60*6.22</f>
        <v>373.2</v>
      </c>
      <c r="I30" s="30">
        <f>60*0.8</f>
        <v>48</v>
      </c>
      <c r="J30" s="2">
        <v>57</v>
      </c>
      <c r="K30" s="6">
        <f t="shared" si="1"/>
        <v>32.22</v>
      </c>
      <c r="L30" s="26">
        <v>3</v>
      </c>
    </row>
    <row r="31" spans="1:13">
      <c r="A31" s="2" t="s">
        <v>6</v>
      </c>
      <c r="B31" s="3">
        <v>43910</v>
      </c>
      <c r="C31" s="2" t="s">
        <v>12</v>
      </c>
      <c r="D31" s="30">
        <v>0</v>
      </c>
      <c r="E31" s="2">
        <v>0</v>
      </c>
      <c r="F31" s="6">
        <f t="shared" si="0"/>
        <v>0</v>
      </c>
      <c r="G31" s="30">
        <f>60*0.17</f>
        <v>10.200000000000001</v>
      </c>
      <c r="H31" s="30">
        <f>60*6.12</f>
        <v>367.2</v>
      </c>
      <c r="I31" s="30">
        <f>60*2.53</f>
        <v>151.79999999999998</v>
      </c>
      <c r="J31" s="2">
        <v>53</v>
      </c>
      <c r="K31" s="6">
        <f t="shared" si="1"/>
        <v>75.219999999999985</v>
      </c>
      <c r="L31" s="23">
        <v>4</v>
      </c>
    </row>
    <row r="32" spans="1:13">
      <c r="A32" s="2" t="s">
        <v>7</v>
      </c>
      <c r="B32" s="3">
        <v>43911</v>
      </c>
      <c r="C32" s="2" t="s">
        <v>14</v>
      </c>
      <c r="D32" s="30">
        <f>1.05*60</f>
        <v>63</v>
      </c>
      <c r="E32" s="2">
        <v>178</v>
      </c>
      <c r="F32" s="6">
        <f t="shared" si="0"/>
        <v>132</v>
      </c>
      <c r="G32" s="30">
        <f>60*0.13</f>
        <v>7.8000000000000007</v>
      </c>
      <c r="H32" s="30">
        <f>60*6.57</f>
        <v>394.20000000000005</v>
      </c>
      <c r="I32" s="30">
        <f>60*1.02</f>
        <v>61.2</v>
      </c>
      <c r="J32" s="2">
        <v>58</v>
      </c>
      <c r="K32" s="6">
        <f t="shared" si="1"/>
        <v>39.920000000000009</v>
      </c>
      <c r="L32" s="25">
        <v>2</v>
      </c>
    </row>
    <row r="33" spans="1:13">
      <c r="A33" s="2" t="s">
        <v>8</v>
      </c>
      <c r="B33" s="3">
        <v>43912</v>
      </c>
      <c r="C33" s="2" t="s">
        <v>14</v>
      </c>
      <c r="D33" s="30">
        <f>2.12*60</f>
        <v>127.2</v>
      </c>
      <c r="E33" s="2">
        <v>179</v>
      </c>
      <c r="F33" s="6">
        <f t="shared" si="0"/>
        <v>158.28</v>
      </c>
      <c r="G33" s="30">
        <f>60*1.25</f>
        <v>75</v>
      </c>
      <c r="H33" s="30">
        <f>60*4.48</f>
        <v>268.8</v>
      </c>
      <c r="I33" s="30">
        <f>60*0.7</f>
        <v>42</v>
      </c>
      <c r="J33" s="2">
        <v>60</v>
      </c>
      <c r="K33" s="6">
        <f t="shared" si="1"/>
        <v>12.180000000000007</v>
      </c>
      <c r="L33" s="27">
        <v>1</v>
      </c>
      <c r="M33" t="s">
        <v>54</v>
      </c>
    </row>
    <row r="34" spans="1:13">
      <c r="A34" s="2" t="s">
        <v>9</v>
      </c>
      <c r="B34" s="3">
        <v>43913</v>
      </c>
      <c r="C34" s="2" t="s">
        <v>12</v>
      </c>
      <c r="D34" s="30">
        <v>0</v>
      </c>
      <c r="E34" s="2">
        <v>0</v>
      </c>
      <c r="F34" s="6">
        <f t="shared" si="0"/>
        <v>0</v>
      </c>
      <c r="G34" s="30">
        <f>60*0.35</f>
        <v>21</v>
      </c>
      <c r="H34" s="30">
        <f>60*7.13</f>
        <v>427.8</v>
      </c>
      <c r="I34" s="30">
        <f>60*0.73</f>
        <v>43.8</v>
      </c>
      <c r="J34" s="2">
        <v>56</v>
      </c>
      <c r="K34" s="6">
        <f t="shared" si="1"/>
        <v>35.799999999999997</v>
      </c>
      <c r="L34" s="23">
        <v>4</v>
      </c>
    </row>
    <row r="35" spans="1:13">
      <c r="A35" s="2" t="s">
        <v>10</v>
      </c>
      <c r="B35" s="3">
        <v>43914</v>
      </c>
      <c r="C35" s="2" t="s">
        <v>50</v>
      </c>
      <c r="D35" s="30">
        <f>0.78*60</f>
        <v>46.800000000000004</v>
      </c>
      <c r="E35" s="2">
        <v>141</v>
      </c>
      <c r="F35" s="6">
        <f t="shared" si="0"/>
        <v>103.32</v>
      </c>
      <c r="G35" s="30">
        <f>60*0.4</f>
        <v>24</v>
      </c>
      <c r="H35" s="30">
        <f>60*5.78</f>
        <v>346.8</v>
      </c>
      <c r="I35" s="30">
        <f>60*0.75</f>
        <v>45</v>
      </c>
      <c r="J35" s="2">
        <v>57</v>
      </c>
      <c r="K35" s="6">
        <f t="shared" si="1"/>
        <v>27.48</v>
      </c>
      <c r="L35" s="23">
        <v>4</v>
      </c>
    </row>
    <row r="36" spans="1:13">
      <c r="A36" s="2" t="s">
        <v>11</v>
      </c>
      <c r="B36" s="3">
        <v>43915</v>
      </c>
      <c r="C36" s="2" t="s">
        <v>14</v>
      </c>
      <c r="D36" s="30">
        <f>1.12*60</f>
        <v>67.2</v>
      </c>
      <c r="E36" s="2">
        <v>178</v>
      </c>
      <c r="F36" s="6">
        <f t="shared" si="0"/>
        <v>133.68</v>
      </c>
      <c r="G36" s="30">
        <f>60*0.1</f>
        <v>6</v>
      </c>
      <c r="H36" s="30">
        <f>60*7.87</f>
        <v>472.2</v>
      </c>
      <c r="I36" s="30">
        <f>60*1.52</f>
        <v>91.2</v>
      </c>
      <c r="J36" s="2">
        <v>57</v>
      </c>
      <c r="K36" s="6">
        <f t="shared" si="1"/>
        <v>60.3</v>
      </c>
      <c r="L36" s="25">
        <v>2</v>
      </c>
    </row>
    <row r="37" spans="1:13">
      <c r="A37" s="2" t="s">
        <v>5</v>
      </c>
      <c r="B37" s="3">
        <v>43916</v>
      </c>
      <c r="C37" s="2" t="s">
        <v>12</v>
      </c>
      <c r="D37" s="30">
        <v>0</v>
      </c>
      <c r="E37" s="2">
        <v>0</v>
      </c>
      <c r="F37" s="6">
        <f t="shared" si="0"/>
        <v>0</v>
      </c>
      <c r="G37" s="30">
        <f>60*0.92</f>
        <v>55.2</v>
      </c>
      <c r="H37" s="30">
        <f>60*6</f>
        <v>360</v>
      </c>
      <c r="I37" s="30">
        <f>60*2.33</f>
        <v>139.80000000000001</v>
      </c>
      <c r="J37" s="2">
        <v>51</v>
      </c>
      <c r="K37" s="6">
        <f t="shared" si="1"/>
        <v>66</v>
      </c>
      <c r="L37" s="23">
        <v>4</v>
      </c>
      <c r="M37" t="s">
        <v>61</v>
      </c>
    </row>
    <row r="38" spans="1:13">
      <c r="A38" s="2" t="s">
        <v>6</v>
      </c>
      <c r="B38" s="3">
        <v>43917</v>
      </c>
      <c r="C38" s="2" t="s">
        <v>12</v>
      </c>
      <c r="D38" s="30">
        <v>0</v>
      </c>
      <c r="E38" s="2">
        <v>0</v>
      </c>
      <c r="F38" s="6">
        <f t="shared" si="0"/>
        <v>0</v>
      </c>
      <c r="G38" s="30">
        <f>60*0.1</f>
        <v>6</v>
      </c>
      <c r="H38" s="30">
        <f>60*6.73</f>
        <v>403.8</v>
      </c>
      <c r="I38" s="30">
        <f>60*0.77</f>
        <v>46.2</v>
      </c>
      <c r="J38" s="2">
        <v>52</v>
      </c>
      <c r="K38" s="6">
        <f t="shared" si="1"/>
        <v>37.460000000000008</v>
      </c>
      <c r="L38" s="26">
        <v>3</v>
      </c>
      <c r="M38" t="s">
        <v>62</v>
      </c>
    </row>
    <row r="39" spans="1:13">
      <c r="A39" s="2" t="s">
        <v>7</v>
      </c>
      <c r="B39" s="3">
        <v>43918</v>
      </c>
      <c r="C39" s="2" t="s">
        <v>24</v>
      </c>
      <c r="D39" s="30">
        <f>0.87*60</f>
        <v>52.2</v>
      </c>
      <c r="E39" s="2">
        <v>158</v>
      </c>
      <c r="F39" s="6">
        <f t="shared" si="0"/>
        <v>115.68</v>
      </c>
      <c r="G39" s="30">
        <f>60*0.43</f>
        <v>25.8</v>
      </c>
      <c r="H39" s="30">
        <f>60*6.73</f>
        <v>403.8</v>
      </c>
      <c r="I39" s="30">
        <f>60*1.55</f>
        <v>93</v>
      </c>
      <c r="J39" s="2">
        <v>56</v>
      </c>
      <c r="K39" s="6">
        <f t="shared" si="1"/>
        <v>52.599999999999994</v>
      </c>
      <c r="L39" s="26">
        <v>3</v>
      </c>
      <c r="M39" t="s">
        <v>63</v>
      </c>
    </row>
    <row r="40" spans="1:13">
      <c r="A40" s="2" t="s">
        <v>8</v>
      </c>
      <c r="B40" s="3">
        <v>43919</v>
      </c>
      <c r="C40" s="2" t="s">
        <v>14</v>
      </c>
      <c r="D40" s="30">
        <f>2.42*60</f>
        <v>145.19999999999999</v>
      </c>
      <c r="E40" s="2">
        <v>175</v>
      </c>
      <c r="F40" s="6">
        <f t="shared" si="0"/>
        <v>163.07999999999998</v>
      </c>
      <c r="G40" s="30">
        <f>60*0.75</f>
        <v>45</v>
      </c>
      <c r="H40" s="30">
        <f>60*5.83</f>
        <v>349.8</v>
      </c>
      <c r="I40" s="30">
        <f>60*0.75</f>
        <v>45</v>
      </c>
      <c r="J40" s="2">
        <v>60</v>
      </c>
      <c r="K40" s="6">
        <f t="shared" si="1"/>
        <v>24.480000000000004</v>
      </c>
      <c r="L40" s="25">
        <v>2</v>
      </c>
      <c r="M40" t="s">
        <v>64</v>
      </c>
    </row>
    <row r="41" spans="1:13">
      <c r="A41" s="2" t="s">
        <v>9</v>
      </c>
      <c r="B41" s="3">
        <v>43920</v>
      </c>
      <c r="C41" s="2" t="s">
        <v>12</v>
      </c>
      <c r="D41" s="30">
        <v>0</v>
      </c>
      <c r="E41" s="2">
        <v>0</v>
      </c>
      <c r="F41" s="6">
        <f t="shared" si="0"/>
        <v>0</v>
      </c>
      <c r="G41" s="30">
        <f>60*0.6</f>
        <v>36</v>
      </c>
      <c r="H41" s="30">
        <f>60*5.28</f>
        <v>316.8</v>
      </c>
      <c r="I41" s="30">
        <f>60*1.7</f>
        <v>102</v>
      </c>
      <c r="J41" s="2">
        <v>56</v>
      </c>
      <c r="K41" s="6">
        <f t="shared" si="1"/>
        <v>46.480000000000004</v>
      </c>
      <c r="L41" s="22">
        <v>0</v>
      </c>
      <c r="M41" t="s">
        <v>65</v>
      </c>
    </row>
    <row r="42" spans="1:13">
      <c r="A42" s="2" t="s">
        <v>10</v>
      </c>
      <c r="B42" s="3">
        <v>43921</v>
      </c>
      <c r="C42" s="2" t="s">
        <v>12</v>
      </c>
      <c r="D42" s="30">
        <v>0</v>
      </c>
      <c r="E42" s="2">
        <v>0</v>
      </c>
      <c r="F42" s="6">
        <f t="shared" si="0"/>
        <v>0</v>
      </c>
      <c r="G42" s="30">
        <v>0</v>
      </c>
      <c r="H42" s="30">
        <f>60*6.85</f>
        <v>411</v>
      </c>
      <c r="I42" s="30">
        <f>60*0.75</f>
        <v>45</v>
      </c>
      <c r="J42" s="2">
        <v>54</v>
      </c>
      <c r="K42" s="6">
        <f t="shared" si="1"/>
        <v>37.5</v>
      </c>
      <c r="L42" s="26">
        <v>3</v>
      </c>
    </row>
    <row r="43" spans="1:13">
      <c r="A43" s="2" t="s">
        <v>11</v>
      </c>
      <c r="B43" s="3">
        <v>43922</v>
      </c>
      <c r="C43" s="2" t="s">
        <v>12</v>
      </c>
      <c r="D43" s="30">
        <v>0</v>
      </c>
      <c r="E43" s="2">
        <v>0</v>
      </c>
      <c r="F43" s="6">
        <f t="shared" si="0"/>
        <v>0</v>
      </c>
      <c r="G43" s="30">
        <f>60*0.25</f>
        <v>15</v>
      </c>
      <c r="H43" s="30">
        <f>60*7</f>
        <v>420</v>
      </c>
      <c r="I43" s="30">
        <f>60*0</f>
        <v>0</v>
      </c>
      <c r="J43" s="2">
        <v>55</v>
      </c>
      <c r="K43" s="6">
        <f t="shared" si="1"/>
        <v>18.5</v>
      </c>
      <c r="L43" s="23">
        <v>4</v>
      </c>
    </row>
    <row r="44" spans="1:13">
      <c r="A44" s="2" t="s">
        <v>5</v>
      </c>
      <c r="B44" s="3">
        <v>43923</v>
      </c>
      <c r="C44" s="2" t="s">
        <v>12</v>
      </c>
      <c r="D44" s="30">
        <v>0</v>
      </c>
      <c r="E44" s="2">
        <v>0</v>
      </c>
      <c r="F44" s="6">
        <f t="shared" si="0"/>
        <v>0</v>
      </c>
      <c r="G44" s="30">
        <v>8</v>
      </c>
      <c r="H44" s="30">
        <v>379</v>
      </c>
      <c r="I44" s="30">
        <v>29</v>
      </c>
      <c r="J44" s="2">
        <v>58</v>
      </c>
      <c r="K44" s="6">
        <f t="shared" si="1"/>
        <v>25.5</v>
      </c>
      <c r="L44" s="25">
        <v>2</v>
      </c>
      <c r="M44" t="s">
        <v>66</v>
      </c>
    </row>
    <row r="45" spans="1:13">
      <c r="A45" s="2" t="s">
        <v>6</v>
      </c>
      <c r="B45" s="3">
        <v>43924</v>
      </c>
      <c r="C45" s="2" t="s">
        <v>12</v>
      </c>
      <c r="D45" s="30">
        <v>0</v>
      </c>
      <c r="E45" s="2">
        <v>0</v>
      </c>
      <c r="F45" s="6">
        <f t="shared" si="0"/>
        <v>0</v>
      </c>
      <c r="G45" s="30">
        <v>28</v>
      </c>
      <c r="H45" s="30">
        <v>339</v>
      </c>
      <c r="I45" s="30">
        <v>29</v>
      </c>
      <c r="J45" s="2">
        <v>55</v>
      </c>
      <c r="K45" s="6">
        <f t="shared" si="1"/>
        <v>20.700000000000003</v>
      </c>
      <c r="L45" s="26">
        <v>3</v>
      </c>
      <c r="M45" t="s">
        <v>67</v>
      </c>
    </row>
    <row r="46" spans="1:13">
      <c r="A46" s="2" t="s">
        <v>7</v>
      </c>
      <c r="B46" s="3">
        <v>43925</v>
      </c>
      <c r="C46" s="2" t="s">
        <v>12</v>
      </c>
      <c r="D46" s="30">
        <v>0</v>
      </c>
      <c r="E46" s="2">
        <v>0</v>
      </c>
      <c r="F46" s="6">
        <f t="shared" si="0"/>
        <v>0</v>
      </c>
      <c r="G46" s="30">
        <v>27</v>
      </c>
      <c r="H46" s="30">
        <v>405</v>
      </c>
      <c r="I46" s="30">
        <v>30</v>
      </c>
      <c r="J46" s="2">
        <v>58</v>
      </c>
      <c r="K46" s="6">
        <f t="shared" si="1"/>
        <v>26.599999999999994</v>
      </c>
      <c r="L46" s="26">
        <v>3</v>
      </c>
    </row>
    <row r="47" spans="1:13">
      <c r="A47" s="2" t="s">
        <v>8</v>
      </c>
      <c r="B47" s="3">
        <v>43926</v>
      </c>
      <c r="C47" s="2" t="s">
        <v>12</v>
      </c>
      <c r="D47" s="30">
        <v>0</v>
      </c>
      <c r="E47" s="2">
        <v>0</v>
      </c>
      <c r="F47" s="6">
        <f t="shared" si="0"/>
        <v>0</v>
      </c>
      <c r="G47" s="2">
        <v>126</v>
      </c>
      <c r="H47" s="30">
        <v>353</v>
      </c>
      <c r="I47" s="30">
        <v>80</v>
      </c>
      <c r="J47" s="2">
        <v>54</v>
      </c>
      <c r="K47" s="6">
        <f t="shared" si="1"/>
        <v>33.1</v>
      </c>
    </row>
    <row r="48" spans="1:13">
      <c r="A48" s="2" t="s">
        <v>9</v>
      </c>
      <c r="B48" s="3">
        <v>43927</v>
      </c>
      <c r="C48" s="2" t="s">
        <v>12</v>
      </c>
      <c r="D48" s="30">
        <v>0</v>
      </c>
      <c r="E48" s="2">
        <v>0</v>
      </c>
      <c r="F48" s="6">
        <f t="shared" si="0"/>
        <v>0</v>
      </c>
      <c r="G48" s="2">
        <v>64</v>
      </c>
      <c r="H48" s="30">
        <v>326</v>
      </c>
      <c r="I48" s="30">
        <v>0</v>
      </c>
      <c r="J48" s="2">
        <v>55</v>
      </c>
      <c r="K48" s="6">
        <f t="shared" si="1"/>
        <v>4.2000000000000028</v>
      </c>
    </row>
    <row r="49" spans="1:13">
      <c r="A49" s="2" t="s">
        <v>10</v>
      </c>
      <c r="B49" s="3">
        <v>43928</v>
      </c>
      <c r="C49" s="2" t="s">
        <v>12</v>
      </c>
      <c r="D49" s="30">
        <v>0</v>
      </c>
      <c r="E49" s="2">
        <v>0</v>
      </c>
      <c r="F49" s="6">
        <f t="shared" si="0"/>
        <v>0</v>
      </c>
      <c r="G49" s="2">
        <v>1</v>
      </c>
      <c r="H49" s="30">
        <v>449</v>
      </c>
      <c r="I49" s="30">
        <v>0</v>
      </c>
      <c r="J49" s="2">
        <v>58</v>
      </c>
      <c r="K49" s="6">
        <f t="shared" si="1"/>
        <v>21.6</v>
      </c>
      <c r="L49" s="26">
        <v>3</v>
      </c>
      <c r="M49" t="s">
        <v>68</v>
      </c>
    </row>
    <row r="50" spans="1:13">
      <c r="A50" s="2" t="s">
        <v>11</v>
      </c>
      <c r="B50" s="3">
        <v>43929</v>
      </c>
      <c r="C50" s="2" t="s">
        <v>12</v>
      </c>
      <c r="D50" s="30">
        <v>0</v>
      </c>
      <c r="E50" s="2">
        <v>0</v>
      </c>
      <c r="F50" s="6">
        <f t="shared" si="0"/>
        <v>0</v>
      </c>
      <c r="G50" s="2">
        <v>57</v>
      </c>
      <c r="H50" s="30">
        <v>344</v>
      </c>
      <c r="I50" s="30">
        <v>44</v>
      </c>
      <c r="J50" s="2">
        <v>59</v>
      </c>
      <c r="K50" s="6">
        <f>-(G49*0.1)+(H49*0.1)+(I49*0.4)-(J49*0.4)</f>
        <v>21.6</v>
      </c>
      <c r="L50" s="25">
        <v>2</v>
      </c>
    </row>
    <row r="51" spans="1:13">
      <c r="A51" s="2" t="s">
        <v>5</v>
      </c>
      <c r="B51" s="3">
        <v>43930</v>
      </c>
      <c r="C51" t="s">
        <v>4</v>
      </c>
      <c r="D51" s="30">
        <v>28</v>
      </c>
      <c r="E51" s="2">
        <v>132</v>
      </c>
      <c r="F51" s="6">
        <f t="shared" si="0"/>
        <v>90.4</v>
      </c>
      <c r="G51" s="2">
        <v>0</v>
      </c>
      <c r="H51" s="30">
        <v>412</v>
      </c>
      <c r="I51" s="30">
        <v>73</v>
      </c>
      <c r="J51" s="2">
        <v>58</v>
      </c>
      <c r="K51" s="6">
        <f t="shared" si="1"/>
        <v>47.2</v>
      </c>
      <c r="L51" s="26">
        <v>3</v>
      </c>
    </row>
    <row r="52" spans="1:13">
      <c r="A52" s="2" t="s">
        <v>6</v>
      </c>
      <c r="B52" s="3">
        <v>43931</v>
      </c>
      <c r="C52" s="2" t="s">
        <v>24</v>
      </c>
      <c r="D52" s="30">
        <v>25</v>
      </c>
      <c r="E52" s="2">
        <v>175</v>
      </c>
      <c r="F52" s="6">
        <f t="shared" si="0"/>
        <v>115</v>
      </c>
      <c r="G52" s="2">
        <v>17</v>
      </c>
      <c r="H52" s="30">
        <v>413</v>
      </c>
      <c r="I52" s="30">
        <v>47</v>
      </c>
      <c r="J52" s="2">
        <v>60</v>
      </c>
      <c r="K52" s="6">
        <f t="shared" si="1"/>
        <v>34.400000000000006</v>
      </c>
      <c r="L52" s="26">
        <v>3</v>
      </c>
    </row>
    <row r="53" spans="1:13">
      <c r="A53" s="2" t="s">
        <v>7</v>
      </c>
      <c r="B53" s="3">
        <v>43932</v>
      </c>
      <c r="C53" s="2" t="s">
        <v>12</v>
      </c>
      <c r="D53" s="30">
        <v>0</v>
      </c>
      <c r="E53" s="2">
        <v>0</v>
      </c>
      <c r="F53" s="6">
        <f t="shared" si="0"/>
        <v>0</v>
      </c>
      <c r="G53" s="2">
        <v>16</v>
      </c>
      <c r="H53" s="30">
        <v>385</v>
      </c>
      <c r="I53" s="30">
        <v>176</v>
      </c>
      <c r="J53" s="2">
        <v>58</v>
      </c>
      <c r="K53" s="6">
        <f t="shared" si="1"/>
        <v>84.100000000000009</v>
      </c>
      <c r="L53" s="23">
        <v>4</v>
      </c>
    </row>
    <row r="54" spans="1:13">
      <c r="A54" s="2" t="s">
        <v>8</v>
      </c>
      <c r="B54" s="3">
        <v>43933</v>
      </c>
      <c r="C54" s="2" t="s">
        <v>14</v>
      </c>
      <c r="D54" s="30">
        <v>36</v>
      </c>
      <c r="E54" s="2">
        <v>186</v>
      </c>
      <c r="F54" s="6">
        <f t="shared" si="0"/>
        <v>126</v>
      </c>
      <c r="G54" s="2">
        <v>110</v>
      </c>
      <c r="H54" s="30">
        <v>323</v>
      </c>
      <c r="I54" s="30">
        <v>44</v>
      </c>
      <c r="J54" s="2">
        <v>57</v>
      </c>
      <c r="K54" s="6">
        <f t="shared" si="1"/>
        <v>16.100000000000005</v>
      </c>
      <c r="L54" s="27">
        <v>1</v>
      </c>
    </row>
    <row r="55" spans="1:13">
      <c r="A55" s="2" t="s">
        <v>9</v>
      </c>
      <c r="B55" s="3">
        <v>43934</v>
      </c>
      <c r="C55" s="2" t="s">
        <v>12</v>
      </c>
      <c r="D55" s="30">
        <v>0</v>
      </c>
      <c r="E55" s="2">
        <v>0</v>
      </c>
      <c r="F55" s="6">
        <f>(D55*0.4) + (E55*0.6)</f>
        <v>0</v>
      </c>
      <c r="G55" s="2">
        <v>46</v>
      </c>
      <c r="H55" s="30">
        <v>380</v>
      </c>
      <c r="I55" s="30">
        <v>95</v>
      </c>
      <c r="J55" s="2">
        <v>57</v>
      </c>
      <c r="K55" s="6">
        <f t="shared" si="1"/>
        <v>48.600000000000009</v>
      </c>
    </row>
    <row r="56" spans="1:13">
      <c r="A56" s="2" t="s">
        <v>10</v>
      </c>
      <c r="B56" s="3">
        <v>43935</v>
      </c>
      <c r="C56" s="2" t="s">
        <v>12</v>
      </c>
      <c r="D56" s="30">
        <v>0</v>
      </c>
      <c r="E56" s="2">
        <v>0</v>
      </c>
      <c r="F56" s="6">
        <f>(D56*0.4) + (E56*0.6)</f>
        <v>0</v>
      </c>
      <c r="G56" s="2">
        <v>80</v>
      </c>
      <c r="H56" s="30">
        <v>382</v>
      </c>
      <c r="I56" s="30">
        <v>46</v>
      </c>
      <c r="J56" s="2">
        <v>55</v>
      </c>
      <c r="K56" s="6">
        <f t="shared" si="1"/>
        <v>26.600000000000009</v>
      </c>
    </row>
    <row r="57" spans="1:13">
      <c r="A57" s="2" t="s">
        <v>11</v>
      </c>
      <c r="B57" s="3">
        <v>43936</v>
      </c>
      <c r="C57" t="s">
        <v>4</v>
      </c>
      <c r="D57" s="30">
        <v>45</v>
      </c>
      <c r="E57" s="2">
        <v>117</v>
      </c>
      <c r="F57" s="6">
        <f t="shared" si="0"/>
        <v>88.2</v>
      </c>
      <c r="G57" s="2">
        <v>42</v>
      </c>
      <c r="H57" s="30">
        <v>288</v>
      </c>
      <c r="I57" s="30">
        <v>30</v>
      </c>
      <c r="J57" s="2">
        <v>58</v>
      </c>
      <c r="K57" s="6">
        <f t="shared" si="1"/>
        <v>13.399999999999999</v>
      </c>
    </row>
    <row r="58" spans="1:13">
      <c r="A58" s="2" t="s">
        <v>5</v>
      </c>
      <c r="B58" s="3">
        <v>43937</v>
      </c>
      <c r="C58" t="s">
        <v>14</v>
      </c>
      <c r="D58" s="30">
        <v>36</v>
      </c>
      <c r="E58" s="2">
        <v>184</v>
      </c>
      <c r="F58" s="6">
        <f t="shared" si="0"/>
        <v>124.8</v>
      </c>
      <c r="G58" s="2">
        <v>1</v>
      </c>
      <c r="H58" s="30">
        <v>413</v>
      </c>
      <c r="I58" s="30">
        <v>44</v>
      </c>
      <c r="J58" s="2">
        <v>59</v>
      </c>
      <c r="K58" s="6">
        <f t="shared" si="1"/>
        <v>35.200000000000003</v>
      </c>
    </row>
    <row r="59" spans="1:13">
      <c r="A59" s="2" t="s">
        <v>6</v>
      </c>
      <c r="B59" s="3">
        <v>43938</v>
      </c>
      <c r="C59" t="s">
        <v>12</v>
      </c>
      <c r="D59" s="30">
        <v>0</v>
      </c>
      <c r="E59" s="2">
        <v>0</v>
      </c>
      <c r="F59" s="6">
        <f t="shared" si="0"/>
        <v>0</v>
      </c>
      <c r="G59" s="2">
        <v>39</v>
      </c>
      <c r="H59" s="30">
        <v>551</v>
      </c>
      <c r="I59" s="30">
        <v>64</v>
      </c>
      <c r="J59" s="2">
        <v>56</v>
      </c>
      <c r="K59" s="6">
        <f t="shared" si="1"/>
        <v>54.400000000000006</v>
      </c>
      <c r="L59" s="25">
        <v>2</v>
      </c>
    </row>
    <row r="60" spans="1:13">
      <c r="A60" s="2" t="s">
        <v>7</v>
      </c>
      <c r="B60" s="3">
        <v>43939</v>
      </c>
      <c r="C60" t="s">
        <v>69</v>
      </c>
      <c r="D60" s="30">
        <v>77</v>
      </c>
      <c r="E60" s="2">
        <v>133</v>
      </c>
      <c r="F60" s="6">
        <f t="shared" si="0"/>
        <v>110.6</v>
      </c>
      <c r="G60" s="2">
        <v>60</v>
      </c>
      <c r="H60" s="30">
        <v>306</v>
      </c>
      <c r="I60" s="30">
        <v>0</v>
      </c>
      <c r="J60" s="2">
        <v>59</v>
      </c>
      <c r="K60" s="6">
        <f t="shared" si="1"/>
        <v>1</v>
      </c>
      <c r="L60" s="22">
        <v>0</v>
      </c>
    </row>
    <row r="61" spans="1:13">
      <c r="A61" s="2" t="s">
        <v>8</v>
      </c>
      <c r="B61" s="3">
        <v>43940</v>
      </c>
      <c r="C61" t="s">
        <v>14</v>
      </c>
      <c r="D61" s="30">
        <v>35</v>
      </c>
      <c r="E61" s="2">
        <v>180</v>
      </c>
      <c r="F61" s="6">
        <f t="shared" ref="F61:F64" si="2">(D61*0.4) + (E61*0.6)</f>
        <v>122</v>
      </c>
      <c r="G61" s="2">
        <v>10</v>
      </c>
      <c r="H61" s="30">
        <v>341</v>
      </c>
      <c r="I61" s="30">
        <v>74</v>
      </c>
      <c r="J61" s="2">
        <v>59</v>
      </c>
      <c r="K61" s="6">
        <f t="shared" ref="K61:K64" si="3">-(G61*0.1)+(H61*0.1)+(I61*0.4)-(J61*0.4)</f>
        <v>39.1</v>
      </c>
      <c r="L61" s="23">
        <v>4</v>
      </c>
    </row>
    <row r="62" spans="1:13">
      <c r="A62" s="2" t="s">
        <v>9</v>
      </c>
      <c r="B62" s="3">
        <v>43941</v>
      </c>
      <c r="C62" t="s">
        <v>26</v>
      </c>
      <c r="D62" s="30">
        <v>30</v>
      </c>
      <c r="E62" s="2">
        <v>106</v>
      </c>
      <c r="F62" s="6">
        <f t="shared" si="2"/>
        <v>75.599999999999994</v>
      </c>
      <c r="G62" s="2">
        <v>21</v>
      </c>
      <c r="H62" s="30">
        <v>340</v>
      </c>
      <c r="I62" s="30">
        <v>77</v>
      </c>
      <c r="J62" s="2">
        <v>57</v>
      </c>
      <c r="K62" s="6">
        <f t="shared" si="3"/>
        <v>39.900000000000006</v>
      </c>
      <c r="L62" s="26">
        <v>3</v>
      </c>
    </row>
    <row r="63" spans="1:13">
      <c r="A63" s="2" t="s">
        <v>10</v>
      </c>
      <c r="B63" s="3">
        <v>43942</v>
      </c>
      <c r="C63" t="s">
        <v>12</v>
      </c>
      <c r="D63" s="30">
        <v>0</v>
      </c>
      <c r="E63" s="2">
        <v>0</v>
      </c>
      <c r="F63" s="6">
        <f t="shared" si="2"/>
        <v>0</v>
      </c>
      <c r="G63" s="2">
        <v>19</v>
      </c>
      <c r="H63" s="30">
        <v>380</v>
      </c>
      <c r="I63" s="30">
        <v>60</v>
      </c>
      <c r="J63" s="2">
        <v>56</v>
      </c>
      <c r="K63" s="6">
        <f t="shared" si="3"/>
        <v>37.700000000000003</v>
      </c>
      <c r="L63" s="26">
        <v>3</v>
      </c>
    </row>
    <row r="64" spans="1:13">
      <c r="A64" s="2" t="s">
        <v>11</v>
      </c>
      <c r="B64" s="3">
        <v>43943</v>
      </c>
      <c r="C64" t="s">
        <v>14</v>
      </c>
      <c r="D64" s="30"/>
      <c r="F64" s="6">
        <f t="shared" si="2"/>
        <v>0</v>
      </c>
      <c r="G64" s="2">
        <v>6</v>
      </c>
      <c r="H64" s="30">
        <v>367</v>
      </c>
      <c r="I64" s="30">
        <v>0</v>
      </c>
      <c r="J64" s="2">
        <v>58</v>
      </c>
      <c r="K64" s="6">
        <f t="shared" si="3"/>
        <v>12.899999999999999</v>
      </c>
      <c r="L64" s="25">
        <v>2</v>
      </c>
    </row>
    <row r="65" spans="4:9">
      <c r="D65" s="6"/>
      <c r="H65" s="30"/>
      <c r="I65" s="6"/>
    </row>
    <row r="66" spans="4:9">
      <c r="D66" s="6"/>
      <c r="H66" s="30"/>
      <c r="I66" s="6"/>
    </row>
    <row r="67" spans="4:9">
      <c r="D67" s="6"/>
      <c r="H67" s="30"/>
      <c r="I67" s="6"/>
    </row>
    <row r="68" spans="4:9">
      <c r="D68" s="6"/>
      <c r="H68" s="30"/>
      <c r="I68" s="6"/>
    </row>
    <row r="69" spans="4:9">
      <c r="D69" s="6"/>
      <c r="H69" s="30"/>
      <c r="I69" s="6"/>
    </row>
    <row r="70" spans="4:9">
      <c r="D70" s="6"/>
      <c r="H70" s="30"/>
      <c r="I70" s="6"/>
    </row>
    <row r="71" spans="4:9">
      <c r="D71" s="6"/>
      <c r="H71" s="30"/>
      <c r="I71" s="6"/>
    </row>
    <row r="72" spans="4:9">
      <c r="D72" s="6"/>
      <c r="H72" s="30"/>
      <c r="I72" s="6"/>
    </row>
    <row r="73" spans="4:9">
      <c r="D73" s="6"/>
      <c r="H73" s="30"/>
      <c r="I73" s="6"/>
    </row>
    <row r="74" spans="4:9">
      <c r="D74" s="6"/>
      <c r="H74" s="30"/>
      <c r="I74" s="6"/>
    </row>
    <row r="75" spans="4:9">
      <c r="D75" s="6"/>
      <c r="H75" s="30"/>
      <c r="I75" s="6"/>
    </row>
    <row r="76" spans="4:9">
      <c r="D76" s="6"/>
      <c r="H76" s="30"/>
      <c r="I76" s="6"/>
    </row>
    <row r="77" spans="4:9">
      <c r="D77" s="6"/>
      <c r="H77" s="30"/>
      <c r="I77" s="6"/>
    </row>
    <row r="78" spans="4:9">
      <c r="D78" s="6"/>
      <c r="H78" s="30"/>
      <c r="I78" s="6"/>
    </row>
    <row r="79" spans="4:9">
      <c r="D79" s="6"/>
      <c r="H79" s="30"/>
      <c r="I79" s="6"/>
    </row>
    <row r="80" spans="4:9">
      <c r="D80" s="6"/>
      <c r="H80" s="30"/>
      <c r="I80" s="6"/>
    </row>
    <row r="81" spans="4:9">
      <c r="D81" s="6"/>
      <c r="H81" s="30"/>
      <c r="I81" s="6"/>
    </row>
    <row r="82" spans="4:9">
      <c r="D82" s="6"/>
      <c r="H82" s="30"/>
      <c r="I82" s="6"/>
    </row>
    <row r="83" spans="4:9">
      <c r="D83" s="6"/>
      <c r="H83" s="30"/>
      <c r="I83" s="6"/>
    </row>
    <row r="84" spans="4:9">
      <c r="D84" s="6"/>
      <c r="H84" s="30"/>
      <c r="I84" s="6"/>
    </row>
    <row r="85" spans="4:9">
      <c r="D85" s="6"/>
      <c r="H85" s="30"/>
      <c r="I85" s="6"/>
    </row>
    <row r="86" spans="4:9">
      <c r="D86" s="6"/>
      <c r="H86" s="30"/>
      <c r="I86" s="6"/>
    </row>
    <row r="87" spans="4:9">
      <c r="D87" s="6"/>
      <c r="H87" s="30"/>
      <c r="I87" s="6"/>
    </row>
    <row r="88" spans="4:9">
      <c r="D88" s="6"/>
      <c r="H88" s="30"/>
      <c r="I88" s="6"/>
    </row>
    <row r="89" spans="4:9">
      <c r="D89" s="6"/>
      <c r="H89" s="30"/>
      <c r="I89" s="6"/>
    </row>
    <row r="90" spans="4:9">
      <c r="D90" s="6"/>
      <c r="H90" s="30"/>
      <c r="I90" s="6"/>
    </row>
    <row r="91" spans="4:9">
      <c r="D91" s="6"/>
      <c r="H91" s="30"/>
      <c r="I91" s="6"/>
    </row>
    <row r="92" spans="4:9">
      <c r="D92" s="6"/>
      <c r="H92" s="30"/>
      <c r="I92" s="6"/>
    </row>
    <row r="93" spans="4:9">
      <c r="D93" s="6"/>
      <c r="H93" s="30"/>
      <c r="I93" s="6"/>
    </row>
    <row r="94" spans="4:9">
      <c r="D94" s="6"/>
      <c r="H94" s="30"/>
      <c r="I94" s="6"/>
    </row>
    <row r="95" spans="4:9">
      <c r="D95" s="6"/>
      <c r="H95" s="30"/>
      <c r="I95" s="6"/>
    </row>
    <row r="96" spans="4:9">
      <c r="D96" s="6"/>
      <c r="H96" s="30"/>
      <c r="I96" s="6"/>
    </row>
    <row r="97" spans="4:9">
      <c r="D97" s="6"/>
      <c r="H97" s="30"/>
      <c r="I97" s="6"/>
    </row>
    <row r="98" spans="4:9">
      <c r="D98" s="6"/>
      <c r="H98" s="30"/>
      <c r="I98" s="6"/>
    </row>
    <row r="99" spans="4:9">
      <c r="D99" s="6"/>
      <c r="H99" s="30"/>
      <c r="I99" s="6"/>
    </row>
    <row r="100" spans="4:9">
      <c r="D100" s="6"/>
      <c r="H100" s="30"/>
      <c r="I100" s="6"/>
    </row>
    <row r="101" spans="4:9">
      <c r="D101" s="6"/>
      <c r="H101" s="30"/>
      <c r="I101" s="6"/>
    </row>
    <row r="102" spans="4:9">
      <c r="D102" s="6"/>
      <c r="H102" s="30"/>
      <c r="I102" s="6"/>
    </row>
    <row r="103" spans="4:9">
      <c r="D103" s="6"/>
      <c r="H103" s="30"/>
      <c r="I103" s="6"/>
    </row>
    <row r="104" spans="4:9">
      <c r="D104" s="6"/>
      <c r="H104" s="30"/>
      <c r="I104" s="6"/>
    </row>
    <row r="105" spans="4:9">
      <c r="D105" s="6"/>
      <c r="H105" s="30"/>
      <c r="I105" s="6"/>
    </row>
    <row r="106" spans="4:9">
      <c r="D106" s="6"/>
      <c r="H106" s="30"/>
      <c r="I106" s="6"/>
    </row>
    <row r="107" spans="4:9">
      <c r="D107" s="6"/>
      <c r="H107" s="30"/>
      <c r="I107" s="6"/>
    </row>
    <row r="108" spans="4:9">
      <c r="D108" s="6"/>
      <c r="H108" s="30"/>
      <c r="I108" s="6"/>
    </row>
    <row r="109" spans="4:9">
      <c r="D109" s="6"/>
      <c r="H109" s="30"/>
      <c r="I109" s="6"/>
    </row>
    <row r="110" spans="4:9">
      <c r="D110" s="6"/>
      <c r="H110" s="30"/>
      <c r="I110" s="6"/>
    </row>
    <row r="111" spans="4:9">
      <c r="D111" s="6"/>
      <c r="H111" s="30"/>
      <c r="I111" s="6"/>
    </row>
    <row r="112" spans="4:9">
      <c r="D112" s="6"/>
      <c r="H112" s="30"/>
      <c r="I112" s="6"/>
    </row>
    <row r="113" spans="4:9">
      <c r="D113" s="6"/>
      <c r="H113" s="30"/>
      <c r="I113" s="6"/>
    </row>
    <row r="114" spans="4:9">
      <c r="D114" s="6"/>
      <c r="H114" s="30"/>
      <c r="I114" s="6"/>
    </row>
    <row r="115" spans="4:9">
      <c r="D115" s="6"/>
      <c r="H115" s="30"/>
      <c r="I115" s="6"/>
    </row>
    <row r="116" spans="4:9">
      <c r="D116" s="6"/>
      <c r="H116" s="30"/>
      <c r="I116" s="6"/>
    </row>
    <row r="117" spans="4:9">
      <c r="D117" s="6"/>
      <c r="H117" s="30"/>
      <c r="I117" s="6"/>
    </row>
    <row r="118" spans="4:9">
      <c r="D118" s="6"/>
      <c r="H118" s="30"/>
      <c r="I118" s="6"/>
    </row>
    <row r="119" spans="4:9">
      <c r="D119" s="6"/>
      <c r="H119" s="30"/>
      <c r="I119" s="6"/>
    </row>
    <row r="120" spans="4:9">
      <c r="D120" s="6"/>
      <c r="H120" s="30"/>
      <c r="I120" s="6"/>
    </row>
    <row r="121" spans="4:9">
      <c r="D121" s="6"/>
      <c r="H121" s="30"/>
      <c r="I121" s="6"/>
    </row>
    <row r="122" spans="4:9">
      <c r="D122" s="6"/>
      <c r="H122" s="30"/>
      <c r="I122" s="6"/>
    </row>
    <row r="123" spans="4:9">
      <c r="D123" s="6"/>
      <c r="H123" s="30"/>
      <c r="I123" s="6"/>
    </row>
    <row r="124" spans="4:9">
      <c r="D124" s="6"/>
      <c r="H124" s="30"/>
      <c r="I124" s="6"/>
    </row>
    <row r="125" spans="4:9">
      <c r="D125" s="6"/>
      <c r="H125" s="30"/>
      <c r="I125" s="6"/>
    </row>
    <row r="126" spans="4:9">
      <c r="D126" s="6"/>
      <c r="H126" s="30"/>
      <c r="I126" s="6"/>
    </row>
    <row r="127" spans="4:9">
      <c r="D127" s="6"/>
      <c r="H127" s="30"/>
      <c r="I127" s="6"/>
    </row>
    <row r="128" spans="4:9">
      <c r="D128" s="6"/>
      <c r="H128" s="30"/>
      <c r="I128" s="6"/>
    </row>
    <row r="129" spans="4:9">
      <c r="D129" s="6"/>
      <c r="H129" s="30"/>
      <c r="I129" s="6"/>
    </row>
    <row r="130" spans="4:9">
      <c r="D130" s="6"/>
      <c r="H130" s="30"/>
      <c r="I130" s="6"/>
    </row>
    <row r="131" spans="4:9">
      <c r="D131" s="6"/>
      <c r="H131" s="30"/>
      <c r="I131" s="6"/>
    </row>
    <row r="132" spans="4:9">
      <c r="D132" s="6"/>
      <c r="H132" s="30"/>
      <c r="I132" s="6"/>
    </row>
    <row r="133" spans="4:9">
      <c r="D133" s="6"/>
      <c r="H133" s="30"/>
      <c r="I133" s="6"/>
    </row>
    <row r="134" spans="4:9">
      <c r="D134" s="6"/>
      <c r="H134" s="30"/>
      <c r="I134" s="6"/>
    </row>
    <row r="135" spans="4:9">
      <c r="D135" s="6"/>
      <c r="H135" s="30"/>
      <c r="I135" s="6"/>
    </row>
    <row r="136" spans="4:9">
      <c r="D136" s="6"/>
      <c r="H136" s="30"/>
      <c r="I136" s="6"/>
    </row>
    <row r="137" spans="4:9">
      <c r="D137" s="6"/>
      <c r="H137" s="30"/>
      <c r="I137" s="6"/>
    </row>
    <row r="138" spans="4:9">
      <c r="D138" s="6"/>
      <c r="H138" s="30"/>
      <c r="I138" s="6"/>
    </row>
    <row r="139" spans="4:9">
      <c r="D139" s="6"/>
      <c r="H139" s="30"/>
      <c r="I139" s="6"/>
    </row>
    <row r="140" spans="4:9">
      <c r="D140" s="6"/>
      <c r="H140" s="30"/>
      <c r="I140" s="6"/>
    </row>
    <row r="141" spans="4:9">
      <c r="D141" s="6"/>
      <c r="H141" s="30"/>
      <c r="I141" s="6"/>
    </row>
    <row r="142" spans="4:9">
      <c r="D142" s="6"/>
      <c r="H142" s="30"/>
      <c r="I142" s="6"/>
    </row>
    <row r="143" spans="4:9">
      <c r="D143" s="6"/>
      <c r="H143" s="30"/>
      <c r="I143" s="6"/>
    </row>
    <row r="144" spans="4:9">
      <c r="D144" s="6"/>
      <c r="H144" s="30"/>
      <c r="I144" s="6"/>
    </row>
    <row r="145" spans="4:9">
      <c r="D145" s="6"/>
      <c r="H145" s="30"/>
      <c r="I145" s="6"/>
    </row>
    <row r="146" spans="4:9">
      <c r="D146" s="6"/>
      <c r="H146" s="30"/>
      <c r="I146" s="6"/>
    </row>
    <row r="147" spans="4:9">
      <c r="D147" s="6"/>
      <c r="H147" s="30"/>
      <c r="I147" s="6"/>
    </row>
    <row r="148" spans="4:9">
      <c r="D148" s="6"/>
      <c r="H148" s="30"/>
      <c r="I148" s="6"/>
    </row>
    <row r="149" spans="4:9">
      <c r="D149" s="6"/>
      <c r="H149" s="30"/>
      <c r="I149" s="6"/>
    </row>
    <row r="150" spans="4:9">
      <c r="D150" s="6"/>
      <c r="H150" s="30"/>
      <c r="I150" s="6"/>
    </row>
    <row r="151" spans="4:9">
      <c r="D151" s="6"/>
      <c r="H151" s="30"/>
      <c r="I151" s="6"/>
    </row>
    <row r="152" spans="4:9">
      <c r="D152" s="6"/>
      <c r="H152" s="30"/>
      <c r="I152" s="6"/>
    </row>
    <row r="153" spans="4:9">
      <c r="D153" s="6"/>
      <c r="H153" s="30"/>
      <c r="I153" s="6"/>
    </row>
    <row r="154" spans="4:9">
      <c r="D154" s="6"/>
      <c r="H154" s="30"/>
      <c r="I154" s="6"/>
    </row>
    <row r="155" spans="4:9">
      <c r="D155" s="6"/>
      <c r="H155" s="30"/>
      <c r="I155" s="6"/>
    </row>
    <row r="156" spans="4:9">
      <c r="D156" s="6"/>
      <c r="H156" s="30"/>
      <c r="I156" s="6"/>
    </row>
    <row r="157" spans="4:9">
      <c r="D157" s="6"/>
      <c r="H157" s="30"/>
      <c r="I157" s="6"/>
    </row>
    <row r="158" spans="4:9">
      <c r="D158" s="6"/>
      <c r="H158" s="30"/>
      <c r="I158" s="6"/>
    </row>
    <row r="159" spans="4:9">
      <c r="H159" s="30"/>
      <c r="I159" s="6"/>
    </row>
    <row r="160" spans="4:9">
      <c r="H160" s="30"/>
      <c r="I160" s="6"/>
    </row>
    <row r="161" spans="8:9">
      <c r="H161" s="30"/>
      <c r="I161" s="6"/>
    </row>
    <row r="162" spans="8:9">
      <c r="H162" s="30"/>
      <c r="I162" s="6"/>
    </row>
    <row r="163" spans="8:9">
      <c r="H163" s="30"/>
      <c r="I163" s="6"/>
    </row>
    <row r="164" spans="8:9">
      <c r="H164" s="30"/>
      <c r="I164" s="6"/>
    </row>
    <row r="165" spans="8:9">
      <c r="H165" s="30"/>
      <c r="I165" s="6"/>
    </row>
    <row r="166" spans="8:9">
      <c r="H166" s="30"/>
      <c r="I166" s="6"/>
    </row>
    <row r="167" spans="8:9">
      <c r="H167" s="30"/>
      <c r="I167" s="6"/>
    </row>
    <row r="168" spans="8:9">
      <c r="H168" s="30"/>
      <c r="I168" s="6"/>
    </row>
    <row r="169" spans="8:9">
      <c r="H169" s="30"/>
      <c r="I169" s="6"/>
    </row>
    <row r="170" spans="8:9">
      <c r="H170" s="30"/>
      <c r="I170" s="6"/>
    </row>
    <row r="171" spans="8:9">
      <c r="H171" s="30"/>
      <c r="I171" s="6"/>
    </row>
    <row r="172" spans="8:9">
      <c r="H172" s="30"/>
      <c r="I172" s="6"/>
    </row>
    <row r="173" spans="8:9">
      <c r="H173" s="30"/>
      <c r="I173" s="6"/>
    </row>
    <row r="174" spans="8:9">
      <c r="H174" s="30"/>
      <c r="I174" s="6"/>
    </row>
    <row r="175" spans="8:9">
      <c r="H175" s="30"/>
      <c r="I175" s="6"/>
    </row>
    <row r="176" spans="8:9">
      <c r="H176" s="30"/>
      <c r="I176" s="6"/>
    </row>
    <row r="177" spans="8:9">
      <c r="H177" s="30"/>
      <c r="I177" s="6"/>
    </row>
    <row r="178" spans="8:9">
      <c r="H178" s="30"/>
      <c r="I178" s="6"/>
    </row>
    <row r="179" spans="8:9">
      <c r="H179" s="30"/>
      <c r="I179" s="6"/>
    </row>
    <row r="180" spans="8:9">
      <c r="H180" s="30"/>
      <c r="I180" s="6"/>
    </row>
    <row r="181" spans="8:9">
      <c r="H181" s="30"/>
      <c r="I181" s="6"/>
    </row>
    <row r="182" spans="8:9">
      <c r="H182" s="30"/>
      <c r="I182" s="6"/>
    </row>
    <row r="183" spans="8:9">
      <c r="H183" s="30"/>
      <c r="I183" s="6"/>
    </row>
    <row r="184" spans="8:9">
      <c r="H184" s="30"/>
      <c r="I184" s="6"/>
    </row>
    <row r="185" spans="8:9">
      <c r="H185" s="30"/>
      <c r="I185" s="6"/>
    </row>
    <row r="186" spans="8:9">
      <c r="H186" s="30"/>
      <c r="I186" s="6"/>
    </row>
    <row r="187" spans="8:9">
      <c r="H187" s="30"/>
      <c r="I187" s="6"/>
    </row>
    <row r="188" spans="8:9">
      <c r="H188" s="30"/>
      <c r="I188" s="6"/>
    </row>
    <row r="189" spans="8:9">
      <c r="H189" s="30"/>
      <c r="I189" s="6"/>
    </row>
    <row r="190" spans="8:9">
      <c r="H190" s="30"/>
      <c r="I190" s="6"/>
    </row>
    <row r="191" spans="8:9">
      <c r="H191" s="30"/>
      <c r="I191" s="6"/>
    </row>
    <row r="192" spans="8:9">
      <c r="H192" s="30"/>
      <c r="I192" s="6"/>
    </row>
    <row r="193" spans="8:9">
      <c r="H193" s="30"/>
      <c r="I193" s="6"/>
    </row>
    <row r="194" spans="8:9">
      <c r="H194" s="30"/>
      <c r="I194" s="6"/>
    </row>
    <row r="195" spans="8:9">
      <c r="H195" s="30"/>
      <c r="I195" s="6"/>
    </row>
    <row r="196" spans="8:9">
      <c r="H196" s="30"/>
      <c r="I196" s="6"/>
    </row>
    <row r="197" spans="8:9">
      <c r="H197" s="30"/>
      <c r="I197" s="6"/>
    </row>
    <row r="198" spans="8:9">
      <c r="H198" s="30"/>
      <c r="I198" s="6"/>
    </row>
    <row r="199" spans="8:9">
      <c r="H199" s="30"/>
      <c r="I199" s="6"/>
    </row>
    <row r="200" spans="8:9">
      <c r="H200" s="30"/>
      <c r="I200" s="6"/>
    </row>
    <row r="201" spans="8:9">
      <c r="H201" s="30"/>
      <c r="I201" s="6"/>
    </row>
    <row r="202" spans="8:9">
      <c r="H202" s="30"/>
      <c r="I202" s="6"/>
    </row>
    <row r="203" spans="8:9">
      <c r="H203" s="30"/>
      <c r="I203" s="6"/>
    </row>
    <row r="204" spans="8:9">
      <c r="H204" s="30"/>
      <c r="I204" s="6"/>
    </row>
    <row r="205" spans="8:9">
      <c r="H205" s="30"/>
      <c r="I205" s="6"/>
    </row>
    <row r="206" spans="8:9">
      <c r="H206" s="30"/>
      <c r="I206" s="6"/>
    </row>
    <row r="207" spans="8:9">
      <c r="H207" s="30"/>
      <c r="I207" s="6"/>
    </row>
    <row r="208" spans="8:9">
      <c r="H208" s="30"/>
      <c r="I208" s="6"/>
    </row>
    <row r="209" spans="8:9">
      <c r="H209" s="30"/>
      <c r="I209" s="6"/>
    </row>
    <row r="210" spans="8:9">
      <c r="H210" s="30"/>
      <c r="I210" s="6"/>
    </row>
    <row r="211" spans="8:9">
      <c r="H211" s="30"/>
      <c r="I211" s="6"/>
    </row>
    <row r="212" spans="8:9">
      <c r="H212" s="30"/>
      <c r="I212" s="6"/>
    </row>
    <row r="213" spans="8:9">
      <c r="H213" s="30"/>
      <c r="I213" s="6"/>
    </row>
    <row r="214" spans="8:9">
      <c r="H214" s="30"/>
      <c r="I214" s="6"/>
    </row>
    <row r="215" spans="8:9">
      <c r="H215" s="30"/>
      <c r="I215" s="6"/>
    </row>
    <row r="216" spans="8:9">
      <c r="H216" s="30"/>
      <c r="I216" s="6"/>
    </row>
    <row r="217" spans="8:9">
      <c r="H217" s="30"/>
      <c r="I217" s="6"/>
    </row>
    <row r="218" spans="8:9">
      <c r="H218" s="30"/>
      <c r="I218" s="6"/>
    </row>
    <row r="219" spans="8:9">
      <c r="H219" s="30"/>
      <c r="I219" s="6"/>
    </row>
    <row r="220" spans="8:9">
      <c r="H220" s="30"/>
      <c r="I220" s="6"/>
    </row>
    <row r="221" spans="8:9">
      <c r="H221" s="30"/>
      <c r="I221" s="6"/>
    </row>
    <row r="222" spans="8:9">
      <c r="H222" s="30"/>
      <c r="I222" s="6"/>
    </row>
    <row r="223" spans="8:9">
      <c r="H223" s="30"/>
      <c r="I223" s="6"/>
    </row>
    <row r="224" spans="8:9">
      <c r="H224" s="30"/>
      <c r="I224" s="6"/>
    </row>
    <row r="225" spans="8:9">
      <c r="H225" s="30"/>
      <c r="I225" s="6"/>
    </row>
    <row r="226" spans="8:9">
      <c r="H226" s="30"/>
      <c r="I226" s="6"/>
    </row>
    <row r="227" spans="8:9">
      <c r="H227" s="30"/>
      <c r="I227" s="6"/>
    </row>
    <row r="228" spans="8:9">
      <c r="H228" s="30"/>
      <c r="I228" s="6"/>
    </row>
    <row r="229" spans="8:9">
      <c r="H229" s="30"/>
      <c r="I229" s="6"/>
    </row>
    <row r="230" spans="8:9">
      <c r="H230" s="30"/>
      <c r="I230" s="6"/>
    </row>
    <row r="231" spans="8:9">
      <c r="H231" s="30"/>
      <c r="I231" s="6"/>
    </row>
    <row r="232" spans="8:9">
      <c r="H232" s="30"/>
      <c r="I232" s="6"/>
    </row>
    <row r="233" spans="8:9">
      <c r="H233" s="30"/>
      <c r="I233" s="6"/>
    </row>
    <row r="234" spans="8:9">
      <c r="H234" s="30"/>
      <c r="I234" s="6"/>
    </row>
    <row r="235" spans="8:9">
      <c r="H235" s="30"/>
      <c r="I235" s="6"/>
    </row>
    <row r="236" spans="8:9">
      <c r="H236" s="30"/>
      <c r="I236" s="6"/>
    </row>
    <row r="237" spans="8:9">
      <c r="H237" s="30"/>
      <c r="I237" s="6"/>
    </row>
    <row r="238" spans="8:9">
      <c r="H238" s="30"/>
      <c r="I238" s="6"/>
    </row>
    <row r="239" spans="8:9">
      <c r="H239" s="30"/>
      <c r="I239" s="6"/>
    </row>
    <row r="240" spans="8:9">
      <c r="H240" s="30"/>
      <c r="I240" s="6"/>
    </row>
    <row r="241" spans="8:9">
      <c r="H241" s="30"/>
      <c r="I241" s="6"/>
    </row>
    <row r="242" spans="8:9">
      <c r="H242" s="30"/>
      <c r="I242" s="6"/>
    </row>
    <row r="243" spans="8:9">
      <c r="H243" s="30"/>
      <c r="I243" s="6"/>
    </row>
    <row r="244" spans="8:9">
      <c r="H244" s="30"/>
      <c r="I244" s="6"/>
    </row>
    <row r="245" spans="8:9">
      <c r="H245" s="30"/>
      <c r="I245" s="6"/>
    </row>
    <row r="246" spans="8:9">
      <c r="H246" s="30"/>
      <c r="I246" s="6"/>
    </row>
    <row r="247" spans="8:9">
      <c r="H247" s="30"/>
      <c r="I247" s="6"/>
    </row>
    <row r="248" spans="8:9">
      <c r="H248" s="30"/>
      <c r="I248" s="6"/>
    </row>
    <row r="249" spans="8:9">
      <c r="H249" s="30"/>
      <c r="I249" s="6"/>
    </row>
    <row r="250" spans="8:9">
      <c r="H250" s="30"/>
      <c r="I250" s="6"/>
    </row>
    <row r="251" spans="8:9">
      <c r="H251" s="30"/>
      <c r="I251" s="6"/>
    </row>
    <row r="252" spans="8:9">
      <c r="H252" s="30"/>
      <c r="I252" s="6"/>
    </row>
    <row r="253" spans="8:9">
      <c r="H253" s="30"/>
      <c r="I253" s="6"/>
    </row>
    <row r="254" spans="8:9">
      <c r="H254" s="30"/>
      <c r="I254" s="6"/>
    </row>
    <row r="255" spans="8:9">
      <c r="H255" s="30"/>
      <c r="I255" s="6"/>
    </row>
    <row r="256" spans="8:9">
      <c r="H256" s="30"/>
      <c r="I256" s="6"/>
    </row>
    <row r="257" spans="8:9">
      <c r="H257" s="30"/>
      <c r="I257" s="6"/>
    </row>
    <row r="258" spans="8:9">
      <c r="H258" s="30"/>
      <c r="I258" s="6"/>
    </row>
    <row r="259" spans="8:9">
      <c r="H259" s="30"/>
      <c r="I259" s="6"/>
    </row>
    <row r="260" spans="8:9">
      <c r="H260" s="30"/>
      <c r="I260" s="6"/>
    </row>
    <row r="261" spans="8:9">
      <c r="H261" s="30"/>
      <c r="I261" s="6"/>
    </row>
    <row r="262" spans="8:9">
      <c r="H262" s="30"/>
      <c r="I262" s="6"/>
    </row>
    <row r="263" spans="8:9">
      <c r="H263" s="30"/>
      <c r="I263" s="6"/>
    </row>
    <row r="264" spans="8:9">
      <c r="H264" s="30"/>
      <c r="I264" s="6"/>
    </row>
    <row r="265" spans="8:9">
      <c r="H265" s="30"/>
      <c r="I265" s="6"/>
    </row>
    <row r="266" spans="8:9">
      <c r="H266" s="30"/>
      <c r="I266" s="6"/>
    </row>
    <row r="267" spans="8:9">
      <c r="H267" s="30"/>
      <c r="I267" s="6"/>
    </row>
    <row r="268" spans="8:9">
      <c r="H268" s="30"/>
      <c r="I268" s="6"/>
    </row>
    <row r="269" spans="8:9">
      <c r="H269" s="30"/>
      <c r="I269" s="6"/>
    </row>
    <row r="270" spans="8:9">
      <c r="H270" s="30"/>
      <c r="I270" s="6"/>
    </row>
    <row r="271" spans="8:9">
      <c r="H271" s="30"/>
      <c r="I271" s="6"/>
    </row>
    <row r="272" spans="8:9">
      <c r="H272" s="30"/>
      <c r="I272" s="6"/>
    </row>
    <row r="273" spans="8:9">
      <c r="H273" s="30"/>
      <c r="I273" s="6"/>
    </row>
    <row r="274" spans="8:9">
      <c r="H274" s="30"/>
      <c r="I274" s="6"/>
    </row>
    <row r="275" spans="8:9">
      <c r="H275" s="30"/>
      <c r="I275" s="6"/>
    </row>
    <row r="276" spans="8:9">
      <c r="H276" s="30"/>
      <c r="I276" s="6"/>
    </row>
    <row r="277" spans="8:9">
      <c r="H277" s="30"/>
      <c r="I277" s="6"/>
    </row>
    <row r="278" spans="8:9">
      <c r="H278" s="30"/>
      <c r="I278" s="6"/>
    </row>
    <row r="279" spans="8:9">
      <c r="H279" s="30"/>
      <c r="I279" s="6"/>
    </row>
    <row r="280" spans="8:9">
      <c r="H280" s="30"/>
      <c r="I280" s="6"/>
    </row>
    <row r="281" spans="8:9">
      <c r="H281" s="30"/>
      <c r="I281" s="6"/>
    </row>
    <row r="282" spans="8:9">
      <c r="H282" s="30"/>
      <c r="I282" s="6"/>
    </row>
    <row r="283" spans="8:9">
      <c r="H283" s="30"/>
      <c r="I283" s="6"/>
    </row>
    <row r="284" spans="8:9">
      <c r="H284" s="30"/>
      <c r="I284" s="6"/>
    </row>
    <row r="285" spans="8:9">
      <c r="H285" s="30"/>
      <c r="I285" s="6"/>
    </row>
    <row r="286" spans="8:9">
      <c r="H286" s="30"/>
      <c r="I286" s="6"/>
    </row>
    <row r="287" spans="8:9">
      <c r="H287" s="30"/>
    </row>
    <row r="288" spans="8:9">
      <c r="H288" s="30"/>
    </row>
    <row r="289" spans="8:8">
      <c r="H289" s="30"/>
    </row>
    <row r="290" spans="8:8">
      <c r="H290" s="30"/>
    </row>
    <row r="291" spans="8:8">
      <c r="H291" s="30"/>
    </row>
    <row r="292" spans="8:8">
      <c r="H292" s="30"/>
    </row>
    <row r="293" spans="8:8">
      <c r="H293" s="30"/>
    </row>
    <row r="294" spans="8:8">
      <c r="H294" s="30"/>
    </row>
  </sheetData>
  <pageMargins left="0.7" right="0.7" top="0.75" bottom="0.75" header="0.3" footer="0.3"/>
  <ignoredErrors>
    <ignoredError sqref="H40 I41 K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19" sqref="E19"/>
    </sheetView>
  </sheetViews>
  <sheetFormatPr baseColWidth="10" defaultColWidth="8.83203125" defaultRowHeight="16"/>
  <cols>
    <col min="2" max="2" width="39.1640625" customWidth="1"/>
  </cols>
  <sheetData>
    <row r="1" spans="1:2">
      <c r="A1" s="2" t="s">
        <v>16</v>
      </c>
      <c r="B1" s="2"/>
    </row>
    <row r="2" spans="1:2" ht="34">
      <c r="A2" s="13">
        <v>0</v>
      </c>
      <c r="B2" s="11" t="s">
        <v>21</v>
      </c>
    </row>
    <row r="3" spans="1:2">
      <c r="A3" s="12">
        <v>1</v>
      </c>
      <c r="B3" s="2" t="s">
        <v>20</v>
      </c>
    </row>
    <row r="4" spans="1:2">
      <c r="A4" s="14">
        <v>2</v>
      </c>
      <c r="B4" s="2" t="s">
        <v>19</v>
      </c>
    </row>
    <row r="5" spans="1:2" ht="51">
      <c r="A5" s="15">
        <v>3</v>
      </c>
      <c r="B5" s="11" t="s">
        <v>22</v>
      </c>
    </row>
    <row r="6" spans="1:2">
      <c r="A6" s="16">
        <v>4</v>
      </c>
      <c r="B6" s="2" t="s">
        <v>17</v>
      </c>
    </row>
    <row r="7" spans="1:2">
      <c r="A7" s="17">
        <v>5</v>
      </c>
      <c r="B7" s="2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G15" sqref="G15"/>
    </sheetView>
  </sheetViews>
  <sheetFormatPr baseColWidth="10" defaultColWidth="8.83203125" defaultRowHeight="16"/>
  <cols>
    <col min="6" max="6" width="13.6640625" customWidth="1"/>
    <col min="7" max="7" width="10.5" customWidth="1"/>
    <col min="8" max="8" width="10.6640625" customWidth="1"/>
    <col min="10" max="10" width="11.1640625" customWidth="1"/>
  </cols>
  <sheetData>
    <row r="1" spans="1:10">
      <c r="A1" s="7"/>
      <c r="B1" s="7"/>
      <c r="C1" s="32" t="s">
        <v>1</v>
      </c>
      <c r="D1" s="32"/>
      <c r="E1" s="32"/>
      <c r="F1" s="33" t="s">
        <v>3</v>
      </c>
      <c r="G1" s="33"/>
      <c r="H1" s="33"/>
      <c r="I1" s="33"/>
      <c r="J1" s="10"/>
    </row>
    <row r="2" spans="1:10" ht="17">
      <c r="A2" s="7" t="s">
        <v>40</v>
      </c>
      <c r="B2" s="7" t="s">
        <v>41</v>
      </c>
      <c r="C2" s="9" t="s">
        <v>42</v>
      </c>
      <c r="D2" s="9" t="s">
        <v>43</v>
      </c>
      <c r="E2" s="9" t="s">
        <v>2</v>
      </c>
      <c r="F2" s="10" t="s">
        <v>44</v>
      </c>
      <c r="G2" s="18" t="s">
        <v>45</v>
      </c>
      <c r="H2" s="10" t="s">
        <v>23</v>
      </c>
      <c r="I2" s="10" t="s">
        <v>2</v>
      </c>
      <c r="J2" s="10" t="s">
        <v>46</v>
      </c>
    </row>
    <row r="3" spans="1:10">
      <c r="A3" t="s">
        <v>27</v>
      </c>
      <c r="B3" t="s">
        <v>0</v>
      </c>
      <c r="C3" t="s">
        <v>27</v>
      </c>
      <c r="D3" t="s">
        <v>28</v>
      </c>
      <c r="E3" t="s">
        <v>29</v>
      </c>
      <c r="F3" t="s">
        <v>28</v>
      </c>
      <c r="G3" t="s">
        <v>28</v>
      </c>
      <c r="H3" t="s">
        <v>28</v>
      </c>
      <c r="I3" t="s">
        <v>29</v>
      </c>
      <c r="J3" t="s">
        <v>29</v>
      </c>
    </row>
  </sheetData>
  <mergeCells count="2">
    <mergeCell ref="C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21" sqref="B21"/>
    </sheetView>
  </sheetViews>
  <sheetFormatPr baseColWidth="10" defaultColWidth="8.83203125" defaultRowHeight="16"/>
  <cols>
    <col min="1" max="1" width="14.6640625" customWidth="1"/>
    <col min="2" max="2" width="63.6640625" customWidth="1"/>
  </cols>
  <sheetData>
    <row r="1" spans="1:2">
      <c r="A1" s="7" t="s">
        <v>40</v>
      </c>
      <c r="B1" t="s">
        <v>30</v>
      </c>
    </row>
    <row r="2" spans="1:2">
      <c r="A2" s="7" t="s">
        <v>41</v>
      </c>
      <c r="B2" t="s">
        <v>31</v>
      </c>
    </row>
    <row r="3" spans="1:2">
      <c r="A3" s="7" t="s">
        <v>42</v>
      </c>
      <c r="B3" t="s">
        <v>32</v>
      </c>
    </row>
    <row r="4" spans="1:2" ht="34">
      <c r="A4" s="7" t="s">
        <v>43</v>
      </c>
      <c r="B4" s="19" t="s">
        <v>34</v>
      </c>
    </row>
    <row r="5" spans="1:2" ht="34">
      <c r="A5" s="7" t="s">
        <v>2</v>
      </c>
      <c r="B5" s="19" t="s">
        <v>33</v>
      </c>
    </row>
    <row r="6" spans="1:2" ht="34">
      <c r="A6" s="7" t="s">
        <v>44</v>
      </c>
      <c r="B6" s="19" t="s">
        <v>35</v>
      </c>
    </row>
    <row r="7" spans="1:2" ht="17">
      <c r="A7" s="20" t="s">
        <v>45</v>
      </c>
      <c r="B7" t="s">
        <v>36</v>
      </c>
    </row>
    <row r="8" spans="1:2" ht="31.75" customHeight="1">
      <c r="A8" s="7" t="s">
        <v>23</v>
      </c>
      <c r="B8" s="19" t="s">
        <v>37</v>
      </c>
    </row>
    <row r="9" spans="1:2" ht="34">
      <c r="A9" s="7" t="s">
        <v>2</v>
      </c>
      <c r="B9" s="19" t="s">
        <v>38</v>
      </c>
    </row>
    <row r="10" spans="1:2" ht="16.25" customHeight="1">
      <c r="A10" s="7" t="s">
        <v>46</v>
      </c>
      <c r="B10" s="1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quality_score_guide</vt:lpstr>
      <vt:lpstr>data_types</vt:lpstr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Stephanie Wilson</cp:lastModifiedBy>
  <dcterms:created xsi:type="dcterms:W3CDTF">2020-02-21T01:51:37Z</dcterms:created>
  <dcterms:modified xsi:type="dcterms:W3CDTF">2020-04-23T18:04:02Z</dcterms:modified>
</cp:coreProperties>
</file>