
<file path=[Content_Types].xml><?xml version="1.0" encoding="utf-8"?>
<Types xmlns="http://schemas.openxmlformats.org/package/2006/content-types"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drawingml.chart+xml" PartName="/xl/charts/chart8.xml"/>
  <Override ContentType="application/vnd.openxmlformats-officedocument.drawingml.chart+xml" PartName="/xl/charts/chart7.xml"/>
  <Override ContentType="application/vnd.openxmlformats-officedocument.drawingml.chart+xml" PartName="/xl/charts/chart6.xml"/>
  <Override ContentType="application/vnd.openxmlformats-officedocument.drawingml.chart+xml" PartName="/xl/charts/chart5.xml"/>
  <Override ContentType="application/vnd.openxmlformats-package.relationships+xml" PartName="/xl/drawings/_rels/drawing2.xml.rels"/>
  <Override ContentType="application/vnd.openxmlformats-package.relationships+xml" PartName="/xl/drawings/_rels/drawing1.xml.rels"/>
  <Override ContentType="application/vnd.openxmlformats-officedocument.drawing+xml" PartName="/xl/drawings/drawing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relationships+xml" PartName="/xl/worksheets/_rels/sheet6.xml.rels"/>
  <Override ContentType="application/vnd.openxmlformats-package.relationships+xml" PartName="/xl/worksheets/_rels/sheet5.xml.rels"/>
  <Override ContentType="application/vnd.openxmlformats-officedocument.spreadsheetml.worksheet+xml" PartName="/xl/worksheets/sheet7.xml"/>
  <Override ContentType="application/vnd.openxmlformats-officedocument.spreadsheetml.worksheet+xml" PartName="/xl/worksheets/sheet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3.xml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5"/>
  </bookViews>
  <sheets>
    <sheet name="Value Drivers" sheetId="1" r:id="rId2"/>
    <sheet name="Macro OUTPUT" sheetId="2" r:id="rId3"/>
    <sheet name="Dropdowns" sheetId="3" r:id="rId4"/>
    <sheet name="Input" sheetId="4" r:id="rId5"/>
    <sheet name="Calculator" sheetId="5" r:id="rId6"/>
    <sheet name="Results" sheetId="6" r:id="rId7"/>
    <sheet name="Costs 2" sheetId="7" state="hidden" r:id="rId8"/>
  </sheets>
  <calcPr iterateCount="100" refMode="A1" iterate="false" iterateDelta="0.0001" fullCalcOnLoad="1"/>
</workbook>
</file>

<file path=xl/sharedStrings.xml><?xml version="1.0" encoding="utf-8"?>
<sst xmlns="http://schemas.openxmlformats.org/spreadsheetml/2006/main" count="258" uniqueCount="258">
  <si>
    <t>Small</t>
  </si>
  <si>
    <t>Medium</t>
  </si>
  <si>
    <t>Large</t>
  </si>
  <si>
    <t>Number of cores</t>
  </si>
  <si>
    <t>Number of TB of Data</t>
  </si>
  <si>
    <t>From HP</t>
  </si>
  <si>
    <t>Hardware Acquisition Cost</t>
  </si>
  <si>
    <t>Hardware Maintenance Cost</t>
  </si>
  <si>
    <t>Software Cost / year</t>
  </si>
  <si>
    <t>IBM Software Cost / year</t>
  </si>
  <si>
    <t xml:space="preserve">Mainframe Software Cost /  year</t>
  </si>
  <si>
    <t>Electricity</t>
  </si>
  <si>
    <t>Space</t>
  </si>
  <si>
    <t>Manpower</t>
  </si>
  <si>
    <t>Data Movement Cost</t>
  </si>
  <si>
    <t>Values</t>
  </si>
  <si>
    <t>Z14</t>
  </si>
  <si>
    <t>X86</t>
  </si>
  <si>
    <t>ROI</t>
  </si>
  <si>
    <t>Payback Period</t>
  </si>
  <si>
    <t>Quadrant 1</t>
  </si>
  <si>
    <t>SA-Software Acquisition Cost</t>
  </si>
  <si>
    <t>SY - System Acquisition Cost</t>
  </si>
  <si>
    <t>OC-Operations cost</t>
  </si>
  <si>
    <t>Quadrant 2</t>
  </si>
  <si>
    <t>CP - C-level executive productivity</t>
  </si>
  <si>
    <t>ITP IT personnel productivity</t>
  </si>
  <si>
    <t>OP - Organizational Productivity</t>
  </si>
  <si>
    <t>Quadrant 3</t>
  </si>
  <si>
    <t>IR - Improved Revenue</t>
  </si>
  <si>
    <t>FTV - Faster-time-to-value</t>
  </si>
  <si>
    <t>TE - Trusted Experiences</t>
  </si>
  <si>
    <t>Quadrant 4</t>
  </si>
  <si>
    <t>ES - End-to-End Security</t>
  </si>
  <si>
    <t>GC - Improved governance and compliance</t>
  </si>
  <si>
    <t>RD - Reduced downtime</t>
  </si>
  <si>
    <t>Inputs to the Model</t>
  </si>
  <si>
    <t xml:space="preserve">Industry </t>
  </si>
  <si>
    <t>Finance</t>
  </si>
  <si>
    <t>Use Case</t>
  </si>
  <si>
    <t>End of Period Processing</t>
  </si>
  <si>
    <t>Investment</t>
  </si>
  <si>
    <t>Type of Analytics</t>
  </si>
  <si>
    <t>Open Data Analytics</t>
  </si>
  <si>
    <t>Z14 Category</t>
  </si>
  <si>
    <t>If investment is betweeen 1 -3 million - small, 3 - 5 million medim; 5 - 10 million is Large; &gt; 10 million is very large</t>
  </si>
  <si>
    <t>X86 Category</t>
  </si>
  <si>
    <t>Industry</t>
  </si>
  <si>
    <t xml:space="preserve">Use Case 1 </t>
  </si>
  <si>
    <t>Use Case 2</t>
  </si>
  <si>
    <t>Reduce Risk and Fraud</t>
  </si>
  <si>
    <t>Retail</t>
  </si>
  <si>
    <t>Reveue form User Experience</t>
  </si>
  <si>
    <t>Revenue from Loyalty Programs</t>
  </si>
  <si>
    <t xml:space="preserve">Healthcare </t>
  </si>
  <si>
    <t>Improve Claims Optimization</t>
  </si>
  <si>
    <t>Improve care and reduce cost</t>
  </si>
  <si>
    <t>Telecom</t>
  </si>
  <si>
    <t>Prevent Customer Churn</t>
  </si>
  <si>
    <t xml:space="preserve">Quality of Customer Experience </t>
  </si>
  <si>
    <t>IBM DB2 Analytics Accelerator</t>
  </si>
  <si>
    <t>IBM Machine Learning</t>
  </si>
  <si>
    <t>ROI - Z14</t>
  </si>
  <si>
    <t>ROI - X86</t>
  </si>
  <si>
    <t>Payback Z14</t>
  </si>
  <si>
    <t>Payback X86</t>
  </si>
  <si>
    <t>SA- Z14</t>
  </si>
  <si>
    <t>SA-X26</t>
  </si>
  <si>
    <t>SY - Z14</t>
  </si>
  <si>
    <t>SY-X26</t>
  </si>
  <si>
    <t>OC-Z14</t>
  </si>
  <si>
    <t>OC-X26</t>
  </si>
  <si>
    <t>CP- Z14</t>
  </si>
  <si>
    <t>CP-X26</t>
  </si>
  <si>
    <t>ITP - Z14</t>
  </si>
  <si>
    <t>ITP -X26</t>
  </si>
  <si>
    <t>OP-Z14</t>
  </si>
  <si>
    <t>OP-X26</t>
  </si>
  <si>
    <t>IR - Z14</t>
  </si>
  <si>
    <t>IR -X26</t>
  </si>
  <si>
    <t>FTV - Z14</t>
  </si>
  <si>
    <t>FTV -X26</t>
  </si>
  <si>
    <t>TE -Z14</t>
  </si>
  <si>
    <t>TE -X26</t>
  </si>
  <si>
    <t>ES - Z14</t>
  </si>
  <si>
    <t>ES-X26</t>
  </si>
  <si>
    <t>GC - Z14</t>
  </si>
  <si>
    <t>GC -X26</t>
  </si>
  <si>
    <t>RD -Z14</t>
  </si>
  <si>
    <t>RD -X26</t>
  </si>
  <si>
    <t>%SA</t>
  </si>
  <si>
    <t>%SY</t>
  </si>
  <si>
    <t>%OC</t>
  </si>
  <si>
    <t>%CP</t>
  </si>
  <si>
    <t>%ITP</t>
  </si>
  <si>
    <t>%OP</t>
  </si>
  <si>
    <t>%IR</t>
  </si>
  <si>
    <t>%FTV</t>
  </si>
  <si>
    <t>%TE</t>
  </si>
  <si>
    <t>%ES</t>
  </si>
  <si>
    <t>%GC</t>
  </si>
  <si>
    <t>%RD</t>
  </si>
  <si>
    <t>Acquisition Cost</t>
  </si>
  <si>
    <t>Beenfits of Z14</t>
  </si>
  <si>
    <t>Server HW and SW</t>
  </si>
  <si>
    <t>Security</t>
  </si>
  <si>
    <t>Network HW and SW</t>
  </si>
  <si>
    <t>Availability</t>
  </si>
  <si>
    <t>Installation</t>
  </si>
  <si>
    <t>Scalability</t>
  </si>
  <si>
    <t>Warrenties &amp; Licence</t>
  </si>
  <si>
    <t>Manageability</t>
  </si>
  <si>
    <t>Risks</t>
  </si>
  <si>
    <t>Analytics</t>
  </si>
  <si>
    <t>Administration Cost</t>
  </si>
  <si>
    <t>Prevent Fraud</t>
  </si>
  <si>
    <t>Administrator</t>
  </si>
  <si>
    <t>Reduce customer chrun</t>
  </si>
  <si>
    <t>Cross sell and upsell opportunities</t>
  </si>
  <si>
    <t>Operating volume</t>
  </si>
  <si>
    <t>Maintenance Cost</t>
  </si>
  <si>
    <t>Hardware Maintenance</t>
  </si>
  <si>
    <t>Benefits of Z4</t>
  </si>
  <si>
    <t>Software Maintenance</t>
  </si>
  <si>
    <t>SPEED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</si>
  <si>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Dramatically improve query response – up to 2000X faster – to support time-sensitive decisions</t>
    </r>
  </si>
  <si>
    <t>Software Cost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</si>
  <si>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Right-time. Low latency. Trusted. Accurate.</t>
    </r>
  </si>
  <si>
    <t>Annual Licensing Cost</t>
  </si>
  <si>
    <t>SAVINGS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</si>
  <si>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Minimize data proliferation</t>
    </r>
  </si>
  <si>
    <t>Operations Cost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</si>
  <si>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Lower the cost of storing and managing historical data</t>
    </r>
  </si>
  <si>
    <t>Power, cooling and floor space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</si>
  <si>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Free up compute resources </t>
    </r>
  </si>
  <si>
    <t>License cost</t>
  </si>
  <si>
    <t>SIMPLICITY</t>
  </si>
  <si>
    <t>Maintenance &amp; Repair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</si>
  <si>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Simplify infrastructure, reduce ETL and data movement off-platform </t>
    </r>
  </si>
  <si>
    <t>Personnel cost (Admin, Eng.)</t>
  </si>
  <si>
    <r xmlns="http://schemas.openxmlformats.org/spreadsheetml/2006/main">
      <t>•</t>
    </r>
    <r xmlns="http://schemas.openxmlformats.org/spreadsheetml/2006/main">
      <rPr>
        <sz val="11"/>
        <color rgb="FF080808"/>
        <rFont val="Arial"/>
        <family val="2"/>
        <charset val="1"/>
      </rPr>
      <t>Non-disruptive installation</t>
    </r>
  </si>
  <si>
    <t>Providing Security</t>
  </si>
  <si>
    <t>SECURITY</t>
  </si>
  <si>
    <t>Backup and recovery</t>
  </si>
  <si>
    <r xmlns="http://schemas.openxmlformats.org/spreadsheetml/2006/main">
      <t>•</t>
    </r>
    <r xmlns="http://schemas.openxmlformats.org/spreadsheetml/2006/main">
      <rPr>
        <sz val="11"/>
        <color rgb="FF000000"/>
        <rFont val="Arial"/>
        <family val="2"/>
        <charset val="1"/>
      </rPr>
      <t>Safeguard valuable data under the control and security of DB2 for z/OS </t>
    </r>
  </si>
  <si>
    <t>Audit (Internal &amp; External)</t>
  </si>
  <si>
    <t>Protected. Secured. Governed.</t>
  </si>
  <si>
    <t>Insurance</t>
  </si>
  <si>
    <t>Taxes</t>
  </si>
  <si>
    <t>Downtime</t>
  </si>
  <si>
    <t xml:space="preserve">Testing &amp; Training </t>
  </si>
  <si>
    <t>Cost of moving 1 TB</t>
  </si>
  <si>
    <t>Workload time</t>
  </si>
  <si>
    <t>Reports per hour</t>
  </si>
  <si>
    <t>Cost per report per hour</t>
  </si>
  <si>
    <t xml:space="preserve">C-level Productivity </t>
  </si>
  <si>
    <t>CFO</t>
  </si>
  <si>
    <t>CRO</t>
  </si>
  <si>
    <t>CIO</t>
  </si>
  <si>
    <t>CMO</t>
  </si>
  <si>
    <t xml:space="preserve">IT Professional Productivity </t>
  </si>
  <si>
    <t>Data Scientist</t>
  </si>
  <si>
    <t>Data Engineer</t>
  </si>
  <si>
    <t>Developer</t>
  </si>
  <si>
    <t>Analyst</t>
  </si>
  <si>
    <t xml:space="preserve">Organizational Productivity </t>
  </si>
  <si>
    <t>Process Streamlining</t>
  </si>
  <si>
    <t>Governance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</si>
  <si>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Isolation of users in a separate address space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</si>
  <si>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Processing integrity with LPAR separation (PR/SM)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</si>
  <si>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HiperSockets - In memory communication between LPARs</t>
    </r>
  </si>
  <si>
    <t>Revenue Increase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</si>
  <si>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System programs separated from user programs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</si>
  <si>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Authorized Program Facility (APF) </t>
    </r>
  </si>
  <si>
    <t>Trusted Relations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</si>
  <si>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Strict division between privileged and non-privileged instructions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</si>
  <si>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Strict division between configuration hardware (SE) and runtime hardware</t>
    </r>
  </si>
  <si>
    <t>Faster Time to Value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</si>
  <si>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No access to privileged state unless authorized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</si>
  <si>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z Systems Firmware</t>
    </r>
  </si>
  <si>
    <t>End to End Security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</si>
  <si>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High speed cryptography integrated on the new Crypto Express4S chip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</si>
  <si>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Enhanced digital signature capability with new Enterprise PKCS #11</t>
    </r>
  </si>
  <si>
    <t>Reduced Downtime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</si>
  <si>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New credit transaction verification support for smart payment cards</t>
    </r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</si>
  <si>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Enterprise Key Management Foundation</t>
    </r>
  </si>
  <si>
    <t>Improved Compliance</t>
  </si>
  <si>
    <r xmlns="http://schemas.openxmlformats.org/spreadsheetml/2006/main">
      <t>•</t>
    </r>
    <r xmlns="http://schemas.openxmlformats.org/spreadsheetml/2006/main">
      <rPr>
        <sz val="14"/>
        <color rgb="FF000000"/>
        <rFont val="Arial"/>
        <family val="2"/>
        <charset val="1"/>
      </rPr>
      <t>Viruses cannot be readily introduced</t>
    </r>
  </si>
  <si>
    <t>Customer Input from the Input Page</t>
  </si>
  <si>
    <t>Use case</t>
  </si>
  <si>
    <t>BEGIN Range</t>
  </si>
  <si>
    <t>SMALL</t>
  </si>
  <si>
    <t>MEDIUM</t>
  </si>
  <si>
    <t>LARGE</t>
  </si>
  <si>
    <t>END RANGE</t>
  </si>
  <si>
    <t>ROI Conversion Table</t>
  </si>
  <si>
    <t>Payback</t>
  </si>
  <si>
    <t>Total Benefits</t>
  </si>
  <si>
    <t>Total Costs</t>
  </si>
  <si>
    <t>Chosen Range</t>
  </si>
  <si>
    <t>Very Small</t>
  </si>
  <si>
    <t xml:space="preserve">Very Large </t>
  </si>
  <si>
    <t>Yearly Cost and Benefits Table</t>
  </si>
  <si>
    <t>System Acquisition Cost</t>
  </si>
  <si>
    <t>Software Acquisition Cost</t>
  </si>
  <si>
    <t>Operations cost</t>
  </si>
  <si>
    <t>C-level executive productivity</t>
  </si>
  <si>
    <t>IT personnel productivity</t>
  </si>
  <si>
    <t>Organizational Productivity</t>
  </si>
  <si>
    <t>Improved Revenue</t>
  </si>
  <si>
    <t>Faster-time-to-value</t>
  </si>
  <si>
    <t>Trusted Experiences</t>
  </si>
  <si>
    <t>End-to-End Security</t>
  </si>
  <si>
    <t>Improved governance and compliance</t>
  </si>
  <si>
    <t>Reduced downtime</t>
  </si>
  <si>
    <t>Ratio</t>
  </si>
  <si>
    <t>S-m</t>
  </si>
  <si>
    <t>m-l</t>
  </si>
  <si>
    <t>Total costs</t>
  </si>
  <si>
    <t>Year 0</t>
  </si>
  <si>
    <t>Year 1</t>
  </si>
  <si>
    <t>Year 2</t>
  </si>
  <si>
    <t>Year 3</t>
  </si>
  <si>
    <t>Total</t>
  </si>
  <si>
    <t>Risk Adjustment</t>
  </si>
  <si>
    <t>Risk Adjusted Total Costs</t>
  </si>
  <si>
    <t>Financial Instrument</t>
  </si>
  <si>
    <t>Margin</t>
  </si>
  <si>
    <t>Time Period</t>
  </si>
  <si>
    <t>Total inflow</t>
  </si>
  <si>
    <t>Amount Left to Pay</t>
  </si>
  <si>
    <t>Return on Investment</t>
  </si>
  <si>
    <t>Net Present Value</t>
  </si>
  <si>
    <t>Payback Period Yeard and Months</t>
  </si>
  <si>
    <t>Total Cost of Ownership</t>
  </si>
  <si>
    <t>Low Range</t>
  </si>
  <si>
    <t>High Range</t>
  </si>
  <si>
    <t xml:space="preserve">Payback Period  Years and Months</t>
  </si>
  <si>
    <t>Industry Multiplier</t>
  </si>
  <si>
    <t>ROI Multiplier</t>
  </si>
  <si>
    <t>Benefit Multiplier</t>
  </si>
  <si>
    <t>Healthcare</t>
  </si>
  <si>
    <t>Use Case Multiplier</t>
  </si>
  <si>
    <t>Cost Multiplier</t>
  </si>
  <si>
    <t>Output Values</t>
  </si>
  <si>
    <t>ROI for the given problem</t>
  </si>
  <si>
    <t>Payback Period for the given problem</t>
  </si>
  <si>
    <t>Costs and Benefits per Quadrant</t>
  </si>
  <si>
    <t>Quadrant 1 - Costs</t>
  </si>
  <si>
    <t>Quadrant 2 - Productivity</t>
  </si>
  <si>
    <t>Quadrant 3 - Revenue</t>
  </si>
  <si>
    <t>Quadrant 4 - Risk</t>
  </si>
  <si>
    <t xml:space="preserve">Chosen Industry </t>
  </si>
  <si>
    <t>Chosen Use Case</t>
  </si>
  <si>
    <t>Chosen Analytics Type</t>
  </si>
  <si>
    <t>Output</t>
  </si>
  <si>
    <t>Payback {eriod</t>
  </si>
  <si>
    <t>Difference</t>
  </si>
</sst>
</file>

<file path=xl/styles.xml><?xml version="1.0" encoding="utf-8"?>
<styleSheet xmlns="http://schemas.openxmlformats.org/spreadsheetml/2006/main">
  <numFmts count="13">
    <numFmt numFmtId="0" formatCode="General"/>
    <numFmt numFmtId="164" formatCode="GENERAL"/>
    <numFmt numFmtId="165" formatCode="\$#,##0"/>
    <numFmt numFmtId="166" formatCode="0.0%"/>
    <numFmt numFmtId="167" formatCode="0%"/>
    <numFmt numFmtId="168" formatCode="\$#,##0_);[RED]&quot;($&quot;#,##0\)"/>
    <numFmt numFmtId="169" formatCode="0.00"/>
    <numFmt numFmtId="170" formatCode="#,##0"/>
    <numFmt numFmtId="171" formatCode="\$#,##0.00"/>
    <numFmt numFmtId="172" formatCode="0.00%"/>
    <numFmt numFmtId="173" formatCode="0"/>
    <numFmt numFmtId="174" formatCode="0.0000"/>
    <numFmt numFmtId="175" formatCode="0.000"/>
  </numFmts>
  <fonts count="15">
    <font>
      <sz val="11"/>
      <color rgb="FF000000"/>
      <name val="Calibri"/>
      <family val="2"/>
    </font>
    <font>
      <sz val="10"/>
      <name val="Arial"/>
      <family val="0"/>
    </font>
    <font>
      <sz val="11"/>
      <color rgb="FFFFFFFF"/>
      <name val="Calibri"/>
      <family val="2"/>
    </font>
    <font>
      <b/>
      <sz val="11"/>
      <color rgb="FF000000"/>
      <name val="Arial"/>
      <family val="2"/>
    </font>
    <font>
      <b/>
      <u/>
      <sz val="11"/>
      <color rgb="FF000000"/>
      <name val="Arial"/>
      <family val="2"/>
    </font>
    <font>
      <sz val="11"/>
      <color rgb="FF000000"/>
      <name val="Arial"/>
      <family val="2"/>
    </font>
    <font>
      <sz val="14"/>
      <name val="Arial"/>
      <family val="2"/>
    </font>
    <font>
      <b/>
      <sz val="15"/>
      <color rgb="FF44546A"/>
      <name val="Calibri"/>
      <family val="2"/>
    </font>
    <font>
      <b/>
      <sz val="14"/>
      <color rgb="FF44546A"/>
      <name val="Calibri"/>
      <family val="2"/>
    </font>
    <font>
      <sz val="14"/>
      <color rgb="FF44546A"/>
      <name val="Calibri"/>
      <family val="2"/>
    </font>
    <font>
      <sz val="13"/>
      <color rgb="FF000000"/>
      <name val="Calibri"/>
      <family val="2"/>
    </font>
    <font>
      <sz val="15"/>
      <color rgb="FF000000"/>
      <name val="Calibri"/>
      <family val="2"/>
    </font>
    <font>
      <b/>
      <sz val="11"/>
      <name val="Calibri"/>
      <family val="2"/>
    </font>
    <font>
      <b/>
      <sz val="11"/>
      <color rgb="FFFFFFFF"/>
      <name val="Calibri"/>
      <family val="2"/>
    </font>
    <font>
      <sz val="1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000000"/>
        <bgColor rgb="FF080808"/>
      </patternFill>
    </fill>
    <fill>
      <patternFill patternType="solid">
        <fgColor rgb="FFFEF2CB"/>
        <bgColor rgb="FFE2EFD9"/>
      </patternFill>
    </fill>
    <fill>
      <patternFill patternType="solid">
        <fgColor rgb="FFD9E2F3"/>
        <bgColor rgb="FFD9D9D9"/>
      </patternFill>
    </fill>
    <fill>
      <patternFill patternType="solid">
        <fgColor rgb="FFF4B083"/>
        <bgColor rgb="FFBFBFBF"/>
      </patternFill>
    </fill>
    <fill>
      <patternFill patternType="solid">
        <fgColor rgb="FFA8D08D"/>
        <bgColor rgb="FFC5E0B3"/>
      </patternFill>
    </fill>
    <fill>
      <patternFill patternType="solid">
        <fgColor rgb="FFFFFFFF"/>
        <bgColor rgb="FFFEF2CB"/>
      </patternFill>
    </fill>
    <fill>
      <patternFill patternType="solid">
        <fgColor rgb="FF0C0C0C"/>
        <bgColor rgb="FF080808"/>
      </patternFill>
    </fill>
    <fill>
      <patternFill patternType="solid">
        <fgColor rgb="FFE2EFD9"/>
        <bgColor rgb="FFD9E2F3"/>
      </patternFill>
    </fill>
    <fill>
      <patternFill patternType="solid">
        <fgColor rgb="FFBFBFBF"/>
        <bgColor rgb="FFD0CECE"/>
      </patternFill>
    </fill>
    <fill>
      <patternFill patternType="solid">
        <fgColor rgb="FFD0CECE"/>
        <bgColor rgb="FFD8D8D8"/>
      </patternFill>
    </fill>
    <fill>
      <patternFill patternType="solid">
        <fgColor rgb="FFD8D8D8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C5E0B3"/>
        <bgColor rgb="FFD8D8D8"/>
      </patternFill>
    </fill>
    <fill>
      <patternFill patternType="solid">
        <fgColor rgb="FFBDD6EE"/>
        <bgColor rgb="FFD0CECE"/>
      </patternFill>
    </fill>
  </fills>
  <borders count="47">
    <border diagonalUp="1" diagonalDown="1">
      <left/>
      <right/>
      <top/>
      <bottom/>
      <diagonal/>
    </border>
    <border diagonalUp="1" diagonalDown="1"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 diagonalUp="1" diagonalDown="1">
      <left style="medium">
        <color rgb="FFFFFFFF"/>
      </left>
      <right style="medium">
        <color rgb="FFFFFFFF"/>
      </right>
      <top/>
      <bottom/>
      <diagonal/>
    </border>
    <border diagonalUp="1" diagonalDown="1">
      <left style="medium">
        <color rgb="FFFFFFFF"/>
      </left>
      <right style="medium">
        <color rgb="FFFFFFFF"/>
      </right>
      <top/>
      <bottom style="thick">
        <color rgb="FFFFFFFF"/>
      </bottom>
      <diagonal/>
    </border>
    <border diagonalUp="1" diagonalDown="1">
      <left style="medium">
        <color rgb="FFFFFFFF"/>
      </left>
      <right style="medium">
        <color rgb="FFFFFFFF"/>
      </right>
      <top style="thick">
        <color rgb="FFFFFFFF"/>
      </top>
      <bottom/>
      <diagonal/>
    </border>
    <border diagonalUp="1" diagonalDown="1"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 diagonalUp="1" diagonalDown="1"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 diagonalUp="1" diagonalDown="1">
      <left/>
      <right/>
      <top/>
      <bottom style="thick">
        <color rgb="FF4472C4"/>
      </bottom>
      <diagonal/>
    </border>
    <border diagonalUp="1" diagonalDown="1">
      <left style="dotted"/>
      <right style="dotted"/>
      <top style="dotted"/>
      <bottom style="dotted"/>
      <diagonal/>
    </border>
    <border diagonalUp="1" diagonalDown="1">
      <left style="medium"/>
      <right/>
      <top style="medium"/>
      <bottom/>
      <diagonal/>
    </border>
    <border diagonalUp="1" diagonalDown="1">
      <left/>
      <right/>
      <top style="medium"/>
      <bottom/>
      <diagonal/>
    </border>
    <border diagonalUp="1" diagonalDown="1">
      <left/>
      <right style="medium"/>
      <top style="medium"/>
      <bottom/>
      <diagonal/>
    </border>
    <border diagonalUp="1" diagonalDown="1">
      <left style="medium"/>
      <right/>
      <top/>
      <bottom/>
      <diagonal/>
    </border>
    <border diagonalUp="1" diagonalDown="1">
      <left/>
      <right style="medium"/>
      <top/>
      <bottom/>
      <diagonal/>
    </border>
    <border diagonalUp="1" diagonalDown="1">
      <left style="medium"/>
      <right/>
      <top/>
      <bottom style="medium"/>
      <diagonal/>
    </border>
    <border diagonalUp="1" diagonalDown="1">
      <left/>
      <right/>
      <top/>
      <bottom style="medium"/>
      <diagonal/>
    </border>
    <border diagonalUp="1" diagonalDown="1">
      <left/>
      <right style="medium"/>
      <top/>
      <bottom style="medium"/>
      <diagonal/>
    </border>
    <border diagonalUp="1" diagonalDown="1">
      <left style="medium"/>
      <right/>
      <top style="medium"/>
      <bottom style="medium"/>
      <diagonal/>
    </border>
    <border diagonalUp="1" diagonalDown="1">
      <left/>
      <right style="medium"/>
      <top style="medium"/>
      <bottom style="medium"/>
      <diagonal/>
    </border>
    <border diagonalUp="1" diagonalDown="1">
      <left style="medium"/>
      <right style="medium"/>
      <top style="medium"/>
      <bottom/>
      <diagonal/>
    </border>
    <border diagonalUp="1" diagonalDown="1">
      <left style="medium"/>
      <right style="medium"/>
      <top/>
      <bottom/>
      <diagonal/>
    </border>
    <border diagonalUp="1" diagonalDown="1">
      <left style="medium"/>
      <right style="medium"/>
      <top/>
      <bottom style="medium"/>
      <diagonal/>
    </border>
    <border diagonalUp="1" diagonalDown="1">
      <left style="medium"/>
      <right/>
      <top style="double"/>
      <bottom/>
      <diagonal/>
    </border>
    <border diagonalUp="1" diagonalDown="1">
      <left/>
      <right/>
      <top style="double"/>
      <bottom/>
      <diagonal/>
    </border>
    <border diagonalUp="1" diagonalDown="1">
      <left/>
      <right style="medium"/>
      <top style="double"/>
      <bottom/>
      <diagonal/>
    </border>
    <border diagonalUp="1" diagonalDown="1">
      <left style="medium"/>
      <right/>
      <top/>
      <bottom style="double"/>
      <diagonal/>
    </border>
    <border diagonalUp="1" diagonalDown="1">
      <left/>
      <right/>
      <top/>
      <bottom style="double"/>
      <diagonal/>
    </border>
    <border diagonalUp="1" diagonalDown="1">
      <left/>
      <right style="medium"/>
      <top/>
      <bottom style="double"/>
      <diagonal/>
    </border>
    <border diagonalUp="1" diagonalDown="1">
      <left style="medium"/>
      <right style="thin"/>
      <top style="medium"/>
      <bottom style="thin"/>
      <diagonal/>
    </border>
    <border diagonalUp="1" diagonalDown="1">
      <left/>
      <right/>
      <top style="medium"/>
      <bottom style="thin"/>
      <diagonal/>
    </border>
    <border diagonalUp="1" diagonalDown="1">
      <left style="thin"/>
      <right style="medium"/>
      <top style="medium"/>
      <bottom style="thin"/>
      <diagonal/>
    </border>
    <border diagonalUp="1" diagonalDown="1">
      <left style="medium"/>
      <right style="thin"/>
      <top style="thin"/>
      <bottom style="thin"/>
      <diagonal/>
    </border>
    <border diagonalUp="1" diagonalDown="1">
      <left/>
      <right/>
      <top style="thin"/>
      <bottom style="thin"/>
      <diagonal/>
    </border>
    <border diagonalUp="1" diagonalDown="1">
      <left style="thin"/>
      <right style="medium"/>
      <top style="thin"/>
      <bottom style="thin"/>
      <diagonal/>
    </border>
    <border diagonalUp="1" diagonalDown="1">
      <left style="medium"/>
      <right style="medium"/>
      <top style="medium"/>
      <bottom style="medium"/>
      <diagonal/>
    </border>
    <border diagonalUp="1" diagonalDown="1">
      <left style="medium"/>
      <right style="thin"/>
      <top style="thin"/>
      <bottom style="medium"/>
      <diagonal/>
    </border>
    <border diagonalUp="1" diagonalDown="1">
      <left/>
      <right/>
      <top style="thin"/>
      <bottom style="medium"/>
      <diagonal/>
    </border>
    <border diagonalUp="1" diagonalDown="1">
      <left style="thin"/>
      <right style="medium"/>
      <top style="thin"/>
      <bottom style="medium"/>
      <diagonal/>
    </border>
    <border diagonalUp="1" diagonalDown="1">
      <left style="thin"/>
      <right/>
      <top style="medium"/>
      <bottom/>
      <diagonal/>
    </border>
    <border diagonalUp="1" diagonalDown="1">
      <left/>
      <right style="thin"/>
      <top style="medium"/>
      <bottom/>
      <diagonal/>
    </border>
    <border diagonalUp="1" diagonalDown="1">
      <left style="thin"/>
      <right/>
      <top/>
      <bottom/>
      <diagonal/>
    </border>
    <border diagonalUp="1" diagonalDown="1">
      <left/>
      <right style="thin"/>
      <top/>
      <bottom/>
      <diagonal/>
    </border>
    <border diagonalUp="1" diagonalDown="1">
      <left style="thin"/>
      <right/>
      <top/>
      <bottom style="double"/>
      <diagonal/>
    </border>
    <border diagonalUp="1" diagonalDown="1">
      <left/>
      <right style="thin"/>
      <top/>
      <bottom style="double"/>
      <diagonal/>
    </border>
    <border diagonalUp="1" diagonalDown="1">
      <left style="medium"/>
      <right style="medium"/>
      <top/>
      <bottom style="double"/>
      <diagonal/>
    </border>
    <border diagonalUp="1" diagonalDown="1">
      <left style="thin"/>
      <right/>
      <top/>
      <bottom style="medium"/>
      <diagonal/>
    </border>
    <border diagonalUp="1" diagonalDown="1">
      <left/>
      <right style="thin"/>
      <top/>
      <bottom style="medium"/>
      <diagonal/>
    </border>
  </borders>
  <cellStyleXfs count="6">
    <xf numFmtId="164" fontId="0" fillId="0" borderId="0"/>
    <xf numFmtId="43" fontId="1" fillId="0" borderId="0"/>
    <xf numFmtId="41" fontId="1" fillId="0" borderId="0"/>
    <xf numFmtId="44" fontId="1" fillId="0" borderId="0"/>
    <xf numFmtId="42" fontId="1" fillId="0" borderId="0"/>
    <xf numFmtId="9" fontId="1" fillId="0" borderId="0"/>
  </cellStyleXfs>
  <cellXfs count="259">
    <xf numFmtId="164" applyNumberFormat="1" fontId="0" applyFont="1" fillId="0" applyFill="1" borderId="0" applyBorder="1" xfId="0"/>
    <xf numFmtId="43" applyNumberFormat="1" fontId="1" applyFont="1" fillId="0" applyFill="1" borderId="0" applyBorder="1" xfId="1"/>
    <xf numFmtId="41" applyNumberFormat="1" fontId="1" applyFont="1" fillId="0" applyFill="1" borderId="0" applyBorder="1" xfId="2"/>
    <xf numFmtId="44" applyNumberFormat="1" fontId="1" applyFont="1" fillId="0" applyFill="1" borderId="0" applyBorder="1" xfId="3"/>
    <xf numFmtId="42" applyNumberFormat="1" fontId="1" applyFont="1" fillId="0" applyFill="1" borderId="0" applyBorder="1" xfId="4"/>
    <xf numFmtId="9" applyNumberFormat="1" fontId="1" applyFont="1" fillId="0" applyFill="1" borderId="0" applyBorder="1" xfId="5"/>
    <xf numFmtId="164" applyNumberFormat="1" fontId="2" applyFont="1" fillId="2" applyFill="1" borderId="0" applyBorder="1" xfId="0"/>
    <xf numFmtId="164" applyNumberFormat="1" fontId="3" applyFont="1" fillId="3" applyFill="1" borderId="0" applyBorder="1" xfId="0">
      <alignment horizontal="left" vertical="center"/>
    </xf>
    <xf numFmtId="164" applyNumberFormat="1" fontId="0" applyFont="1" fillId="0" applyFill="1" borderId="0" applyBorder="1" xfId="0">
      <alignment horizontal="left" vertical="center"/>
    </xf>
    <xf numFmtId="164" applyNumberFormat="1" fontId="4" applyFont="1" fillId="3" applyFill="1" borderId="0" applyBorder="1" xfId="0">
      <alignment horizontal="left" vertical="center"/>
    </xf>
    <xf numFmtId="164" applyNumberFormat="1" fontId="5" applyFont="1" fillId="0" applyFill="1" borderId="0" applyBorder="1" xfId="0"/>
    <xf numFmtId="164" applyNumberFormat="1" fontId="6" applyFont="1" fillId="0" applyFill="1" borderId="1" applyBorder="1" xfId="0">
      <alignment horizontal="left" vertical="center" wrapText="1"/>
    </xf>
    <xf numFmtId="164" applyNumberFormat="1" fontId="6" applyFont="1" fillId="0" applyFill="1" borderId="2" applyBorder="1" xfId="0">
      <alignment horizontal="left" vertical="center" wrapText="1"/>
    </xf>
    <xf numFmtId="164" applyNumberFormat="1" fontId="6" applyFont="1" fillId="0" applyFill="1" borderId="3" applyBorder="1" xfId="0">
      <alignment horizontal="left" vertical="center" wrapText="1"/>
    </xf>
    <xf numFmtId="164" applyNumberFormat="1" fontId="6" applyFont="1" fillId="0" applyFill="1" borderId="4" applyBorder="1" xfId="0">
      <alignment horizontal="left" vertical="center" wrapText="1"/>
    </xf>
    <xf numFmtId="164" applyNumberFormat="1" fontId="6" applyFont="1" fillId="0" applyFill="1" borderId="5" applyBorder="1" xfId="0">
      <alignment horizontal="left" vertical="center" wrapText="1"/>
    </xf>
    <xf numFmtId="164" applyNumberFormat="1" fontId="6" applyFont="1" fillId="0" applyFill="1" borderId="6" applyBorder="1" xfId="0">
      <alignment horizontal="left" vertical="center" wrapText="1"/>
    </xf>
    <xf numFmtId="164" applyNumberFormat="1" fontId="0" applyFont="1" fillId="0" applyFill="1" borderId="0" applyBorder="1" xfId="0">
      <alignment wrapText="1"/>
    </xf>
    <xf numFmtId="164" applyNumberFormat="1" fontId="0" applyFont="1" fillId="4" applyFill="1" borderId="0" applyBorder="1" xfId="0"/>
    <xf numFmtId="165" applyNumberFormat="1" fontId="0" applyFont="1" fillId="0" applyFill="1" borderId="0" applyBorder="1" xfId="0"/>
    <xf numFmtId="164" applyNumberFormat="1" fontId="7" applyFont="1" fillId="0" applyFill="1" borderId="7" applyBorder="1" xfId="0">
      <alignment horizontal="left"/>
    </xf>
    <xf numFmtId="164" applyNumberFormat="1" fontId="8" applyFont="1" fillId="0" applyFill="1" borderId="0" applyBorder="1" xfId="0">
      <alignment horizontal="right"/>
    </xf>
    <xf numFmtId="164" applyNumberFormat="1" fontId="9" applyFont="1" fillId="0" applyFill="1" borderId="0" applyBorder="1" xfId="0">
      <alignment horizontal="right"/>
    </xf>
    <xf numFmtId="164" applyNumberFormat="1" fontId="10" applyFont="1" fillId="0" applyFill="1" borderId="8" applyBorder="1" xfId="0"/>
    <xf numFmtId="164" applyNumberFormat="1" fontId="10" applyFont="1" fillId="0" applyFill="1" borderId="0" applyBorder="1" xfId="0"/>
    <xf numFmtId="165" applyNumberFormat="1" fontId="10" applyFont="1" fillId="0" applyFill="1" borderId="8" applyBorder="1" xfId="0">
      <alignment horizontal="left" vertical="top"/>
    </xf>
    <xf numFmtId="165" applyNumberFormat="1" fontId="10" applyFont="1" fillId="0" applyFill="1" borderId="0" applyBorder="1" xfId="0">
      <alignment horizontal="left" vertical="top"/>
    </xf>
    <xf numFmtId="164" applyNumberFormat="1" fontId="11" applyFont="1" fillId="0" applyFill="1" borderId="0" applyBorder="1" xfId="0">
      <alignment horizontal="left"/>
    </xf>
    <xf numFmtId="164" applyNumberFormat="1" fontId="2" applyFont="1" fillId="0" applyFill="1" borderId="0" applyBorder="1" xfId="0"/>
    <xf numFmtId="164" applyNumberFormat="1" fontId="11" applyFont="1" fillId="0" applyFill="1" borderId="0" applyBorder="1" xfId="0"/>
    <xf numFmtId="166" applyNumberFormat="1" fontId="0" applyFont="1" fillId="0" applyFill="1" borderId="0" applyBorder="1" xfId="0"/>
    <xf numFmtId="164" applyNumberFormat="1" fontId="12" applyFont="1" fillId="5" applyFill="1" borderId="9" applyBorder="1" xfId="0"/>
    <xf numFmtId="164" applyNumberFormat="1" fontId="12" applyFont="1" fillId="5" applyFill="1" borderId="10" applyBorder="1" xfId="0"/>
    <xf numFmtId="164" applyNumberFormat="1" fontId="2" applyFont="1" fillId="5" applyFill="1" borderId="10" applyBorder="1" xfId="0"/>
    <xf numFmtId="166" applyNumberFormat="1" fontId="2" applyFont="1" fillId="5" applyFill="1" borderId="11" applyBorder="1" xfId="0"/>
    <xf numFmtId="164" applyNumberFormat="1" fontId="0" applyFont="1" fillId="0" applyFill="1" borderId="12" applyBorder="1" xfId="0"/>
    <xf numFmtId="164" applyNumberFormat="1" fontId="0" applyFont="1" fillId="0" applyFill="1" borderId="0" applyBorder="1" xfId="0"/>
    <xf numFmtId="166" applyNumberFormat="1" fontId="0" applyFont="1" fillId="0" applyFill="1" borderId="13" applyBorder="1" xfId="0">
      <alignment horizontal="left" vertical="center"/>
    </xf>
    <xf numFmtId="165" applyNumberFormat="1" fontId="0" applyFont="1" fillId="0" applyFill="1" borderId="13" applyBorder="1" xfId="0">
      <alignment horizontal="left" vertical="center" wrapText="1"/>
    </xf>
    <xf numFmtId="164" applyNumberFormat="1" fontId="0" applyFont="1" fillId="0" applyFill="1" borderId="14" applyBorder="1" xfId="0"/>
    <xf numFmtId="164" applyNumberFormat="1" fontId="0" applyFont="1" fillId="0" applyFill="1" borderId="15" applyBorder="1" xfId="0"/>
    <xf numFmtId="166" applyNumberFormat="1" fontId="0" applyFont="1" fillId="0" applyFill="1" borderId="15" applyBorder="1" xfId="0"/>
    <xf numFmtId="166" applyNumberFormat="1" fontId="0" applyFont="1" fillId="0" applyFill="1" borderId="16" applyBorder="1" xfId="0"/>
    <xf numFmtId="164" applyNumberFormat="1" fontId="0" applyFont="1" fillId="6" applyFill="1" borderId="17" applyBorder="1" xfId="0"/>
    <xf numFmtId="165" applyNumberFormat="1" fontId="0" applyFont="1" fillId="6" applyFill="1" borderId="18" applyBorder="1" xfId="0"/>
    <xf numFmtId="167" applyNumberFormat="1" fontId="0" applyFont="1" fillId="0" applyFill="1" borderId="0" applyBorder="1" xfId="0"/>
    <xf numFmtId="164" applyNumberFormat="1" fontId="2" applyFont="1" fillId="2" applyFill="1" borderId="9" applyBorder="1" xfId="0"/>
    <xf numFmtId="164" applyNumberFormat="1" fontId="2" applyFont="1" fillId="2" applyFill="1" borderId="19" applyBorder="1" xfId="0">
      <alignment horizontal="center" wrapText="1"/>
    </xf>
    <xf numFmtId="168" applyNumberFormat="1" fontId="2" applyFont="1" fillId="2" applyFill="1" borderId="19" applyBorder="1" xfId="0">
      <alignment horizontal="center" vertical="top"/>
    </xf>
    <xf numFmtId="168" applyNumberFormat="1" fontId="2" applyFont="1" fillId="2" applyFill="1" borderId="10" applyBorder="1" xfId="0">
      <alignment horizontal="center" vertical="top"/>
    </xf>
    <xf numFmtId="168" applyNumberFormat="1" fontId="2" applyFont="1" fillId="2" applyFill="1" borderId="19" applyBorder="1" xfId="0">
      <alignment horizontal="center" vertical="center"/>
    </xf>
    <xf numFmtId="164" applyNumberFormat="1" fontId="2" applyFont="1" fillId="2" applyFill="1" borderId="12" applyBorder="1" xfId="0"/>
    <xf numFmtId="164" applyNumberFormat="1" fontId="2" applyFont="1" fillId="2" applyFill="1" borderId="12" applyBorder="1" xfId="0">
      <alignment horizontal="center" vertical="top"/>
    </xf>
    <xf numFmtId="164" applyNumberFormat="1" fontId="2" applyFont="1" fillId="2" applyFill="1" borderId="13" applyBorder="1" xfId="0">
      <alignment horizontal="center" vertical="top"/>
    </xf>
    <xf numFmtId="164" applyNumberFormat="1" fontId="2" applyFont="1" fillId="2" applyFill="1" borderId="0" applyBorder="1" xfId="0">
      <alignment horizontal="center" vertical="top"/>
    </xf>
    <xf numFmtId="169" applyNumberFormat="1" fontId="0" applyFont="1" fillId="0" applyFill="1" borderId="0" applyBorder="1" xfId="0"/>
    <xf numFmtId="164" applyNumberFormat="1" fontId="2" applyFont="1" fillId="7" applyFill="1" borderId="12" applyBorder="1" xfId="0"/>
    <xf numFmtId="164" applyNumberFormat="1" fontId="2" applyFont="1" fillId="4" applyFill="1" borderId="0" applyBorder="1" xfId="0"/>
    <xf numFmtId="164" applyNumberFormat="1" fontId="2" applyFont="1" fillId="4" applyFill="1" borderId="0" applyBorder="1" xfId="0">
      <alignment horizontal="center" vertical="top"/>
    </xf>
    <xf numFmtId="164" applyNumberFormat="1" fontId="2" applyFont="1" fillId="4" applyFill="1" borderId="13" applyBorder="1" xfId="0">
      <alignment horizontal="center" vertical="top"/>
    </xf>
    <xf numFmtId="164" applyNumberFormat="1" fontId="2" applyFont="1" fillId="4" applyFill="1" borderId="12" applyBorder="1" xfId="0">
      <alignment horizontal="center" vertical="top"/>
    </xf>
    <xf numFmtId="167" applyNumberFormat="1" fontId="0" applyFont="1" fillId="0" applyFill="1" borderId="0" applyBorder="1" xfId="0">
      <alignment vertical="center"/>
    </xf>
    <xf numFmtId="167" applyNumberFormat="1" fontId="0" applyFont="1" fillId="4" applyFill="1" borderId="0" applyBorder="1" xfId="0"/>
    <xf numFmtId="167" applyNumberFormat="1" fontId="0" applyFont="1" fillId="4" applyFill="1" borderId="13" applyBorder="1" xfId="0"/>
    <xf numFmtId="167" applyNumberFormat="1" fontId="0" applyFont="1" fillId="4" applyFill="1" borderId="12" applyBorder="1" xfId="0"/>
    <xf numFmtId="170" applyNumberFormat="1" fontId="0" applyFont="1" fillId="0" applyFill="1" borderId="0" applyBorder="1" xfId="0"/>
    <xf numFmtId="169" applyNumberFormat="1" fontId="0" applyFont="1" fillId="0" applyFill="1" borderId="0" applyBorder="1" xfId="0">
      <alignment vertical="center"/>
    </xf>
    <xf numFmtId="169" applyNumberFormat="1" fontId="0" applyFont="1" fillId="4" applyFill="1" borderId="0" applyBorder="1" xfId="0"/>
    <xf numFmtId="169" applyNumberFormat="1" fontId="0" applyFont="1" fillId="4" applyFill="1" borderId="13" applyBorder="1" xfId="0"/>
    <xf numFmtId="169" applyNumberFormat="1" fontId="0" applyFont="1" fillId="4" applyFill="1" borderId="12" applyBorder="1" xfId="0"/>
    <xf numFmtId="165" applyNumberFormat="1" fontId="0" applyFont="1" fillId="4" applyFill="1" borderId="0" applyBorder="1" xfId="0"/>
    <xf numFmtId="165" applyNumberFormat="1" fontId="0" applyFont="1" fillId="4" applyFill="1" borderId="13" applyBorder="1" xfId="0"/>
    <xf numFmtId="165" applyNumberFormat="1" fontId="0" applyFont="1" fillId="4" applyFill="1" borderId="12" applyBorder="1" xfId="0"/>
    <xf numFmtId="171" applyNumberFormat="1" fontId="0" applyFont="1" fillId="0" applyFill="1" borderId="0" applyBorder="1" xfId="0"/>
    <xf numFmtId="164" applyNumberFormat="1" fontId="0" applyFont="1" fillId="4" applyFill="1" borderId="15" applyBorder="1" xfId="0"/>
    <xf numFmtId="165" applyNumberFormat="1" fontId="0" applyFont="1" fillId="4" applyFill="1" borderId="15" applyBorder="1" xfId="0"/>
    <xf numFmtId="165" applyNumberFormat="1" fontId="0" applyFont="1" fillId="4" applyFill="1" borderId="16" applyBorder="1" xfId="0"/>
    <xf numFmtId="165" applyNumberFormat="1" fontId="0" applyFont="1" fillId="4" applyFill="1" borderId="14" applyBorder="1" xfId="0"/>
    <xf numFmtId="164" applyNumberFormat="1" fontId="13" applyFont="1" fillId="8" applyFill="1" borderId="19" applyBorder="1" xfId="0">
      <alignment horizontal="center"/>
    </xf>
    <xf numFmtId="164" applyNumberFormat="1" fontId="13" applyFont="1" fillId="8" applyFill="1" borderId="10" applyBorder="1" xfId="0">
      <alignment horizontal="center"/>
    </xf>
    <xf numFmtId="164" applyNumberFormat="1" fontId="2" applyFont="1" fillId="2" applyFill="1" borderId="9" applyBorder="1" xfId="0">
      <alignment horizontal="center" wrapText="1"/>
    </xf>
    <xf numFmtId="168" applyNumberFormat="1" fontId="2" applyFont="1" fillId="4" applyFill="1" borderId="19" applyBorder="1" xfId="0">
      <alignment horizontal="center" vertical="top"/>
    </xf>
    <xf numFmtId="168" applyNumberFormat="1" fontId="2" applyFont="1" fillId="4" applyFill="1" borderId="10" applyBorder="1" xfId="0">
      <alignment horizontal="center" vertical="top"/>
    </xf>
    <xf numFmtId="168" applyNumberFormat="1" fontId="2" applyFont="1" fillId="2" applyFill="1" borderId="11" applyBorder="1" xfId="0">
      <alignment horizontal="center" vertical="top" wrapText="1"/>
    </xf>
    <xf numFmtId="165" applyNumberFormat="1" fontId="0" applyFont="1" fillId="9" applyFill="1" borderId="0" applyBorder="1" xfId="0"/>
    <xf numFmtId="164" applyNumberFormat="1" fontId="2" applyFont="1" fillId="8" applyFill="1" borderId="12" applyBorder="1" xfId="0">
      <alignment horizontal="center" vertical="center"/>
    </xf>
    <xf numFmtId="164" applyNumberFormat="1" fontId="2" applyFont="1" fillId="8" applyFill="1" borderId="0" applyBorder="1" xfId="0">
      <alignment horizontal="center" vertical="center"/>
    </xf>
    <xf numFmtId="164" applyNumberFormat="1" fontId="0" applyFont="1" fillId="4" applyFill="1" borderId="12" applyBorder="1" xfId="0"/>
    <xf numFmtId="164" applyNumberFormat="1" fontId="0" applyFont="1" fillId="4" applyFill="1" borderId="13" applyBorder="1" xfId="0"/>
    <xf numFmtId="164" applyNumberFormat="1" fontId="0" applyFont="1" fillId="0" applyFill="1" borderId="13" applyBorder="1" xfId="0"/>
    <xf numFmtId="165" applyNumberFormat="1" fontId="0" applyFont="1" fillId="10" applyFill="1" borderId="12" applyBorder="1" xfId="0"/>
    <xf numFmtId="165" applyNumberFormat="1" fontId="0" applyFont="1" fillId="10" applyFill="1" borderId="0" applyBorder="1" xfId="0"/>
    <xf numFmtId="164" applyNumberFormat="1" fontId="0" applyFont="1" fillId="10" applyFill="1" borderId="0" applyBorder="1" xfId="0"/>
    <xf numFmtId="164" applyNumberFormat="1" fontId="0" applyFont="1" fillId="11" applyFill="1" borderId="12" applyBorder="1" xfId="0"/>
    <xf numFmtId="164" applyNumberFormat="1" fontId="0" applyFont="1" fillId="12" applyFill="1" borderId="0" applyBorder="1" xfId="0"/>
    <xf numFmtId="164" applyNumberFormat="1" fontId="0" applyFont="1" fillId="11" applyFill="1" borderId="0" applyBorder="1" xfId="0"/>
    <xf numFmtId="164" applyNumberFormat="1" fontId="0" applyFont="1" fillId="11" applyFill="1" borderId="13" applyBorder="1" xfId="0"/>
    <xf numFmtId="165" applyNumberFormat="1" fontId="0" applyFont="1" fillId="0" applyFill="1" borderId="12" applyBorder="1" xfId="0"/>
    <xf numFmtId="165" applyNumberFormat="1" fontId="0" applyFont="1" fillId="12" applyFill="1" borderId="0" applyBorder="1" xfId="0"/>
    <xf numFmtId="171" applyNumberFormat="1" fontId="0" applyFont="1" fillId="0" applyFill="1" borderId="13" applyBorder="1" xfId="0"/>
    <xf numFmtId="165" applyNumberFormat="1" fontId="0" applyFont="1" fillId="13" applyFill="1" borderId="17" applyBorder="1" xfId="0"/>
    <xf numFmtId="165" applyNumberFormat="1" fontId="0" applyFont="1" fillId="13" applyFill="1" borderId="18" applyBorder="1" xfId="0"/>
    <xf numFmtId="165" applyNumberFormat="1" fontId="0" applyFont="1" fillId="11" applyFill="1" borderId="12" applyBorder="1" xfId="0"/>
    <xf numFmtId="171" applyNumberFormat="1" fontId="0" applyFont="1" fillId="12" applyFill="1" borderId="13" applyBorder="1" xfId="0"/>
    <xf numFmtId="164" applyNumberFormat="1" fontId="14" applyFont="1" fillId="11" applyFill="1" borderId="12" applyBorder="1" xfId="0">
      <alignment horizontal="left" vertical="center"/>
    </xf>
    <xf numFmtId="165" applyNumberFormat="1" fontId="0" applyFont="1" fillId="10" applyFill="1" borderId="14" applyBorder="1" xfId="0"/>
    <xf numFmtId="165" applyNumberFormat="1" fontId="0" applyFont="1" fillId="10" applyFill="1" borderId="15" applyBorder="1" xfId="0"/>
    <xf numFmtId="164" applyNumberFormat="1" fontId="0" applyFont="1" fillId="11" applyFill="1" borderId="14" applyBorder="1" xfId="0"/>
    <xf numFmtId="164" applyNumberFormat="1" fontId="0" applyFont="1" fillId="12" applyFill="1" borderId="15" applyBorder="1" xfId="0"/>
    <xf numFmtId="164" applyNumberFormat="1" fontId="0" applyFont="1" fillId="11" applyFill="1" borderId="15" applyBorder="1" xfId="0"/>
    <xf numFmtId="164" applyNumberFormat="1" fontId="0" applyFont="1" fillId="4" applyFill="1" borderId="14" applyBorder="1" xfId="0"/>
    <xf numFmtId="164" applyNumberFormat="1" fontId="0" applyFont="1" fillId="4" applyFill="1" borderId="16" applyBorder="1" xfId="0"/>
    <xf numFmtId="164" applyNumberFormat="1" fontId="0" applyFont="1" fillId="9" applyFill="1" borderId="14" applyBorder="1" xfId="0"/>
    <xf numFmtId="165" applyNumberFormat="1" fontId="0" applyFont="1" fillId="9" applyFill="1" borderId="15" applyBorder="1" xfId="0"/>
    <xf numFmtId="171" applyNumberFormat="1" fontId="0" applyFont="1" fillId="4" applyFill="1" borderId="15" applyBorder="1" xfId="0"/>
    <xf numFmtId="165" applyNumberFormat="1" fontId="0" applyFont="1" fillId="9" applyFill="1" borderId="16" applyBorder="1" xfId="0"/>
    <xf numFmtId="164" applyNumberFormat="1" fontId="2" applyFont="1" fillId="2" applyFill="1" borderId="19" applyBorder="1" xfId="0"/>
    <xf numFmtId="164" applyNumberFormat="1" fontId="2" applyFont="1" fillId="2" applyFill="1" borderId="11" applyBorder="1" xfId="0"/>
    <xf numFmtId="164" applyNumberFormat="1" fontId="2" applyFont="1" fillId="2" applyFill="1" borderId="20" applyBorder="1" xfId="0"/>
    <xf numFmtId="164" applyNumberFormat="1" fontId="2" applyFont="1" fillId="2" applyFill="1" borderId="13" applyBorder="1" xfId="0"/>
    <xf numFmtId="164" applyNumberFormat="1" fontId="0" applyFont="1" fillId="0" applyFill="1" borderId="20" applyBorder="1" xfId="0"/>
    <xf numFmtId="164" applyNumberFormat="1" fontId="0" applyFont="1" fillId="11" applyFill="1" borderId="20" applyBorder="1" xfId="0"/>
    <xf numFmtId="165" applyNumberFormat="1" fontId="0" applyFont="1" fillId="0" applyFill="1" borderId="20" applyBorder="1" xfId="0"/>
    <xf numFmtId="165" applyNumberFormat="1" fontId="0" applyFont="1" fillId="0" applyFill="1" borderId="13" applyBorder="1" xfId="0"/>
    <xf numFmtId="165" applyNumberFormat="1" fontId="0" applyFont="1" fillId="12" applyFill="1" borderId="20" applyBorder="1" xfId="0"/>
    <xf numFmtId="165" applyNumberFormat="1" fontId="0" applyFont="1" fillId="12" applyFill="1" borderId="13" applyBorder="1" xfId="0"/>
    <xf numFmtId="165" applyNumberFormat="1" fontId="0" applyFont="1" fillId="12" applyFill="1" borderId="21" applyBorder="1" xfId="0"/>
    <xf numFmtId="165" applyNumberFormat="1" fontId="0" applyFont="1" fillId="12" applyFill="1" borderId="16" applyBorder="1" xfId="0"/>
    <xf numFmtId="164" applyNumberFormat="1" fontId="0" applyFont="1" fillId="14" applyFill="1" borderId="0" applyBorder="1" xfId="0"/>
    <xf numFmtId="171" applyNumberFormat="1" fontId="0" applyFont="1" fillId="14" applyFill="1" borderId="0" applyBorder="1" xfId="0"/>
    <xf numFmtId="164" applyNumberFormat="1" fontId="14" applyFont="1" fillId="0" applyFill="1" borderId="0" applyBorder="1" xfId="0"/>
    <xf numFmtId="164" applyNumberFormat="1" fontId="13" applyFont="1" fillId="2" applyFill="1" borderId="9" applyBorder="1" xfId="0">
      <alignment horizontal="left" vertical="center"/>
    </xf>
    <xf numFmtId="164" applyNumberFormat="1" fontId="13" applyFont="1" fillId="2" applyFill="1" borderId="10" applyBorder="1" xfId="0">
      <alignment horizontal="left" vertical="center"/>
    </xf>
    <xf numFmtId="164" applyNumberFormat="1" fontId="12" applyFont="1" fillId="2" applyFill="1" borderId="10" applyBorder="1" xfId="0">
      <alignment horizontal="center" vertical="center"/>
    </xf>
    <xf numFmtId="164" applyNumberFormat="1" fontId="13" applyFont="1" fillId="2" applyFill="1" borderId="10" applyBorder="1" xfId="0">
      <alignment horizontal="center" vertical="center"/>
    </xf>
    <xf numFmtId="164" applyNumberFormat="1" fontId="13" applyFont="1" fillId="2" applyFill="1" borderId="11" applyBorder="1" xfId="0">
      <alignment horizontal="center" vertical="center"/>
    </xf>
    <xf numFmtId="164" applyNumberFormat="1" fontId="14" applyFont="1" fillId="0" applyFill="1" borderId="12" applyBorder="1" xfId="0">
      <alignment horizontal="left" vertical="center"/>
    </xf>
    <xf numFmtId="164" applyNumberFormat="1" fontId="14" applyFont="1" fillId="0" applyFill="1" borderId="0" applyBorder="1" xfId="0">
      <alignment horizontal="left" vertical="center"/>
    </xf>
    <xf numFmtId="165" applyNumberFormat="1" fontId="14" applyFont="1" fillId="0" applyFill="1" borderId="0" applyBorder="1" xfId="0">
      <alignment horizontal="center" vertical="center"/>
    </xf>
    <xf numFmtId="165" applyNumberFormat="1" fontId="12" applyFont="1" fillId="0" applyFill="1" borderId="13" applyBorder="1" xfId="0">
      <alignment horizontal="center" vertical="center"/>
    </xf>
    <xf numFmtId="172" applyNumberFormat="1" fontId="0" applyFont="1" fillId="0" applyFill="1" borderId="0" applyBorder="1" xfId="0"/>
    <xf numFmtId="164" applyNumberFormat="1" fontId="14" applyFont="1" fillId="4" applyFill="1" borderId="22" applyBorder="1" xfId="0">
      <alignment horizontal="left" vertical="center"/>
    </xf>
    <xf numFmtId="164" applyNumberFormat="1" fontId="14" applyFont="1" fillId="4" applyFill="1" borderId="23" applyBorder="1" xfId="0">
      <alignment horizontal="left" vertical="center"/>
    </xf>
    <xf numFmtId="165" applyNumberFormat="1" fontId="14" applyFont="1" fillId="4" applyFill="1" borderId="23" applyBorder="1" xfId="0">
      <alignment horizontal="center" vertical="center"/>
    </xf>
    <xf numFmtId="165" applyNumberFormat="1" fontId="14" applyFont="1" fillId="4" applyFill="1" borderId="24" applyBorder="1" xfId="0">
      <alignment horizontal="center" vertical="center"/>
    </xf>
    <xf numFmtId="164" applyNumberFormat="1" fontId="14" applyFont="1" fillId="0" applyFill="1" borderId="25" applyBorder="1" xfId="0">
      <alignment horizontal="left" vertical="center"/>
    </xf>
    <xf numFmtId="164" applyNumberFormat="1" fontId="14" applyFont="1" fillId="0" applyFill="1" borderId="26" applyBorder="1" xfId="0">
      <alignment horizontal="left" vertical="center"/>
    </xf>
    <xf numFmtId="167" applyNumberFormat="1" fontId="14" applyFont="1" fillId="0" applyFill="1" borderId="26" applyBorder="1" xfId="0">
      <alignment horizontal="center" vertical="center"/>
    </xf>
    <xf numFmtId="167" applyNumberFormat="1" fontId="14" applyFont="1" fillId="0" applyFill="1" borderId="27" applyBorder="1" xfId="0">
      <alignment horizontal="center" vertical="center"/>
    </xf>
    <xf numFmtId="164" applyNumberFormat="1" fontId="14" applyFont="1" fillId="4" applyFill="1" borderId="14" applyBorder="1" xfId="0">
      <alignment horizontal="left" vertical="center"/>
    </xf>
    <xf numFmtId="164" applyNumberFormat="1" fontId="14" applyFont="1" fillId="4" applyFill="1" borderId="15" applyBorder="1" xfId="0">
      <alignment horizontal="left" vertical="center"/>
    </xf>
    <xf numFmtId="165" applyNumberFormat="1" fontId="14" applyFont="1" fillId="4" applyFill="1" borderId="15" applyBorder="1" xfId="0"/>
    <xf numFmtId="165" applyNumberFormat="1" fontId="14" applyFont="1" fillId="4" applyFill="1" borderId="16" applyBorder="1" xfId="0"/>
    <xf numFmtId="164" applyNumberFormat="1" fontId="14" applyFont="1" fillId="0" applyFill="1" borderId="0" applyBorder="1" xfId="0">
      <alignment horizontal="center" vertical="center"/>
    </xf>
    <xf numFmtId="164" applyNumberFormat="1" fontId="12" applyFont="1" fillId="0" applyFill="1" borderId="0" applyBorder="1" xfId="0">
      <alignment horizontal="center" vertical="center"/>
    </xf>
    <xf numFmtId="164" applyNumberFormat="1" fontId="13" applyFont="1" fillId="2" applyFill="1" borderId="9" applyBorder="1" xfId="0">
      <alignment horizontal="center" vertical="center"/>
    </xf>
    <xf numFmtId="164" applyNumberFormat="1" fontId="0" applyFont="1" fillId="0" applyFill="1" borderId="9" applyBorder="1" xfId="0"/>
    <xf numFmtId="164" applyNumberFormat="1" fontId="0" applyFont="1" fillId="0" applyFill="1" borderId="10" applyBorder="1" xfId="0"/>
    <xf numFmtId="171" applyNumberFormat="1" fontId="14" applyFont="1" fillId="0" applyFill="1" borderId="10" applyBorder="1" xfId="0"/>
    <xf numFmtId="171" applyNumberFormat="1" fontId="0" applyFont="1" fillId="0" applyFill="1" borderId="10" applyBorder="1" xfId="0"/>
    <xf numFmtId="165" applyNumberFormat="1" fontId="0" applyFont="1" fillId="0" applyFill="1" borderId="10" applyBorder="1" xfId="0"/>
    <xf numFmtId="165" applyNumberFormat="1" fontId="0" applyFont="1" fillId="9" applyFill="1" borderId="19" applyBorder="1" xfId="0"/>
    <xf numFmtId="164" applyNumberFormat="1" fontId="0" applyFont="1" fillId="0" applyFill="1" borderId="25" applyBorder="1" xfId="0"/>
    <xf numFmtId="164" applyNumberFormat="1" fontId="0" applyFont="1" fillId="0" applyFill="1" borderId="26" applyBorder="1" xfId="0"/>
    <xf numFmtId="165" applyNumberFormat="1" fontId="14" applyFont="1" fillId="0" applyFill="1" borderId="26" applyBorder="1" xfId="0"/>
    <xf numFmtId="165" applyNumberFormat="1" fontId="0" applyFont="1" fillId="0" applyFill="1" borderId="27" applyBorder="1" xfId="0"/>
    <xf numFmtId="169" applyNumberFormat="1" fontId="14" applyFont="1" fillId="0" applyFill="1" borderId="0" applyBorder="1" xfId="0"/>
    <xf numFmtId="165" applyNumberFormat="1" fontId="0" applyFont="1" fillId="9" applyFill="1" borderId="20" applyBorder="1" xfId="0"/>
    <xf numFmtId="165" applyNumberFormat="1" fontId="14" applyFont="1" fillId="0" applyFill="1" borderId="0" applyBorder="1" xfId="0"/>
    <xf numFmtId="165" applyNumberFormat="1" fontId="14" applyFont="1" fillId="0" applyFill="1" borderId="13" applyBorder="1" xfId="0"/>
    <xf numFmtId="173" applyNumberFormat="1" fontId="14" applyFont="1" fillId="0" applyFill="1" borderId="0" applyBorder="1" xfId="0"/>
    <xf numFmtId="173" applyNumberFormat="1" fontId="14" applyFont="1" fillId="0" applyFill="1" borderId="13" applyBorder="1" xfId="0"/>
    <xf numFmtId="167" applyNumberFormat="1" fontId="0" applyFont="1" fillId="9" applyFill="1" borderId="20" applyBorder="1" xfId="0"/>
    <xf numFmtId="164" applyNumberFormat="1" fontId="0" applyFont="1" fillId="9" applyFill="1" borderId="20" applyBorder="1" xfId="0"/>
    <xf numFmtId="171" applyNumberFormat="1" fontId="0" applyFont="1" fillId="9" applyFill="1" borderId="21" applyBorder="1" xfId="0"/>
    <xf numFmtId="164" applyNumberFormat="1" fontId="0" applyFont="1" fillId="3" applyFill="1" borderId="28" applyBorder="1" xfId="0"/>
    <xf numFmtId="164" applyNumberFormat="1" fontId="0" applyFont="1" fillId="3" applyFill="1" borderId="29" applyBorder="1" xfId="0"/>
    <xf numFmtId="167" applyNumberFormat="1" fontId="14" applyFont="1" fillId="3" applyFill="1" borderId="30" applyBorder="1" xfId="0"/>
    <xf numFmtId="167" applyNumberFormat="1" fontId="14" applyFont="1" fillId="6" applyFill="1" borderId="19" applyBorder="1" xfId="0"/>
    <xf numFmtId="174" applyNumberFormat="1" fontId="14" applyFont="1" fillId="0" applyFill="1" borderId="0" applyBorder="1" xfId="0"/>
    <xf numFmtId="164" applyNumberFormat="1" fontId="0" applyFont="1" fillId="3" applyFill="1" borderId="31" applyBorder="1" xfId="0"/>
    <xf numFmtId="164" applyNumberFormat="1" fontId="0" applyFont="1" fillId="3" applyFill="1" borderId="32" applyBorder="1" xfId="0"/>
    <xf numFmtId="165" applyNumberFormat="1" fontId="14" applyFont="1" fillId="3" applyFill="1" borderId="33" applyBorder="1" xfId="0"/>
    <xf numFmtId="165" applyNumberFormat="1" fontId="14" applyFont="1" fillId="0" applyFill="1" borderId="20" applyBorder="1" xfId="0"/>
    <xf numFmtId="169" applyNumberFormat="1" fontId="14" applyFont="1" fillId="3" applyFill="1" borderId="33" applyBorder="1" xfId="0">
      <alignment horizontal="right"/>
    </xf>
    <xf numFmtId="169" applyNumberFormat="1" fontId="14" applyFont="1" fillId="6" applyFill="1" borderId="34" applyBorder="1" xfId="0"/>
    <xf numFmtId="164" applyNumberFormat="1" fontId="0" applyFont="1" fillId="3" applyFill="1" borderId="35" applyBorder="1" xfId="0"/>
    <xf numFmtId="164" applyNumberFormat="1" fontId="0" applyFont="1" fillId="3" applyFill="1" borderId="36" applyBorder="1" xfId="0"/>
    <xf numFmtId="165" applyNumberFormat="1" fontId="14" applyFont="1" fillId="3" applyFill="1" borderId="37" applyBorder="1" xfId="0">
      <alignment horizontal="right"/>
    </xf>
    <xf numFmtId="165" applyNumberFormat="1" fontId="14" applyFont="1" fillId="0" applyFill="1" borderId="21" applyBorder="1" xfId="0"/>
    <xf numFmtId="164" applyNumberFormat="1" fontId="14" applyFont="1" fillId="0" applyFill="1" borderId="15" applyBorder="1" xfId="0"/>
    <xf numFmtId="173" applyNumberFormat="1" fontId="0" applyFont="1" fillId="0" applyFill="1" borderId="15" applyBorder="1" xfId="0"/>
    <xf numFmtId="164" applyNumberFormat="1" fontId="0" applyFont="1" fillId="0" applyFill="1" borderId="16" applyBorder="1" xfId="0"/>
    <xf numFmtId="167" applyNumberFormat="1" fontId="14" applyFont="1" fillId="0" applyFill="1" borderId="0" applyBorder="1" xfId="0"/>
    <xf numFmtId="167" applyNumberFormat="1" fontId="14" applyFont="1" fillId="0" applyFill="1" borderId="13" applyBorder="1" xfId="0"/>
    <xf numFmtId="175" applyNumberFormat="1" fontId="14" applyFont="1" fillId="6" applyFill="1" borderId="34" applyBorder="1" xfId="0"/>
    <xf numFmtId="164" applyNumberFormat="1" fontId="13" applyFont="1" fillId="2" applyFill="1" borderId="9" applyBorder="1" xfId="0"/>
    <xf numFmtId="164" applyNumberFormat="1" fontId="13" applyFont="1" fillId="2" applyFill="1" borderId="10" applyBorder="1" xfId="0"/>
    <xf numFmtId="166" applyNumberFormat="1" fontId="13" applyFont="1" fillId="2" applyFill="1" borderId="11" applyBorder="1" xfId="0">
      <alignment horizontal="center" vertical="center"/>
    </xf>
    <xf numFmtId="169" applyNumberFormat="1" fontId="0" applyFont="1" fillId="0" applyFill="1" borderId="13" applyBorder="1" xfId="0"/>
    <xf numFmtId="169" applyNumberFormat="1" fontId="0" applyFont="1" fillId="0" applyFill="1" borderId="15" applyBorder="1" xfId="0"/>
    <xf numFmtId="169" applyNumberFormat="1" fontId="0" applyFont="1" fillId="0" applyFill="1" borderId="16" applyBorder="1" xfId="0"/>
    <xf numFmtId="164" applyNumberFormat="1" fontId="2" applyFont="1" fillId="2" applyFill="1" borderId="10" applyBorder="1" xfId="0"/>
    <xf numFmtId="166" applyNumberFormat="1" fontId="2" applyFont="1" fillId="2" applyFill="1" borderId="11" applyBorder="1" xfId="0">
      <alignment horizontal="center" vertical="center"/>
    </xf>
    <xf numFmtId="166" applyNumberFormat="1" fontId="0" applyFont="1" fillId="0" applyFill="1" borderId="12" applyBorder="1" xfId="0"/>
    <xf numFmtId="166" applyNumberFormat="1" fontId="0" applyFont="1" fillId="0" applyFill="1" borderId="14" applyBorder="1" xfId="0"/>
    <xf numFmtId="166" applyNumberFormat="1" fontId="2" applyFont="1" fillId="2" applyFill="1" borderId="9" applyBorder="1" xfId="0"/>
    <xf numFmtId="166" applyNumberFormat="1" fontId="2" applyFont="1" fillId="2" applyFill="1" borderId="10" applyBorder="1" xfId="0"/>
    <xf numFmtId="166" applyNumberFormat="1" fontId="2" applyFont="1" fillId="2" applyFill="1" borderId="11" applyBorder="1" xfId="0"/>
    <xf numFmtId="167" applyNumberFormat="1" fontId="0" applyFont="1" fillId="0" applyFill="1" borderId="13" applyBorder="1" xfId="0"/>
    <xf numFmtId="175" applyNumberFormat="1" fontId="0" applyFont="1" fillId="0" applyFill="1" borderId="13" applyBorder="1" xfId="0"/>
    <xf numFmtId="164" applyNumberFormat="1" fontId="0" applyFont="1" fillId="12" applyFill="1" borderId="12" applyBorder="1" xfId="0"/>
    <xf numFmtId="164" applyNumberFormat="1" fontId="0" applyFont="1" fillId="12" applyFill="1" borderId="13" applyBorder="1" xfId="0"/>
    <xf numFmtId="165" applyNumberFormat="1" fontId="0" applyFont="1" fillId="0" applyFill="1" borderId="26" applyBorder="1" xfId="0"/>
    <xf numFmtId="164" applyNumberFormat="1" fontId="0" applyFont="1" fillId="3" applyFill="1" borderId="12" applyBorder="1" xfId="0"/>
    <xf numFmtId="165" applyNumberFormat="1" fontId="0" applyFont="1" fillId="3" applyFill="1" borderId="0" applyBorder="1" xfId="0"/>
    <xf numFmtId="165" applyNumberFormat="1" fontId="0" applyFont="1" fillId="3" applyFill="1" borderId="13" applyBorder="1" xfId="0"/>
    <xf numFmtId="164" applyNumberFormat="1" fontId="0" applyFont="1" fillId="9" applyFill="1" borderId="12" applyBorder="1" xfId="0"/>
    <xf numFmtId="165" applyNumberFormat="1" fontId="0" applyFont="1" fillId="9" applyFill="1" borderId="13" applyBorder="1" xfId="0"/>
    <xf numFmtId="166" applyNumberFormat="1" fontId="13" applyFont="1" fillId="2" applyFill="1" borderId="10" applyBorder="1" xfId="0"/>
    <xf numFmtId="166" applyNumberFormat="1" fontId="13" applyFont="1" fillId="2" applyFill="1" borderId="11" applyBorder="1" xfId="0"/>
    <xf numFmtId="169" applyNumberFormat="1" fontId="0" applyFont="1" fillId="0" applyFill="1" borderId="10" applyBorder="1" xfId="0"/>
    <xf numFmtId="169" applyNumberFormat="1" fontId="0" applyFont="1" fillId="0" applyFill="1" borderId="11" applyBorder="1" xfId="0"/>
    <xf numFmtId="169" applyNumberFormat="1" fontId="0" applyFont="1" fillId="0" applyFill="1" borderId="26" applyBorder="1" xfId="0"/>
    <xf numFmtId="169" applyNumberFormat="1" fontId="0" applyFont="1" fillId="0" applyFill="1" borderId="27" applyBorder="1" xfId="0"/>
    <xf numFmtId="164" applyNumberFormat="1" fontId="0" applyFont="1" fillId="9" applyFill="1" borderId="15" applyBorder="1" xfId="0"/>
    <xf numFmtId="169" applyNumberFormat="1" fontId="0" applyFont="1" fillId="9" applyFill="1" borderId="16" applyBorder="1" xfId="0"/>
    <xf numFmtId="164" applyNumberFormat="1" fontId="0" applyFont="1" fillId="2" applyFill="1" borderId="9" applyBorder="1" xfId="0"/>
    <xf numFmtId="164" applyNumberFormat="1" fontId="13" applyFont="1" fillId="2" applyFill="1" borderId="38" applyBorder="1" xfId="0">
      <alignment horizontal="center" vertical="center"/>
    </xf>
    <xf numFmtId="164" applyNumberFormat="1" fontId="13" applyFont="1" fillId="2" applyFill="1" borderId="39" applyBorder="1" xfId="0">
      <alignment horizontal="center" vertical="center"/>
    </xf>
    <xf numFmtId="164" applyNumberFormat="1" fontId="13" applyFont="1" fillId="2" applyFill="1" borderId="19" applyBorder="1" xfId="0">
      <alignment horizontal="center" vertical="center"/>
    </xf>
    <xf numFmtId="164" applyNumberFormat="1" fontId="0" applyFont="1" fillId="11" applyFill="1" borderId="40" applyBorder="1" xfId="0"/>
    <xf numFmtId="164" applyNumberFormat="1" fontId="0" applyFont="1" fillId="11" applyFill="1" borderId="41" applyBorder="1" xfId="0"/>
    <xf numFmtId="164" applyNumberFormat="1" fontId="0" applyFont="1" fillId="12" applyFill="1" borderId="0" applyBorder="1" xfId="0">
      <alignment horizontal="center" vertical="center"/>
    </xf>
    <xf numFmtId="164" applyNumberFormat="1" fontId="0" applyFont="1" fillId="12" applyFill="1" borderId="13" applyBorder="1" xfId="0">
      <alignment horizontal="center" vertical="center"/>
    </xf>
    <xf numFmtId="164" applyNumberFormat="1" fontId="0" applyFont="1" fillId="12" applyFill="1" borderId="20" applyBorder="1" xfId="0"/>
    <xf numFmtId="165" applyNumberFormat="1" fontId="0" applyFont="1" fillId="0" applyFill="1" borderId="40" applyBorder="1" xfId="0"/>
    <xf numFmtId="165" applyNumberFormat="1" fontId="0" applyFont="1" fillId="0" applyFill="1" borderId="41" applyBorder="1" xfId="0"/>
    <xf numFmtId="167" applyNumberFormat="1" fontId="0" applyFont="1" fillId="3" applyFill="1" borderId="20" applyBorder="1" xfId="0"/>
    <xf numFmtId="165" applyNumberFormat="1" fontId="0" applyFont="1" fillId="0" applyFill="1" borderId="42" applyBorder="1" xfId="0"/>
    <xf numFmtId="165" applyNumberFormat="1" fontId="0" applyFont="1" fillId="0" applyFill="1" borderId="43" applyBorder="1" xfId="0"/>
    <xf numFmtId="167" applyNumberFormat="1" fontId="0" applyFont="1" fillId="3" applyFill="1" borderId="44" applyBorder="1" xfId="0"/>
    <xf numFmtId="165" applyNumberFormat="1" fontId="0" applyFont="1" fillId="12" applyFill="1" borderId="40" applyBorder="1" xfId="0"/>
    <xf numFmtId="165" applyNumberFormat="1" fontId="0" applyFont="1" fillId="12" applyFill="1" borderId="41" applyBorder="1" xfId="0"/>
    <xf numFmtId="171" applyNumberFormat="1" fontId="0" applyFont="1" fillId="0" applyFill="1" borderId="26" applyBorder="1" xfId="0"/>
    <xf numFmtId="171" applyNumberFormat="1" fontId="0" applyFont="1" fillId="0" applyFill="1" borderId="27" applyBorder="1" xfId="0"/>
    <xf numFmtId="171" applyNumberFormat="1" fontId="0" applyFont="1" fillId="12" applyFill="1" borderId="0" applyBorder="1" xfId="0"/>
    <xf numFmtId="165" applyNumberFormat="1" fontId="0" applyFont="1" fillId="12" applyFill="1" borderId="45" applyBorder="1" xfId="0"/>
    <xf numFmtId="165" applyNumberFormat="1" fontId="0" applyFont="1" fillId="12" applyFill="1" borderId="46" applyBorder="1" xfId="0"/>
    <xf numFmtId="171" applyNumberFormat="1" fontId="0" applyFont="1" fillId="12" applyFill="1" borderId="15" applyBorder="1" xfId="0"/>
    <xf numFmtId="171" applyNumberFormat="1" fontId="0" applyFont="1" fillId="12" applyFill="1" borderId="16" applyBorder="1" xfId="0"/>
    <xf numFmtId="164" applyNumberFormat="1" fontId="0" applyFont="1" fillId="12" applyFill="1" borderId="21" applyBorder="1" xfId="0"/>
    <xf numFmtId="164" applyNumberFormat="1" fontId="0" applyFont="1" fillId="15" applyFill="1" borderId="9" applyBorder="1" xfId="0"/>
    <xf numFmtId="164" applyNumberFormat="1" fontId="0" applyFont="1" fillId="15" applyFill="1" borderId="10" applyBorder="1" xfId="0"/>
    <xf numFmtId="164" applyNumberFormat="1" fontId="0" applyFont="1" fillId="15" applyFill="1" borderId="11" applyBorder="1" xfId="0"/>
    <xf numFmtId="167" applyNumberFormat="1" fontId="0" applyFont="1" fillId="0" applyFill="1" borderId="15" applyBorder="1" xfId="0"/>
    <xf numFmtId="167" applyNumberFormat="1" fontId="0" applyFont="1" fillId="0" applyFill="1" borderId="16" applyBorder="1" xfId="0"/>
    <xf numFmtId="164" applyNumberFormat="1" fontId="0" applyFont="1" fillId="12" applyFill="1" borderId="14" applyBorder="1" xfId="0"/>
    <xf numFmtId="164" applyNumberFormat="1" fontId="0" applyFont="1" fillId="12" applyFill="1" borderId="16" applyBorder="1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80808"/>
      <rgbColor rgb="FF808000"/>
      <rgbColor rgb="FF800080"/>
      <rgbColor rgb="FF008080"/>
      <rgbColor rgb="FFBFBFBF"/>
      <rgbColor rgb="FF808080"/>
      <rgbColor rgb="FF9999FF"/>
      <rgbColor rgb="FF993366"/>
      <rgbColor rgb="FFFEF2CB"/>
      <rgbColor rgb="FFD9E2F3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E2EFD9"/>
      <rgbColor rgb="FFC5E0B3"/>
      <rgbColor rgb="FFD0CECE"/>
      <rgbColor rgb="FFF4B083"/>
      <rgbColor rgb="FFD8D8D8"/>
      <rgbColor rgb="FFFFE598"/>
      <rgbColor rgb="FF4472C4"/>
      <rgbColor rgb="FF33CCCC"/>
      <rgbColor rgb="FF99CC00"/>
      <rgbColor rgb="FFFFCC00"/>
      <rgbColor rgb="FFFF9900"/>
      <rgbColor rgb="FFED7D31"/>
      <rgbColor rgb="FF595959"/>
      <rgbColor rgb="FFA8D08D"/>
      <rgbColor rgb="FF003366"/>
      <rgbColor rgb="FF339966"/>
      <rgbColor rgb="FF0C0C0C"/>
      <rgbColor rgb="FF333300"/>
      <rgbColor rgb="FF993300"/>
      <rgbColor rgb="FF993366"/>
      <rgbColor rgb="FF44546A"/>
      <rgbColor rgb="FF404040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4472c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Calculator!$I$191:$I$207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Calculator!$L$191:$L$207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1950001.3</c:v>
                </c:pt>
                <c:pt idx="2">
                  <c:v>914312.59186827</c:v>
                </c:pt>
                <c:pt idx="3">
                  <c:v>267028.06</c:v>
                </c:pt>
                <c:pt idx="4">
                  <c:v>
                  </c:v>
                </c:pt>
                <c:pt idx="5">
                  <c:v>536800.195888929</c:v>
                </c:pt>
                <c:pt idx="6">
                  <c:v>2229797.42955025</c:v>
                </c:pt>
                <c:pt idx="7">
                  <c:v>2863177.35819896</c:v>
                </c:pt>
                <c:pt idx="8">
                  <c:v>
                  </c:v>
                </c:pt>
                <c:pt idx="9">
                  <c:v>3707408.33032816</c:v>
                </c:pt>
                <c:pt idx="10">
                  <c:v>4049149.45618464</c:v>
                </c:pt>
                <c:pt idx="11">
                  <c:v>593936.686520705</c:v>
                </c:pt>
                <c:pt idx="12">
                  <c:v>
                  </c:v>
                </c:pt>
                <c:pt idx="13">
                  <c:v>2749195.03950205</c:v>
                </c:pt>
                <c:pt idx="14">
                  <c:v>1987231.98637371</c:v>
                </c:pt>
                <c:pt idx="15">
                  <c:v>2532026.04522505</c:v>
                </c:pt>
                <c:pt idx="16">
                  <c:v>
                  </c:v>
                </c:pt>
              </c:numCache>
            </c:numRef>
          </c:val>
        </c:ser>
        <c:ser>
          <c:idx val="1"/>
          <c:order val="1"/>
          <c:spPr>
            <a:solidFill>
              <a:srgbClr val="ed7d3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Calculator!$I$191:$I$207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Calculator!$M$191:$M$207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1568808.48234854</c:v>
                </c:pt>
                <c:pt idx="2">
                  <c:v>3895519.06951535</c:v>
                </c:pt>
                <c:pt idx="3">
                  <c:v>778545.600410437</c:v>
                </c:pt>
                <c:pt idx="4">
                  <c:v>
                  </c:v>
                </c:pt>
                <c:pt idx="5">
                  <c:v>423563.920498686</c:v>
                </c:pt>
                <c:pt idx="6">
                  <c:v>1707458.46046056</c:v>
                </c:pt>
                <c:pt idx="7">
                  <c:v>2225409.27000155</c:v>
                </c:pt>
                <c:pt idx="8">
                  <c:v>
                  </c:v>
                </c:pt>
                <c:pt idx="9">
                  <c:v>3437189.33141003</c:v>
                </c:pt>
                <c:pt idx="10">
                  <c:v>3433247.46123332</c:v>
                </c:pt>
                <c:pt idx="11">
                  <c:v>510669.13127466</c:v>
                </c:pt>
                <c:pt idx="12">
                  <c:v>
                  </c:v>
                </c:pt>
                <c:pt idx="13">
                  <c:v>2417234.60952031</c:v>
                </c:pt>
                <c:pt idx="14">
                  <c:v>1726717.31569729</c:v>
                </c:pt>
                <c:pt idx="15">
                  <c:v>1779397.08108733</c:v>
                </c:pt>
                <c:pt idx="16">
                  <c:v>
                  </c:v>
                </c:pt>
              </c:numCache>
            </c:numRef>
          </c:val>
        </c:ser>
        <c:gapWidth val="150"/>
        <c:overlap val="0"/>
        <c:axId val="33606943"/>
        <c:axId val="94450657"/>
      </c:barChart>
      <c:catAx>
        <c:axId val="33606943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94450657"/>
        <c:crosses val="autoZero"/>
        <c:auto val="1"/>
        <c:lblAlgn val="ctr"/>
        <c:lblOffset val="100"/>
      </c:catAx>
      <c:valAx>
        <c:axId val="94450657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33606943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Results!$C$5</c:f>
              <c:strCache>
                <c:ptCount val="1"/>
                <c:pt idx="0">
                  <c:v>ROI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Results!$D$4:$E$4</c:f>
              <c:strCache>
                <c:ptCount val="2"/>
                <c:pt idx="0">
                  <c:v>Z14</c:v>
                </c:pt>
                <c:pt idx="1">
                  <c:v>X86</c:v>
                </c:pt>
              </c:strCache>
            </c:strRef>
          </c:cat>
          <c:val>
            <c:numRef>
              <c:f>Results!$D$5:$E$5</c:f>
              <c:numCache>
                <c:formatCode>General</c:formatCode>
                <c:ptCount val="2"/>
                <c:pt idx="0">
                  <c:v>6.86426582866614</c:v>
                </c:pt>
                <c:pt idx="1">
                  <c:v>1.83563068903643</c:v>
                </c:pt>
              </c:numCache>
            </c:numRef>
          </c:val>
        </c:ser>
        <c:gapWidth val="150"/>
        <c:overlap val="0"/>
        <c:axId val="18005679"/>
        <c:axId val="32079214"/>
      </c:barChart>
      <c:catAx>
        <c:axId val="1800567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32079214"/>
        <c:crosses val="autoZero"/>
        <c:auto val="1"/>
        <c:lblAlgn val="ctr"/>
        <c:lblOffset val="100"/>
      </c:catAx>
      <c:valAx>
        <c:axId val="32079214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18005679"/>
        <c:crosses val="autoZero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bar"/>
        <c:grouping val="clustered"/>
        <c:ser>
          <c:idx val="0"/>
          <c:order val="0"/>
          <c:tx>
            <c:strRef>
              <c:f>Results!$C$9</c:f>
              <c:strCache>
                <c:ptCount val="1"/>
                <c:pt idx="0">
                  <c:v>Payback Period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dLblPos val="ctr"/>
            <c:showLegendKey val="0"/>
            <c:showVal val="1"/>
            <c:showCatName val="0"/>
            <c:showSerName val="0"/>
            <c:showPercent val="0"/>
          </c:dLbls>
          <c:cat>
            <c:strRef>
              <c:f>Results!$D$8:$E$8</c:f>
              <c:strCache>
                <c:ptCount val="2"/>
                <c:pt idx="0">
                  <c:v>Z14</c:v>
                </c:pt>
                <c:pt idx="1">
                  <c:v>X86</c:v>
                </c:pt>
              </c:strCache>
            </c:strRef>
          </c:cat>
          <c:val>
            <c:numRef>
              <c:f>Results!$D$9:$E$9</c:f>
              <c:numCache>
                <c:formatCode>General</c:formatCode>
                <c:ptCount val="2"/>
                <c:pt idx="0">
                  <c:v>6.36621670521152</c:v>
                </c:pt>
                <c:pt idx="1">
                  <c:v>15.2705878574401</c:v>
                </c:pt>
              </c:numCache>
            </c:numRef>
          </c:val>
        </c:ser>
        <c:gapWidth val="150"/>
        <c:overlap val="0"/>
        <c:axId val="75421319"/>
        <c:axId val="27775992"/>
      </c:barChart>
      <c:catAx>
        <c:axId val="75421319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27775992"/>
        <c:crosses val="autoZero"/>
        <c:auto val="1"/>
        <c:lblAlgn val="ctr"/>
        <c:lblOffset val="100"/>
      </c:catAx>
      <c:valAx>
        <c:axId val="27775992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75421319"/>
        <c:crosses val="max"/>
      </c:valAx>
      <c:spPr>
        <a:solidFill>
          <a:srgbClr val="ffffff"/>
        </a:solidFill>
        <a:ln>
          <a:noFill/>
        </a:ln>
      </c:spPr>
    </c:plotArea>
    <c:plotVisOnly val="1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Results!$D$12</c:f>
              <c:strCache>
                <c:ptCount val="1"/>
                <c:pt idx="0">
                  <c:v>Z14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Results!$C$13:$C$29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Results!$D$13:$D$29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1950001.3</c:v>
                </c:pt>
                <c:pt idx="2">
                  <c:v>914312.59186827</c:v>
                </c:pt>
                <c:pt idx="3">
                  <c:v>267028.06</c:v>
                </c:pt>
                <c:pt idx="4">
                  <c:v>
                  </c:v>
                </c:pt>
                <c:pt idx="5">
                  <c:v>536800.195888929</c:v>
                </c:pt>
                <c:pt idx="6">
                  <c:v>2229797.42955025</c:v>
                </c:pt>
                <c:pt idx="7">
                  <c:v>2863177.35819896</c:v>
                </c:pt>
                <c:pt idx="8">
                  <c:v>
                  </c:v>
                </c:pt>
                <c:pt idx="9">
                  <c:v>3707408.33032816</c:v>
                </c:pt>
                <c:pt idx="10">
                  <c:v>4049149.45618464</c:v>
                </c:pt>
                <c:pt idx="11">
                  <c:v>593936.686520705</c:v>
                </c:pt>
                <c:pt idx="12">
                  <c:v>
                  </c:v>
                </c:pt>
                <c:pt idx="13">
                  <c:v>2749195.03950205</c:v>
                </c:pt>
                <c:pt idx="14">
                  <c:v>1987231.98637371</c:v>
                </c:pt>
                <c:pt idx="15">
                  <c:v>2532026.04522505</c:v>
                </c:pt>
                <c:pt idx="16">
                  <c:v>
                  </c:v>
                </c:pt>
              </c:numCache>
            </c:numRef>
          </c:val>
        </c:ser>
        <c:ser>
          <c:idx val="1"/>
          <c:order val="1"/>
          <c:tx>
            <c:strRef>
              <c:f>Results!$E$12</c:f>
              <c:strCache>
                <c:ptCount val="1"/>
                <c:pt idx="0">
                  <c:v>X86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Results!$C$13:$C$29</c:f>
              <c:strCache>
                <c:ptCount val="17"/>
                <c:pt idx="0">
                  <c:v>Quadrant 1</c:v>
                </c:pt>
                <c:pt idx="1">
                  <c:v>SA-Software Acquisition Cost</c:v>
                </c:pt>
                <c:pt idx="2">
                  <c:v>SY - System Acquisition Cost</c:v>
                </c:pt>
                <c:pt idx="3">
                  <c:v>OC-Operations cost</c:v>
                </c:pt>
                <c:pt idx="4">
                  <c:v>Quadrant 2</c:v>
                </c:pt>
                <c:pt idx="5">
                  <c:v>CP - C-level executive productivity</c:v>
                </c:pt>
                <c:pt idx="6">
                  <c:v>ITP IT personnel productivity</c:v>
                </c:pt>
                <c:pt idx="7">
                  <c:v>OP - Organizational Productivity</c:v>
                </c:pt>
                <c:pt idx="8">
                  <c:v>Quadrant 3</c:v>
                </c:pt>
                <c:pt idx="9">
                  <c:v>IR - Improved Revenue</c:v>
                </c:pt>
                <c:pt idx="10">
                  <c:v>FTV - Faster-time-to-value</c:v>
                </c:pt>
                <c:pt idx="11">
                  <c:v>TE - Trusted Experiences</c:v>
                </c:pt>
                <c:pt idx="12">
                  <c:v>Quadrant 4</c:v>
                </c:pt>
                <c:pt idx="13">
                  <c:v>ES - End-to-End Security</c:v>
                </c:pt>
                <c:pt idx="14">
                  <c:v>GC - Improved governance and compliance</c:v>
                </c:pt>
                <c:pt idx="15">
                  <c:v>RD - Reduced downtime</c:v>
                </c:pt>
                <c:pt idx="16">
                  <c:v>
                  </c:v>
                </c:pt>
              </c:strCache>
            </c:strRef>
          </c:cat>
          <c:val>
            <c:numRef>
              <c:f>Results!$E$13:$E$29</c:f>
              <c:numCache>
                <c:formatCode>General</c:formatCode>
                <c:ptCount val="17"/>
                <c:pt idx="0">
                  <c:v>
                  </c:v>
                </c:pt>
                <c:pt idx="1">
                  <c:v>1568808.48234854</c:v>
                </c:pt>
                <c:pt idx="2">
                  <c:v>3895519.06951535</c:v>
                </c:pt>
                <c:pt idx="3">
                  <c:v>778545.600410437</c:v>
                </c:pt>
                <c:pt idx="4">
                  <c:v>
                  </c:v>
                </c:pt>
                <c:pt idx="5">
                  <c:v>423563.920498686</c:v>
                </c:pt>
                <c:pt idx="6">
                  <c:v>1707458.46046056</c:v>
                </c:pt>
                <c:pt idx="7">
                  <c:v>2225409.27000155</c:v>
                </c:pt>
                <c:pt idx="8">
                  <c:v>
                  </c:v>
                </c:pt>
                <c:pt idx="9">
                  <c:v>3437189.33141003</c:v>
                </c:pt>
                <c:pt idx="10">
                  <c:v>3433247.46123332</c:v>
                </c:pt>
                <c:pt idx="11">
                  <c:v>510669.13127466</c:v>
                </c:pt>
                <c:pt idx="12">
                  <c:v>
                  </c:v>
                </c:pt>
                <c:pt idx="13">
                  <c:v>2417234.60952031</c:v>
                </c:pt>
                <c:pt idx="14">
                  <c:v>1726717.31569729</c:v>
                </c:pt>
                <c:pt idx="15">
                  <c:v>1779397.08108733</c:v>
                </c:pt>
                <c:pt idx="16">
                  <c:v>
                  </c:v>
                </c:pt>
              </c:numCache>
            </c:numRef>
          </c:val>
        </c:ser>
        <c:gapWidth val="150"/>
        <c:overlap val="0"/>
        <c:axId val="93614800"/>
        <c:axId val="31781305"/>
      </c:barChart>
      <c:catAx>
        <c:axId val="9361480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ln>
            <a:noFill/>
          </a:ln>
        </c:spPr>
        <c:crossAx val="31781305"/>
        <c:crosses val="autoZero"/>
        <c:auto val="1"/>
        <c:lblAlgn val="ctr"/>
        <c:lblOffset val="100"/>
      </c:catAx>
      <c:valAx>
        <c:axId val="31781305"/>
        <c:scaling>
          <c:orientation val="minMax"/>
        </c:scaling>
        <c:delete val="0"/>
        <c:axPos val="l"/>
        <c:majorGridlines>
          <c:spPr>
            <a:ln>
              <a:solidFill>
                <a:srgbClr val="d9d9d9"/>
              </a:solidFill>
            </a:ln>
          </c:spPr>
        </c:majorGridlines>
        <c:majorTickMark val="out"/>
        <c:minorTickMark val="none"/>
        <c:tickLblPos val="nextTo"/>
        <c:spPr>
          <a:ln w="47520">
            <a:noFill/>
          </a:ln>
        </c:spPr>
        <c:crossAx val="93614800"/>
        <c:crosses val="autoZero"/>
      </c:valAx>
      <c:spPr>
        <a:solidFill>
          <a:srgbClr val="ffffff"/>
        </a:solidFill>
        <a:ln>
          <a:noFill/>
        </a:ln>
      </c:spPr>
    </c:plotArea>
    <c:legend>
      <c:legendPos val="b"/>
      <c:overlay val="0"/>
      <c:spPr>
        <a:noFill/>
        <a:ln>
          <a:noFill/>
        </a:ln>
      </c:spPr>
    </c:legend>
    <c:plotVisOnly val="1"/>
  </c:chart>
  <c:spPr>
    <a:solidFill>
      <a:srgbClr val="ffffff"/>
    </a:solidFill>
    <a:ln>
      <a:noFill/>
    </a:ln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16</xdr:col>
      <xdr:colOff>150840</xdr:colOff>
      <xdr:row>189</xdr:row>
      <xdr:rowOff>10080</xdr:rowOff>
    </xdr:from>
    <xdr:to>
      <xdr:col>23</xdr:col>
      <xdr:colOff>19050</xdr:colOff>
      <xdr:row>204</xdr:row>
      <xdr:rowOff>9525</xdr:rowOff>
    </xdr:to>
    <xdr:graphicFrame>
      <xdr:nvGraphicFramePr>
        <xdr:cNvPr id="0" name="Chart 2"/>
        <xdr:cNvGraphicFramePr/>
      </xdr:nvGraphicFramePr>
      <xdr:xfrm>
        <a:off x="18070920" y="34738200"/>
        <a:ext cx="6791040" cy="27144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312840</xdr:colOff>
      <xdr:row>2</xdr:row>
      <xdr:rowOff>133920</xdr:rowOff>
    </xdr:from>
    <xdr:to>
      <xdr:col>15</xdr:col>
      <xdr:colOff>276225</xdr:colOff>
      <xdr:row>20</xdr:row>
      <xdr:rowOff>123825</xdr:rowOff>
    </xdr:to>
    <xdr:graphicFrame>
      <xdr:nvGraphicFramePr>
        <xdr:cNvPr id="1" name="Chart 1"/>
        <xdr:cNvGraphicFramePr/>
      </xdr:nvGraphicFramePr>
      <xdr:xfrm>
        <a:off x="7740720" y="495720"/>
        <a:ext cx="5495400" cy="324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255600</xdr:colOff>
      <xdr:row>2</xdr:row>
      <xdr:rowOff>143280</xdr:rowOff>
    </xdr:from>
    <xdr:to>
      <xdr:col>24</xdr:col>
      <xdr:colOff>342900</xdr:colOff>
      <xdr:row>20</xdr:row>
      <xdr:rowOff>47625</xdr:rowOff>
    </xdr:to>
    <xdr:graphicFrame>
      <xdr:nvGraphicFramePr>
        <xdr:cNvPr id="2" name="Chart 3"/>
        <xdr:cNvGraphicFramePr/>
      </xdr:nvGraphicFramePr>
      <xdr:xfrm>
        <a:off x="13830480" y="505080"/>
        <a:ext cx="5000400" cy="3161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331920</xdr:colOff>
      <xdr:row>22</xdr:row>
      <xdr:rowOff>86400</xdr:rowOff>
    </xdr:from>
    <xdr:to>
      <xdr:col>24</xdr:col>
      <xdr:colOff>9525</xdr:colOff>
      <xdr:row>49</xdr:row>
      <xdr:rowOff>85725</xdr:rowOff>
    </xdr:to>
    <xdr:graphicFrame>
      <xdr:nvGraphicFramePr>
        <xdr:cNvPr id="3" name="Chart 4"/>
        <xdr:cNvGraphicFramePr/>
      </xdr:nvGraphicFramePr>
      <xdr:xfrm>
        <a:off x="7759800" y="4067640"/>
        <a:ext cx="10743840" cy="4885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F6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80" activeCellId="0" sqref="I80"/>
    </sheetView>
  </sheetViews>
  <sheetFormatPr defaultRowHeight="15"/>
  <cols>
    <col min="1" max="1" width="8.70918367346939" customWidth="1"/>
    <col min="2" max="2" width="10.7091836734694" customWidth="1"/>
    <col min="3" max="3" width="27.7091836734694" customWidth="1"/>
    <col min="4" max="5" width="8.70918367346939" customWidth="1"/>
    <col min="6" max="6" width="34.1326530612245" customWidth="1"/>
    <col min="7" max="40" width="8.70918367346939" customWidth="1"/>
    <col min="41" max="1025" width="14.4285714285714" customWidth="1"/>
  </cols>
  <sheetData>
    <row r="1" ht="14.25"/>
    <row r="2" ht="14.25"/>
    <row r="3" ht="14.25"/>
    <row r="4" ht="14.25">
      <c r="A4" s="0">
        <v>1</v>
      </c>
      <c r="B4" s="0" t="s">
        <v>102</v>
      </c>
      <c r="F4" s="6" t="s">
        <v>103</v>
      </c>
    </row>
    <row r="5" ht="14.25">
      <c r="C5" s="0" t="s">
        <v>104</v>
      </c>
      <c r="F5" s="0" t="s">
        <v>105</v>
      </c>
    </row>
    <row r="6" ht="14.25">
      <c r="C6" s="0" t="s">
        <v>106</v>
      </c>
      <c r="F6" s="0" t="s">
        <v>107</v>
      </c>
    </row>
    <row r="7" ht="14.25">
      <c r="C7" s="0" t="s">
        <v>108</v>
      </c>
      <c r="F7" s="0" t="s">
        <v>109</v>
      </c>
    </row>
    <row r="8" ht="14.25">
      <c r="C8" s="0" t="s">
        <v>110</v>
      </c>
      <c r="F8" s="0" t="s">
        <v>111</v>
      </c>
    </row>
    <row r="9" ht="14.25">
      <c r="C9" s="0" t="s">
        <v>112</v>
      </c>
    </row>
    <row r="10" ht="14.25">
      <c r="F10" s="6" t="s">
        <v>113</v>
      </c>
    </row>
    <row r="11" ht="14.25">
      <c r="A11" s="0">
        <v>2</v>
      </c>
      <c r="B11" s="0" t="s">
        <v>114</v>
      </c>
      <c r="F11" s="0" t="s">
        <v>115</v>
      </c>
    </row>
    <row r="12" ht="14.25">
      <c r="C12" s="0" t="s">
        <v>116</v>
      </c>
      <c r="F12" s="0" t="s">
        <v>117</v>
      </c>
    </row>
    <row r="13" ht="14.25">
      <c r="F13" s="0" t="s">
        <v>118</v>
      </c>
    </row>
    <row r="14" ht="14.25">
      <c r="F14" s="0" t="s">
        <v>119</v>
      </c>
    </row>
    <row r="15" ht="14.25">
      <c r="A15" s="0">
        <v>3</v>
      </c>
      <c r="B15" s="0" t="s">
        <v>120</v>
      </c>
    </row>
    <row r="16" ht="14.25">
      <c r="C16" s="0" t="s">
        <v>121</v>
      </c>
      <c r="F16" s="6" t="s">
        <v>122</v>
      </c>
    </row>
    <row r="17" ht="14.25">
      <c r="C17" s="0" t="s">
        <v>123</v>
      </c>
      <c r="F17" s="7" t="s">
        <v>124</v>
      </c>
    </row>
    <row r="18" ht="14.25">
      <c r="F18" s="8" t="s">
        <v>125</v>
      </c>
    </row>
    <row r="19" ht="14.25">
      <c r="A19" s="0">
        <v>4</v>
      </c>
      <c r="B19" s="0" t="s">
        <v>126</v>
      </c>
      <c r="F19" s="8" t="s">
        <v>127</v>
      </c>
    </row>
    <row r="20" ht="14.25">
      <c r="C20" s="0" t="s">
        <v>128</v>
      </c>
      <c r="F20" s="7" t="s">
        <v>129</v>
      </c>
    </row>
    <row r="21" ht="14.25">
      <c r="F21" s="8" t="s">
        <v>130</v>
      </c>
    </row>
    <row r="22" ht="14.25">
      <c r="A22" s="0">
        <v>5</v>
      </c>
      <c r="B22" s="0" t="s">
        <v>131</v>
      </c>
      <c r="F22" s="8" t="s">
        <v>132</v>
      </c>
    </row>
    <row r="23" ht="14.25">
      <c r="C23" s="0" t="s">
        <v>133</v>
      </c>
      <c r="F23" s="8" t="s">
        <v>134</v>
      </c>
    </row>
    <row r="24" ht="14.25">
      <c r="C24" s="0" t="s">
        <v>135</v>
      </c>
      <c r="F24" s="7" t="s">
        <v>136</v>
      </c>
    </row>
    <row r="25" ht="14.25">
      <c r="C25" s="0" t="s">
        <v>137</v>
      </c>
      <c r="F25" s="8" t="s">
        <v>138</v>
      </c>
    </row>
    <row r="26" ht="14.25">
      <c r="C26" s="0" t="s">
        <v>139</v>
      </c>
      <c r="F26" s="8" t="s">
        <v>140</v>
      </c>
    </row>
    <row r="27" ht="14.25">
      <c r="C27" s="0" t="s">
        <v>141</v>
      </c>
      <c r="F27" s="9" t="s">
        <v>142</v>
      </c>
    </row>
    <row r="28" ht="14.25">
      <c r="C28" s="0" t="s">
        <v>143</v>
      </c>
      <c r="F28" s="8" t="s">
        <v>144</v>
      </c>
    </row>
    <row r="29" ht="14.25">
      <c r="C29" s="0" t="s">
        <v>145</v>
      </c>
      <c r="F29" s="10" t="s">
        <v>146</v>
      </c>
    </row>
    <row r="30" ht="14.25">
      <c r="C30" s="0" t="s">
        <v>147</v>
      </c>
    </row>
    <row r="31" ht="14.25">
      <c r="C31" s="0" t="s">
        <v>148</v>
      </c>
    </row>
    <row r="32" ht="14.25">
      <c r="C32" s="0" t="s">
        <v>149</v>
      </c>
    </row>
    <row r="33" ht="14.25">
      <c r="C33" s="0" t="s">
        <v>150</v>
      </c>
    </row>
    <row r="35" ht="14.25">
      <c r="A35" s="0">
        <v>6</v>
      </c>
      <c r="B35" s="0" t="s">
        <v>14</v>
      </c>
    </row>
    <row r="36" ht="14.25">
      <c r="C36" s="0" t="s">
        <v>151</v>
      </c>
    </row>
    <row r="37" ht="14.25">
      <c r="C37" s="0" t="s">
        <v>152</v>
      </c>
    </row>
    <row r="38" ht="14.25">
      <c r="C38" s="0" t="s">
        <v>153</v>
      </c>
    </row>
    <row r="39" ht="14.25">
      <c r="C39" s="0" t="s">
        <v>154</v>
      </c>
    </row>
    <row r="41" ht="14.25">
      <c r="A41" s="0">
        <v>7</v>
      </c>
      <c r="B41" s="0" t="s">
        <v>155</v>
      </c>
    </row>
    <row r="42" ht="14.25">
      <c r="C42" s="0" t="s">
        <v>156</v>
      </c>
    </row>
    <row r="43" ht="14.25">
      <c r="C43" s="0" t="s">
        <v>157</v>
      </c>
    </row>
    <row r="44" ht="14.25">
      <c r="C44" s="0" t="s">
        <v>158</v>
      </c>
    </row>
    <row r="45" ht="14.25">
      <c r="C45" s="0" t="s">
        <v>159</v>
      </c>
    </row>
    <row r="47" ht="14.25">
      <c r="A47" s="0">
        <v>8</v>
      </c>
      <c r="B47" s="0" t="s">
        <v>160</v>
      </c>
    </row>
    <row r="48" ht="14.25">
      <c r="C48" s="0" t="s">
        <v>161</v>
      </c>
    </row>
    <row r="49" ht="14.25">
      <c r="C49" s="0" t="s">
        <v>162</v>
      </c>
    </row>
    <row r="50" ht="14.25">
      <c r="C50" s="0" t="s">
        <v>163</v>
      </c>
    </row>
    <row r="51" ht="14.25">
      <c r="C51" s="0" t="s">
        <v>164</v>
      </c>
    </row>
    <row r="53" ht="14.25">
      <c r="A53" s="0">
        <v>9</v>
      </c>
      <c r="B53" s="0" t="s">
        <v>165</v>
      </c>
    </row>
    <row r="54" ht="14.25">
      <c r="C54" s="0" t="s">
        <v>166</v>
      </c>
    </row>
    <row r="55" ht="14.25">
      <c r="C55" s="0" t="s">
        <v>167</v>
      </c>
      <c r="F55" s="11" t="s">
        <v>168</v>
      </c>
    </row>
    <row r="56" ht="14.25">
      <c r="F56" s="12" t="s">
        <v>169</v>
      </c>
    </row>
    <row r="57" ht="14.25">
      <c r="F57" s="12" t="s">
        <v>170</v>
      </c>
    </row>
    <row r="58" ht="14.25">
      <c r="A58" s="0">
        <v>10</v>
      </c>
      <c r="B58" s="0" t="s">
        <v>171</v>
      </c>
      <c r="F58" s="12" t="s">
        <v>172</v>
      </c>
    </row>
    <row r="59" ht="14.25">
      <c r="F59" s="13" t="s">
        <v>173</v>
      </c>
    </row>
    <row r="60" ht="14.25">
      <c r="A60" s="0">
        <v>11</v>
      </c>
      <c r="B60" s="0" t="s">
        <v>174</v>
      </c>
      <c r="F60" s="14" t="s">
        <v>175</v>
      </c>
    </row>
    <row r="61" ht="14.25">
      <c r="F61" s="12" t="s">
        <v>176</v>
      </c>
    </row>
    <row r="62" ht="14.25">
      <c r="A62" s="0">
        <v>12</v>
      </c>
      <c r="B62" s="0" t="s">
        <v>177</v>
      </c>
      <c r="F62" s="12" t="s">
        <v>178</v>
      </c>
    </row>
    <row r="63" ht="14.25">
      <c r="F63" s="15" t="s">
        <v>179</v>
      </c>
    </row>
    <row r="64" ht="14.25">
      <c r="A64" s="0">
        <v>13</v>
      </c>
      <c r="B64" s="0" t="s">
        <v>180</v>
      </c>
      <c r="F64" s="11" t="s">
        <v>181</v>
      </c>
    </row>
    <row r="65" ht="14.25">
      <c r="F65" s="12" t="s">
        <v>182</v>
      </c>
    </row>
    <row r="66" ht="14.25">
      <c r="A66" s="0">
        <v>14</v>
      </c>
      <c r="B66" s="0" t="s">
        <v>183</v>
      </c>
      <c r="F66" s="12" t="s">
        <v>184</v>
      </c>
    </row>
    <row r="67" ht="14.25">
      <c r="F67" s="15" t="s">
        <v>185</v>
      </c>
    </row>
    <row r="68" ht="14.25">
      <c r="A68" s="0">
        <v>15</v>
      </c>
      <c r="B68" s="0" t="s">
        <v>186</v>
      </c>
      <c r="F68" s="16" t="s">
        <v>187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E598"/>
    <pageSetUpPr fitToPage="false"/>
  </sheetPr>
  <dimension ref="A1:AS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width="8.70918367346939" customWidth="1"/>
    <col min="2" max="2" width="11.2959183673469" customWidth="1"/>
    <col min="3" max="3" width="12.1377551020408" customWidth="1"/>
    <col min="4" max="4" width="11.8622448979592" customWidth="1"/>
    <col min="5" max="5" width="11.2959183673469" customWidth="1"/>
    <col min="6" max="7" width="11.7091836734694" customWidth="1"/>
    <col min="8" max="8" width="12.1377551020408" customWidth="1"/>
    <col min="9" max="9" width="12.8622448979592" customWidth="1"/>
    <col min="10" max="10" width="11.7091836734694" customWidth="1"/>
    <col min="11" max="11" width="9.86224489795918" customWidth="1"/>
    <col min="12" max="45" width="8.70918367346939" customWidth="1"/>
    <col min="46" max="1025" width="14.4285714285714" customWidth="1"/>
  </cols>
  <sheetData>
    <row r="1" ht="14.25">
      <c r="B1" s="17"/>
    </row>
    <row r="2" ht="14.25">
      <c r="B2" s="17"/>
    </row>
    <row r="3" ht="14.25">
      <c r="B3" s="17" t="s">
        <v>42</v>
      </c>
      <c r="C3" s="0" t="s">
        <v>47</v>
      </c>
      <c r="D3" s="0" t="s">
        <v>39</v>
      </c>
      <c r="E3" s="0" t="s">
        <v>41</v>
      </c>
      <c r="F3" s="0" t="s">
        <v>62</v>
      </c>
      <c r="G3" s="0" t="s">
        <v>63</v>
      </c>
      <c r="H3" s="0" t="s">
        <v>64</v>
      </c>
      <c r="I3" s="0" t="s">
        <v>65</v>
      </c>
      <c r="J3" s="0" t="s">
        <v>66</v>
      </c>
      <c r="K3" s="0" t="s">
        <v>67</v>
      </c>
      <c r="L3" s="0" t="s">
        <v>68</v>
      </c>
      <c r="M3" s="0" t="s">
        <v>69</v>
      </c>
      <c r="N3" s="0" t="s">
        <v>70</v>
      </c>
      <c r="O3" s="0" t="s">
        <v>71</v>
      </c>
      <c r="P3" s="0" t="s">
        <v>72</v>
      </c>
      <c r="Q3" s="0" t="s">
        <v>73</v>
      </c>
      <c r="R3" s="0" t="s">
        <v>74</v>
      </c>
      <c r="S3" s="0" t="s">
        <v>75</v>
      </c>
      <c r="T3" s="0" t="s">
        <v>76</v>
      </c>
      <c r="U3" s="0" t="s">
        <v>77</v>
      </c>
      <c r="V3" s="0" t="s">
        <v>78</v>
      </c>
      <c r="W3" s="0" t="s">
        <v>79</v>
      </c>
      <c r="X3" s="0" t="s">
        <v>80</v>
      </c>
      <c r="Y3" s="0" t="s">
        <v>81</v>
      </c>
      <c r="Z3" s="0" t="s">
        <v>82</v>
      </c>
      <c r="AA3" s="0" t="s">
        <v>83</v>
      </c>
      <c r="AB3" s="0" t="s">
        <v>84</v>
      </c>
      <c r="AC3" s="0" t="s">
        <v>85</v>
      </c>
      <c r="AD3" s="0" t="s">
        <v>86</v>
      </c>
      <c r="AE3" s="0" t="s">
        <v>87</v>
      </c>
      <c r="AF3" s="0" t="s">
        <v>88</v>
      </c>
      <c r="AG3" s="0" t="s">
        <v>89</v>
      </c>
      <c r="AH3" s="0" t="s">
        <v>90</v>
      </c>
      <c r="AI3" s="0" t="s">
        <v>91</v>
      </c>
      <c r="AJ3" s="0" t="s">
        <v>92</v>
      </c>
      <c r="AK3" s="0" t="s">
        <v>93</v>
      </c>
      <c r="AL3" s="0" t="s">
        <v>94</v>
      </c>
      <c r="AM3" s="0" t="s">
        <v>95</v>
      </c>
      <c r="AN3" s="0" t="s">
        <v>96</v>
      </c>
      <c r="AO3" s="0" t="s">
        <v>97</v>
      </c>
      <c r="AP3" s="0" t="s">
        <v>98</v>
      </c>
      <c r="AQ3" s="0" t="s">
        <v>99</v>
      </c>
      <c r="AR3" s="0" t="s">
        <v>100</v>
      </c>
      <c r="AS3" s="0" t="s">
        <v>101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F2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width="8.70918367346939" customWidth="1"/>
    <col min="2" max="2" width="31.0051020408163" customWidth="1"/>
    <col min="3" max="3" width="32" customWidth="1"/>
    <col min="4" max="4" width="32.7142857142857" customWidth="1"/>
    <col min="5" max="5" width="20.4285714285714" customWidth="1"/>
    <col min="6" max="6" width="15.7142857142857" customWidth="1"/>
    <col min="7" max="26" width="8.70918367346939" customWidth="1"/>
    <col min="27" max="1025" width="14.4285714285714" customWidth="1"/>
  </cols>
  <sheetData>
    <row r="1" ht="14.25"/>
    <row r="2" ht="14.25"/>
    <row r="3" ht="14.25"/>
    <row r="4" ht="14.25"/>
    <row r="5" ht="14.25">
      <c r="B5" s="18" t="s">
        <v>47</v>
      </c>
      <c r="C5" s="18" t="s">
        <v>48</v>
      </c>
      <c r="D5" s="18" t="s">
        <v>49</v>
      </c>
    </row>
    <row r="6" ht="14.25">
      <c r="B6" s="0" t="s">
        <v>38</v>
      </c>
      <c r="C6" s="0" t="s">
        <v>40</v>
      </c>
      <c r="D6" s="0" t="s">
        <v>50</v>
      </c>
    </row>
    <row r="7" ht="14.25">
      <c r="B7" s="0" t="s">
        <v>51</v>
      </c>
      <c r="C7" s="0" t="s">
        <v>52</v>
      </c>
      <c r="D7" s="0" t="s">
        <v>53</v>
      </c>
    </row>
    <row r="8" ht="14.25">
      <c r="B8" s="0" t="s">
        <v>54</v>
      </c>
      <c r="C8" s="0" t="s">
        <v>55</v>
      </c>
      <c r="D8" s="0" t="s">
        <v>56</v>
      </c>
    </row>
    <row r="9" ht="14.25">
      <c r="B9" s="0" t="s">
        <v>57</v>
      </c>
      <c r="C9" s="0" t="s">
        <v>58</v>
      </c>
      <c r="D9" s="0" t="s">
        <v>59</v>
      </c>
    </row>
    <row r="12" ht="14.25">
      <c r="F12" s="0">
        <f>4*2*3*12</f>
        <v>288</v>
      </c>
    </row>
    <row r="13" ht="14.25">
      <c r="C13" s="0" t="str">
        <f>VLOOKUP(Input!F10,Dropdowns!B6:D9,2,0)</f>
        <v>End of Period Processing</v>
      </c>
    </row>
    <row r="14" ht="14.25">
      <c r="C14" s="0" t="str">
        <f>VLOOKUP(Input!F10,Dropdowns!B6:D9,3,0)</f>
        <v>Reduce Risk and Fraud</v>
      </c>
    </row>
    <row r="17" ht="14.25">
      <c r="B17" s="18" t="s">
        <v>42</v>
      </c>
    </row>
    <row r="18" ht="14.25">
      <c r="B18" s="0" t="s">
        <v>43</v>
      </c>
      <c r="D18" s="19"/>
    </row>
    <row r="19" ht="14.25">
      <c r="B19" s="0" t="s">
        <v>60</v>
      </c>
      <c r="D19" s="19"/>
    </row>
    <row r="20" ht="14.25">
      <c r="B20" s="0" t="s">
        <v>61</v>
      </c>
      <c r="D20" s="19"/>
    </row>
    <row r="21" ht="14.25">
      <c r="D21" s="19"/>
    </row>
    <row r="22" ht="14.25">
      <c r="B22" s="18" t="s">
        <v>41</v>
      </c>
      <c r="D22" s="19"/>
    </row>
    <row r="23" ht="14.25">
      <c r="B23" s="0" t="s">
        <v>0</v>
      </c>
      <c r="D23" s="19"/>
    </row>
    <row r="24" ht="14.25">
      <c r="B24" s="0" t="s">
        <v>1</v>
      </c>
      <c r="D24" s="19"/>
    </row>
    <row r="25" ht="14.25">
      <c r="B25" s="0" t="s">
        <v>2</v>
      </c>
      <c r="D25" s="1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8:H19"/>
  <sheetViews>
    <sheetView windowProtection="false"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5"/>
  <cols>
    <col min="1" max="1" width="8.70918367346939" customWidth="1"/>
    <col min="2" max="2" width="14.2908163265306" customWidth="1"/>
    <col min="3" max="3" width="13.7040816326531" customWidth="1"/>
    <col min="4" max="4" width="23.1377551020408" customWidth="1"/>
    <col min="5" max="5" width="1.86224489795918" customWidth="1"/>
    <col min="6" max="6" width="38.1377551020408" customWidth="1"/>
    <col min="7" max="8" width="10.5765306122449" customWidth="1"/>
    <col min="9" max="26" width="8.70918367346939" customWidth="1"/>
    <col min="27" max="1025" width="14.4285714285714" customWidth="1"/>
  </cols>
  <sheetData>
    <row r="1" ht="14.25"/>
    <row r="2" ht="14.25"/>
    <row r="3" ht="14.25"/>
    <row r="4" ht="14.25"/>
    <row r="5" ht="14.25"/>
    <row r="6" ht="14.25"/>
    <row r="7" ht="14.25"/>
    <row r="8" ht="14.25">
      <c r="D8" s="20" t="s">
        <v>36</v>
      </c>
      <c r="E8" s="20"/>
      <c r="F8" s="20"/>
      <c r="G8" s="20"/>
    </row>
    <row r="10" ht="14.25">
      <c r="D10" s="21" t="s">
        <v>37</v>
      </c>
      <c r="E10" s="22"/>
      <c r="F10" s="23" t="s">
        <v>38</v>
      </c>
    </row>
    <row r="11" ht="7.5">
      <c r="D11" s="21"/>
      <c r="E11" s="22"/>
      <c r="F11" s="24"/>
    </row>
    <row r="12" ht="14.25">
      <c r="D12" s="21" t="s">
        <v>39</v>
      </c>
      <c r="E12" s="22"/>
      <c r="F12" s="23" t="s">
        <v>40</v>
      </c>
    </row>
    <row r="13" ht="8.25">
      <c r="D13" s="21"/>
      <c r="E13" s="22"/>
      <c r="F13" s="24"/>
    </row>
    <row r="14" ht="14.25">
      <c r="D14" s="21" t="s">
        <v>41</v>
      </c>
      <c r="E14" s="22"/>
      <c r="F14" s="25">
        <v>1168649</v>
      </c>
      <c r="H14" s="19"/>
    </row>
    <row r="15" ht="7.5">
      <c r="D15" s="21"/>
      <c r="E15" s="22"/>
      <c r="F15" s="26"/>
    </row>
    <row r="16" ht="18">
      <c r="D16" s="21" t="s">
        <v>42</v>
      </c>
      <c r="E16" s="22"/>
      <c r="F16" s="23" t="s">
        <v>43</v>
      </c>
    </row>
    <row r="17" ht="11.25">
      <c r="D17" s="21"/>
      <c r="E17" s="22"/>
    </row>
    <row r="18" ht="18">
      <c r="D18" s="21" t="s">
        <v>44</v>
      </c>
      <c r="E18" s="22"/>
      <c r="F18" s="27" t="str">
        <f>IF(F14&lt;=1257800,"Small",IF(AND(F14&gt;1257800,F14&lt;=2034240),"Medium", "Large"))</f>
        <v>Small</v>
      </c>
      <c r="G18" s="28" t="s">
        <v>45</v>
      </c>
    </row>
    <row r="19" ht="14.25">
      <c r="D19" s="21" t="s">
        <v>46</v>
      </c>
      <c r="F19" s="29" t="str">
        <f>IF(F14&lt;=1105382,"Small",IF(AND(F14&gt;1105382,F14&lt;=1428221),"Medium","Large"))</f>
        <v>Medium</v>
      </c>
    </row>
  </sheetData>
  <mergeCells>
    <mergeCell ref="D8:G8"/>
  </mergeCells>
  <dataValidations count="3">
    <dataValidation allowBlank="true" operator="between" showDropDown="false" showErrorMessage="true" showInputMessage="false" sqref="F12:F13" type="list">
      <formula1>Dropdowns!$C$13:$C$14</formula1>
      <formula2>0</formula2>
    </dataValidation>
    <dataValidation allowBlank="true" operator="between" showDropDown="false" showErrorMessage="true" showInputMessage="false" sqref="F16" type="list">
      <formula1>Dropdowns!$B$18:$B$21</formula1>
      <formula2>0</formula2>
    </dataValidation>
    <dataValidation allowBlank="true" operator="between" showDropDown="false" showErrorMessage="true" showInputMessage="false" sqref="F10:F11" type="list">
      <formula1>Dropdowns!$B$6:$B$9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C5E0B3"/>
    <pageSetUpPr fitToPage="false"/>
  </sheetPr>
  <dimension ref="A2:Y20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1" width="11.5714285714286" customWidth="1"/>
    <col min="2" max="2" width="12.7091836734694" customWidth="1"/>
    <col min="3" max="3" width="8.56632653061224" customWidth="1"/>
    <col min="4" max="4" width="7.13775510204082" customWidth="1"/>
    <col min="5" max="5" width="15.7142857142857" customWidth="1"/>
    <col min="6" max="6" width="15.7142857142857" customWidth="1"/>
    <col min="7" max="7" width="15.7142857142857" customWidth="1"/>
    <col min="8" max="8" width="15.7142857142857" customWidth="1"/>
    <col min="9" max="9" width="41" customWidth="1"/>
    <col min="10" max="10" width="13.2908163265306" customWidth="1"/>
    <col min="11" max="11" width="15.5714285714286" customWidth="1"/>
    <col min="12" max="12" width="19" customWidth="1"/>
    <col min="13" max="13" width="15.5714285714286" customWidth="1"/>
    <col min="14" max="14" width="15.5714285714286" customWidth="1"/>
    <col min="15" max="15" width="15.5714285714286" customWidth="1"/>
    <col min="16" max="16" width="15.5714285714286" customWidth="1"/>
    <col min="17" max="17" width="15.5714285714286" customWidth="1"/>
    <col min="18" max="18" width="15.5714285714286" customWidth="1"/>
    <col min="19" max="19" width="15.5714285714286" customWidth="1"/>
    <col min="20" max="20" width="8.70918367346939" customWidth="1"/>
    <col min="21" max="21" width="13.5714285714286" customWidth="1"/>
    <col min="22" max="22" width="15.2908163265306" customWidth="1"/>
    <col min="23" max="23" width="13.8571428571429" customWidth="1"/>
    <col min="24" max="24" width="11.8622448979592" customWidth="1"/>
    <col min="25" max="25" width="20.2959183673469" customWidth="1"/>
    <col min="26" max="26" width="8.70918367346939" customWidth="1"/>
    <col min="27" max="1025" width="14.4285714285714" customWidth="1"/>
  </cols>
  <sheetData>
    <row r="1" ht="14.25"/>
    <row r="2" ht="14.25">
      <c r="L2" s="19"/>
      <c r="M2" s="19"/>
      <c r="N2" s="19"/>
      <c r="O2" s="19"/>
      <c r="P2" s="19"/>
    </row>
    <row r="3" ht="15">
      <c r="L3" s="30"/>
      <c r="M3" s="30"/>
      <c r="N3" s="30"/>
      <c r="O3" s="30"/>
      <c r="P3" s="30"/>
      <c r="Q3" s="30"/>
      <c r="R3" s="30"/>
      <c r="S3" s="30"/>
    </row>
    <row r="4" ht="15">
      <c r="I4" s="31" t="s">
        <v>188</v>
      </c>
      <c r="J4" s="32"/>
      <c r="K4" s="32"/>
      <c r="L4" s="33"/>
      <c r="M4" s="34"/>
      <c r="O4" s="30"/>
      <c r="P4" s="30"/>
      <c r="Q4" s="30"/>
      <c r="R4" s="30"/>
      <c r="S4" s="30"/>
    </row>
    <row r="5" ht="15">
      <c r="I5" s="35" t="s">
        <v>47</v>
      </c>
      <c r="J5" s="36"/>
      <c r="K5" s="36"/>
      <c r="L5" s="37" t="str">
        <f>Input!F10</f>
        <v>Finance</v>
      </c>
      <c r="M5" s="37"/>
      <c r="N5" s="30"/>
      <c r="O5" s="30"/>
      <c r="P5" s="30"/>
      <c r="Q5" s="30"/>
      <c r="R5" s="30"/>
      <c r="S5" s="30"/>
    </row>
    <row r="6" ht="15">
      <c r="I6" s="35" t="s">
        <v>189</v>
      </c>
      <c r="J6" s="36"/>
      <c r="K6" s="36"/>
      <c r="L6" s="37" t="str">
        <f>Input!F12</f>
        <v>End of Period Processing</v>
      </c>
      <c r="M6" s="37"/>
      <c r="N6" s="30"/>
      <c r="O6" s="30"/>
      <c r="P6" s="30"/>
      <c r="Q6" s="30"/>
      <c r="R6" s="30"/>
      <c r="S6" s="30"/>
    </row>
    <row r="7" ht="15">
      <c r="I7" s="35" t="s">
        <v>41</v>
      </c>
      <c r="J7" s="36"/>
      <c r="K7" s="36"/>
      <c r="L7" s="38">
        <f>Input!F14</f>
        <v>1168649</v>
      </c>
      <c r="M7" s="38"/>
      <c r="N7" s="30"/>
      <c r="O7" s="30"/>
      <c r="P7" s="30"/>
      <c r="Q7" s="30"/>
      <c r="R7" s="30"/>
      <c r="S7" s="30"/>
    </row>
    <row r="8" ht="15">
      <c r="I8" s="35" t="s">
        <v>42</v>
      </c>
      <c r="J8" s="36"/>
      <c r="K8" s="36"/>
      <c r="L8" s="37" t="str">
        <f>Input!F16</f>
        <v>Open Data Analytics</v>
      </c>
      <c r="M8" s="37"/>
      <c r="N8" s="30"/>
      <c r="O8" s="30"/>
      <c r="P8" s="30"/>
      <c r="Q8" s="30"/>
      <c r="R8" s="30"/>
      <c r="S8" s="30"/>
    </row>
    <row r="9" ht="15">
      <c r="I9" s="39"/>
      <c r="J9" s="40"/>
      <c r="K9" s="40"/>
      <c r="L9" s="41"/>
      <c r="M9" s="42"/>
      <c r="N9" s="30"/>
      <c r="O9" s="30"/>
      <c r="P9" s="30"/>
      <c r="Q9" s="30"/>
      <c r="R9" s="30"/>
      <c r="S9" s="30"/>
    </row>
    <row r="10" ht="15.75">
      <c r="I10" s="36"/>
      <c r="J10" s="36"/>
      <c r="K10" s="36"/>
      <c r="L10" s="30"/>
      <c r="M10" s="30"/>
      <c r="N10" s="30"/>
      <c r="O10" s="30"/>
      <c r="P10" s="30"/>
      <c r="Q10" s="30"/>
      <c r="R10" s="30"/>
      <c r="S10" s="30"/>
    </row>
    <row r="11" ht="14.25">
      <c r="I11" s="43" t="s">
        <v>41</v>
      </c>
      <c r="J11" s="44">
        <f>L7</f>
        <v>1168649</v>
      </c>
    </row>
    <row r="12" ht="14.25">
      <c r="U12" s="45"/>
    </row>
    <row r="13" ht="14.25">
      <c r="I13" s="46"/>
      <c r="J13" s="47" t="s">
        <v>190</v>
      </c>
      <c r="K13" s="47"/>
      <c r="L13" s="48" t="s">
        <v>191</v>
      </c>
      <c r="M13" s="48"/>
      <c r="N13" s="49" t="s">
        <v>192</v>
      </c>
      <c r="O13" s="49"/>
      <c r="P13" s="48" t="s">
        <v>193</v>
      </c>
      <c r="Q13" s="48"/>
      <c r="R13" s="50" t="s">
        <v>194</v>
      </c>
      <c r="S13" s="50"/>
      <c r="U13" s="45"/>
    </row>
    <row r="14" ht="14.25">
      <c r="I14" s="51" t="s">
        <v>195</v>
      </c>
      <c r="J14" s="51" t="s">
        <v>16</v>
      </c>
      <c r="K14" s="51" t="s">
        <v>17</v>
      </c>
      <c r="L14" s="52" t="s">
        <v>16</v>
      </c>
      <c r="M14" s="53" t="s">
        <v>17</v>
      </c>
      <c r="N14" s="54" t="s">
        <v>16</v>
      </c>
      <c r="O14" s="54" t="s">
        <v>17</v>
      </c>
      <c r="P14" s="52" t="s">
        <v>16</v>
      </c>
      <c r="Q14" s="53" t="s">
        <v>17</v>
      </c>
      <c r="R14" s="52" t="s">
        <v>16</v>
      </c>
      <c r="S14" s="53" t="s">
        <v>17</v>
      </c>
      <c r="U14" s="55"/>
    </row>
    <row r="15" ht="14.25">
      <c r="I15" s="56"/>
      <c r="J15" s="57"/>
      <c r="K15" s="57"/>
      <c r="L15" s="58"/>
      <c r="M15" s="58"/>
      <c r="N15" s="58"/>
      <c r="O15" s="58"/>
      <c r="P15" s="58"/>
      <c r="Q15" s="59"/>
      <c r="R15" s="60"/>
      <c r="S15" s="59"/>
      <c r="U15" s="45"/>
      <c r="V15" s="45"/>
      <c r="W15" s="45"/>
      <c r="X15" s="45"/>
    </row>
    <row r="16" ht="14.25">
      <c r="B16" s="61"/>
      <c r="C16" s="61"/>
      <c r="D16" s="61"/>
      <c r="E16" s="61"/>
      <c r="F16" s="61"/>
      <c r="G16" s="61"/>
      <c r="H16" s="61"/>
      <c r="I16" s="35" t="s">
        <v>18</v>
      </c>
      <c r="J16" s="62">
        <f>L16*(J19/L19)</f>
        <v>3.4380853393122321</v>
      </c>
      <c r="K16" s="62">
        <f>M16*(K19/M19)</f>
        <v>0.58166891947681421</v>
      </c>
      <c r="L16" s="62">
        <v>3.83289213910992</v>
      </c>
      <c r="M16" s="62">
        <v>0.648463900396735</v>
      </c>
      <c r="N16" s="62">
        <v>4.78740360551808</v>
      </c>
      <c r="O16" s="62">
        <v>1.23300454490056</v>
      </c>
      <c r="P16" s="62">
        <v>6.04379935244511</v>
      </c>
      <c r="Q16" s="63">
        <v>1.80689796622634</v>
      </c>
      <c r="R16" s="64">
        <f>P16*(R19/P19)</f>
        <v>6.53627820482305</v>
      </c>
      <c r="S16" s="63">
        <f>Q16*(S19/Q19)</f>
        <v>1.9541330057898516</v>
      </c>
      <c r="U16" s="65"/>
      <c r="V16" s="19"/>
      <c r="W16" s="19"/>
      <c r="X16" s="19"/>
    </row>
    <row r="17" ht="14.25">
      <c r="B17" s="66"/>
      <c r="C17" s="66"/>
      <c r="D17" s="66"/>
      <c r="E17" s="66"/>
      <c r="F17" s="66"/>
      <c r="G17" s="66"/>
      <c r="H17" s="66"/>
      <c r="I17" s="35" t="s">
        <v>196</v>
      </c>
      <c r="J17" s="18">
        <v>4.72</v>
      </c>
      <c r="K17" s="18"/>
      <c r="L17" s="67">
        <v>5.63231610399322</v>
      </c>
      <c r="M17" s="67">
        <v>16.2628820330957</v>
      </c>
      <c r="N17" s="67">
        <v>5.19433920919166</v>
      </c>
      <c r="O17" s="67">
        <v>12.7743012454191</v>
      </c>
      <c r="P17" s="67">
        <v>4.51865645846928</v>
      </c>
      <c r="Q17" s="68">
        <v>10.4305541809163</v>
      </c>
      <c r="R17" s="69"/>
      <c r="S17" s="68"/>
      <c r="U17" s="19"/>
      <c r="V17" s="45"/>
      <c r="W17" s="45"/>
      <c r="X17" s="45"/>
    </row>
    <row r="18" ht="14.25">
      <c r="G18" s="0">
        <f>600000*(M19/L19)</f>
        <v>858459.26147406187</v>
      </c>
      <c r="I18" s="35"/>
      <c r="J18" s="18"/>
      <c r="K18" s="18"/>
      <c r="L18" s="67"/>
      <c r="M18" s="67"/>
      <c r="N18" s="67"/>
      <c r="O18" s="67"/>
      <c r="P18" s="67"/>
      <c r="Q18" s="68"/>
      <c r="R18" s="69"/>
      <c r="S18" s="68"/>
      <c r="U18" s="19"/>
      <c r="V18" s="19"/>
      <c r="W18" s="45"/>
    </row>
    <row r="19" ht="14.25">
      <c r="F19" s="45">
        <f>(H29-F29)/H29</f>
        <v>0.13498321556207529</v>
      </c>
      <c r="I19" s="35" t="s">
        <v>41</v>
      </c>
      <c r="J19" s="70">
        <v>600000</v>
      </c>
      <c r="K19" s="70">
        <f>J19*(M19/L19)</f>
        <v>858459.26147406187</v>
      </c>
      <c r="L19" s="70">
        <v>668900</v>
      </c>
      <c r="M19" s="70">
        <v>957039</v>
      </c>
      <c r="N19" s="70">
        <v>1257800</v>
      </c>
      <c r="O19" s="70">
        <v>1106382</v>
      </c>
      <c r="P19" s="70">
        <v>2034240</v>
      </c>
      <c r="Q19" s="71">
        <v>1428221</v>
      </c>
      <c r="R19" s="72">
        <v>2200000</v>
      </c>
      <c r="S19" s="71">
        <f>Q19*(R19/P19)</f>
        <v>1544599.5556079911</v>
      </c>
      <c r="U19" s="19"/>
      <c r="V19" s="19"/>
      <c r="W19" s="45"/>
    </row>
    <row r="20" ht="14.25">
      <c r="I20" s="35"/>
      <c r="J20" s="18"/>
      <c r="K20" s="18"/>
      <c r="L20" s="70"/>
      <c r="M20" s="70"/>
      <c r="N20" s="70"/>
      <c r="O20" s="70"/>
      <c r="P20" s="70"/>
      <c r="Q20" s="71"/>
      <c r="R20" s="72"/>
      <c r="S20" s="71"/>
      <c r="V20" s="19">
        <v>668900</v>
      </c>
      <c r="W20" s="45"/>
    </row>
    <row r="21" ht="14.25">
      <c r="I21" s="35" t="s">
        <v>197</v>
      </c>
      <c r="J21" s="18"/>
      <c r="K21" s="18"/>
      <c r="L21" s="70">
        <v>8140990.37649738</v>
      </c>
      <c r="M21" s="70">
        <v>7051033.32648181</v>
      </c>
      <c r="N21" s="70">
        <v>14413532.1519849</v>
      </c>
      <c r="O21" s="70">
        <v>12010631.1767948</v>
      </c>
      <c r="P21" s="70">
        <v>24972484.6836942</v>
      </c>
      <c r="Q21" s="71">
        <v>20687919.2281847</v>
      </c>
      <c r="R21" s="72"/>
      <c r="S21" s="71"/>
      <c r="V21" s="73">
        <v>399378</v>
      </c>
      <c r="W21" s="45"/>
      <c r="X21" s="45"/>
      <c r="Y21" s="45">
        <f>W21*X21</f>
        <v>0</v>
      </c>
    </row>
    <row r="22" ht="14.25">
      <c r="G22" s="45">
        <f>J11/M19</f>
        <v>1.2211090666106605</v>
      </c>
      <c r="I22" s="39" t="s">
        <v>198</v>
      </c>
      <c r="J22" s="74"/>
      <c r="K22" s="74"/>
      <c r="L22" s="75">
        <v>1684496.6</v>
      </c>
      <c r="M22" s="75">
        <v>4277335.6</v>
      </c>
      <c r="N22" s="75">
        <v>2490500.6</v>
      </c>
      <c r="O22" s="75">
        <v>5378686.4</v>
      </c>
      <c r="P22" s="75">
        <v>3545314.6</v>
      </c>
      <c r="Q22" s="76">
        <v>7370385.2</v>
      </c>
      <c r="R22" s="77"/>
      <c r="S22" s="76"/>
      <c r="U22" s="19"/>
      <c r="V22" s="73">
        <v>205406.2</v>
      </c>
      <c r="W22" s="19"/>
    </row>
    <row r="23" ht="14.25">
      <c r="U23" s="19"/>
      <c r="V23" s="73">
        <v>1273684.2</v>
      </c>
      <c r="W23" s="19"/>
    </row>
    <row r="24" ht="14.25">
      <c r="U24" s="45"/>
      <c r="V24" s="73">
        <v>216000</v>
      </c>
      <c r="W24" s="45"/>
    </row>
    <row r="25" ht="14.25">
      <c r="E25" s="78" t="s">
        <v>199</v>
      </c>
      <c r="F25" s="78"/>
      <c r="G25" s="79" t="s">
        <v>199</v>
      </c>
      <c r="H25" s="79"/>
      <c r="I25" s="46"/>
      <c r="J25" s="80" t="s">
        <v>200</v>
      </c>
      <c r="K25" s="80"/>
      <c r="L25" s="81" t="s">
        <v>191</v>
      </c>
      <c r="M25" s="81"/>
      <c r="N25" s="82" t="s">
        <v>192</v>
      </c>
      <c r="O25" s="82"/>
      <c r="P25" s="81" t="s">
        <v>193</v>
      </c>
      <c r="Q25" s="81"/>
      <c r="R25" s="83" t="s">
        <v>201</v>
      </c>
      <c r="S25" s="83"/>
      <c r="U25" s="45"/>
      <c r="V25" s="73">
        <v>997500</v>
      </c>
      <c r="W25" s="45"/>
    </row>
    <row r="26" ht="14.25">
      <c r="A26" s="84">
        <f>J11</f>
        <v>1168649</v>
      </c>
      <c r="E26" s="85" t="s">
        <v>16</v>
      </c>
      <c r="F26" s="86" t="s">
        <v>17</v>
      </c>
      <c r="G26" s="86" t="s">
        <v>16</v>
      </c>
      <c r="H26" s="86" t="s">
        <v>17</v>
      </c>
      <c r="I26" s="51" t="s">
        <v>202</v>
      </c>
      <c r="J26" s="51" t="s">
        <v>16</v>
      </c>
      <c r="K26" s="51" t="s">
        <v>17</v>
      </c>
      <c r="L26" s="60" t="s">
        <v>16</v>
      </c>
      <c r="M26" s="59" t="s">
        <v>17</v>
      </c>
      <c r="N26" s="58" t="s">
        <v>16</v>
      </c>
      <c r="O26" s="58" t="s">
        <v>17</v>
      </c>
      <c r="P26" s="60" t="s">
        <v>16</v>
      </c>
      <c r="Q26" s="59" t="s">
        <v>17</v>
      </c>
      <c r="R26" s="54" t="s">
        <v>16</v>
      </c>
      <c r="S26" s="53" t="s">
        <v>17</v>
      </c>
      <c r="U26" s="45"/>
      <c r="V26" s="73">
        <v>975000</v>
      </c>
    </row>
    <row r="27" ht="14.25">
      <c r="E27" s="35"/>
      <c r="F27" s="36"/>
      <c r="G27" s="36"/>
      <c r="H27" s="36"/>
      <c r="I27" s="35"/>
      <c r="J27" s="36"/>
      <c r="K27" s="36"/>
      <c r="L27" s="87"/>
      <c r="M27" s="18"/>
      <c r="N27" s="18"/>
      <c r="O27" s="18"/>
      <c r="P27" s="18"/>
      <c r="Q27" s="88"/>
      <c r="R27" s="36"/>
      <c r="S27" s="89"/>
      <c r="V27" s="73"/>
      <c r="W27" s="45"/>
    </row>
    <row r="28" ht="14.25">
      <c r="E28" s="90"/>
      <c r="F28" s="91"/>
      <c r="G28" s="92"/>
      <c r="H28" s="92"/>
      <c r="I28" s="93" t="s">
        <v>20</v>
      </c>
      <c r="J28" s="94"/>
      <c r="K28" s="95"/>
      <c r="L28" s="87"/>
      <c r="M28" s="18"/>
      <c r="N28" s="18"/>
      <c r="O28" s="18"/>
      <c r="P28" s="18"/>
      <c r="Q28" s="88"/>
      <c r="R28" s="95"/>
      <c r="S28" s="96"/>
    </row>
    <row r="29" ht="14.25">
      <c r="A29" s="19">
        <f>J52</f>
        <v>1168649</v>
      </c>
      <c r="B29" s="19">
        <f>K52</f>
        <v>1083773.6152266939</v>
      </c>
      <c r="C29" s="45">
        <f>A29/B29</f>
        <v>1.0783146808344772</v>
      </c>
      <c r="D29" s="19"/>
      <c r="E29" s="97">
        <f>IF($J$11&lt;$J$19,0,IF(AND($J$11&gt;=$J$19,$J$11&lt;$L$19),J29,IF(AND($J$11&gt;=$L$19,$J$11&lt;$N$19),L29,IF(AND($J$11&gt;=$N$19,$J$11&lt;$P$19),N29,IF(AND($J$11&gt;=$P$19,$J$11&lt;=$R$19),P29,0)))))</f>
        <v>668900</v>
      </c>
      <c r="F29" s="19">
        <f>IF($J$11&lt;$J$19,0,IF(AND($J$11&gt;=$J$19,$J$11&lt;$L$19),K29,IF(AND($J$11&gt;=$L$19,$J$11&lt;$N$19),M29,IF(AND($J$11&gt;=$N$19,$J$11&lt;$P$19),O29,IF(AND($J$11&gt;=$P$19,$J$11&lt;=$R$19),Q29,0)))))</f>
        <v>957039</v>
      </c>
      <c r="G29" s="19">
        <f>IF($J$11&lt;$J$19,0,IF(AND($J$11&gt;=$J$19,$J$11&lt;$L$19),L29,IF(AND($J$11&gt;=$L$19,$J$11&lt;$N$19),N29,IF(AND($J$11&gt;=$N$19,$J$11&lt;$P$19),P29,IF(AND($J$11&gt;=$P$19,$J$11&lt;=$R$19),R29,0)))))</f>
        <v>1257800</v>
      </c>
      <c r="H29" s="19">
        <f>IF($J$11&lt;$J$19,0,IF(AND($J$11&gt;=$J$19,$J$11&lt;$L$19),M29,IF(AND($J$11&gt;=$L$19,$J$11&lt;$N$19),O29,IF(AND($J$11&gt;=$N$19,$J$11&lt;$P$19),Q29,IF(AND($J$11&gt;=$P$19,$J$11&lt;=$R$19),S29,0)))))</f>
        <v>1106382</v>
      </c>
      <c r="I29" s="35" t="s">
        <v>203</v>
      </c>
      <c r="J29" s="98">
        <f>J19</f>
        <v>600000</v>
      </c>
      <c r="K29" s="19">
        <f>J29*(M29/L29)</f>
        <v>858459.26147406187</v>
      </c>
      <c r="L29" s="72">
        <v>668900</v>
      </c>
      <c r="M29" s="70">
        <v>957039</v>
      </c>
      <c r="N29" s="70">
        <v>1257800</v>
      </c>
      <c r="O29" s="70">
        <v>1106382</v>
      </c>
      <c r="P29" s="70">
        <v>2034240</v>
      </c>
      <c r="Q29" s="71">
        <v>1428221</v>
      </c>
      <c r="R29" s="19">
        <f>R19</f>
        <v>2200000</v>
      </c>
      <c r="S29" s="99">
        <f>S19</f>
        <v>1544599.5556079911</v>
      </c>
    </row>
    <row r="30" ht="14.25">
      <c r="A30" s="19">
        <f>J53</f>
        <v>583615.57326541</v>
      </c>
      <c r="B30" s="19">
        <f>K53</f>
        <v>2458585.9761946</v>
      </c>
      <c r="C30" s="45">
        <f>A30/B30</f>
        <v>0.23737854966891592</v>
      </c>
      <c r="D30" s="19"/>
      <c r="E30" s="97">
        <f>IF($J$11&lt;$L$19,J30,IF(AND($J$11&gt;=$L$19,$J$11&lt;$N$19),L30,IF(AND($J$11&gt;=$N$19,$J$11&lt;$P$19),N30,IF(AND($J$11&gt;=$P$19,$J$11&lt;$R$19),P30,IF($J$11&gt;=$R$19,R30,R30)))))</f>
        <v>399378</v>
      </c>
      <c r="F30" s="19">
        <f>IF($J$11&lt;$J$19,0,IF(AND($J$11&gt;=$J$19,$J$11&lt;$L$19),K30,IF(AND($J$11&gt;=$L$19,$J$11&lt;$N$19),M30,IF(AND($J$11&gt;=$N$19,$J$11&lt;$P$19),O30,IF(AND($J$11&gt;=$P$19,$J$11&lt;=$R$19),Q30,0)))))</f>
        <v>1682215</v>
      </c>
      <c r="G30" s="19">
        <f>IF($J$11&lt;$L$19,L30,IF(AND($J$11&gt;=$L$19,$J$11&lt;$N$19),N30,IF(AND($J$11&gt;=$N$19,$J$11&lt;$P$19),P30,IF(AND($J$11&gt;=$P$19,$J$11&lt;=$R$19),R30))))</f>
        <v>616482</v>
      </c>
      <c r="H30" s="19">
        <f>IF($J$11&lt;$J$19,0,IF(AND($J$11&gt;=$J$19,$J$11&lt;$L$19),M30,IF(AND($J$11&gt;=$L$19,$J$11&lt;$N$19),O30,IF(AND($J$11&gt;=$N$19,$J$11&lt;$P$19),Q30,IF(AND($J$11&gt;=$P$19,$J$11&lt;=$R$19),S30,0)))))</f>
        <v>2597084</v>
      </c>
      <c r="I30" s="35" t="s">
        <v>204</v>
      </c>
      <c r="J30" s="98">
        <f>L30*($J$29/$L$29)</f>
        <v>358240.09567947377</v>
      </c>
      <c r="K30" s="19">
        <f>M30*($L$29/$M$29)</f>
        <v>1175744.7852177392</v>
      </c>
      <c r="L30" s="72">
        <v>399378</v>
      </c>
      <c r="M30" s="70">
        <v>1682215</v>
      </c>
      <c r="N30" s="70">
        <v>616482</v>
      </c>
      <c r="O30" s="70">
        <v>2597084</v>
      </c>
      <c r="P30" s="70">
        <v>894856</v>
      </c>
      <c r="Q30" s="71">
        <v>3877689</v>
      </c>
      <c r="R30" s="19">
        <f>P30*$R$29/$P$29</f>
        <v>967773.32074878085</v>
      </c>
      <c r="S30" s="99">
        <f>Q30*($R$19/$P$19)</f>
        <v>4193662.3997168476</v>
      </c>
    </row>
    <row r="31" ht="14.25">
      <c r="A31" s="19">
        <f>J54</f>
        <v>205406.2</v>
      </c>
      <c r="B31" s="19">
        <f>K54</f>
        <v>556532.70640244521</v>
      </c>
      <c r="C31" s="45">
        <f>A31/B31</f>
        <v>0.36908199219376109</v>
      </c>
      <c r="D31" s="19"/>
      <c r="E31" s="97">
        <f>IF($J$11&lt;$L$19,J31,IF(AND($J$11&gt;=$L$19,$J$11&lt;$N$19),L31,IF(AND($J$11&gt;=$N$19,$J$11&lt;$P$19),N31,IF(AND($J$11&gt;=$P$19,$J$11&lt;$R$19),P31,IF($J$11&gt;=$R$19,R31,R31)))))</f>
        <v>205406.2</v>
      </c>
      <c r="F31" s="19">
        <f>IF($J$11&lt;$J$19,0,IF(AND($J$11&gt;=$J$19,$J$11&lt;$L$19),K31,IF(AND($J$11&gt;=$L$19,$J$11&lt;$N$19),M31,IF(AND($J$11&gt;=$N$19,$J$11&lt;$P$19),O31,IF(AND($J$11&gt;=$P$19,$J$11&lt;=$R$19),Q31,0)))))</f>
        <v>546027.2</v>
      </c>
      <c r="G31" s="19">
        <f>IF($J$11&lt;$L$19,L31,IF(AND($J$11&gt;=$L$19,$J$11&lt;$N$19),N31,IF(AND($J$11&gt;=$N$19,$J$11&lt;$P$19),P31,IF(AND($J$11&gt;=$P$19,$J$11&lt;=$R$19),R31))))</f>
        <v>205406.2</v>
      </c>
      <c r="H31" s="19">
        <f>IF($J$11&lt;$J$19,0,IF(AND($J$11&gt;=$J$19,$J$11&lt;$L$19),M31,IF(AND($J$11&gt;=$L$19,$J$11&lt;$N$19),O31,IF(AND($J$11&gt;=$N$19,$J$11&lt;$P$19),Q31,IF(AND($J$11&gt;=$P$19,$J$11&lt;=$R$19),S31,0)))))</f>
        <v>558406.8</v>
      </c>
      <c r="I31" s="35" t="s">
        <v>205</v>
      </c>
      <c r="J31" s="98">
        <f>L31*($J$29/$L$29)</f>
        <v>184248.34803408582</v>
      </c>
      <c r="K31" s="19">
        <f>M31*($L$29/$M$29)</f>
        <v>381632.92622348719</v>
      </c>
      <c r="L31" s="72">
        <v>205406.2</v>
      </c>
      <c r="M31" s="70">
        <v>546027.2</v>
      </c>
      <c r="N31" s="70">
        <v>205406.2</v>
      </c>
      <c r="O31" s="70">
        <v>558406.8</v>
      </c>
      <c r="P31" s="70">
        <v>205406.2</v>
      </c>
      <c r="Q31" s="71">
        <v>688158.4</v>
      </c>
      <c r="R31" s="19">
        <f>P31*$R$29/$P$29</f>
        <v>222143.71952178702</v>
      </c>
      <c r="S31" s="99">
        <f>Q31*($R$19/$P$19)</f>
        <v>744232.97152745</v>
      </c>
    </row>
    <row r="32" ht="14.25">
      <c r="A32" s="100">
        <f>SUM(A29:A31)</f>
        <v>1957670.77326541</v>
      </c>
      <c r="B32" s="101">
        <f>SUM(B29:B31)</f>
        <v>4098892.2978237392</v>
      </c>
      <c r="C32" s="19"/>
      <c r="D32" s="19"/>
      <c r="E32" s="102"/>
      <c r="F32" s="91"/>
      <c r="G32" s="91"/>
      <c r="H32" s="91"/>
      <c r="I32" s="93" t="s">
        <v>24</v>
      </c>
      <c r="J32" s="98">
        <f>SUM(J29:J31)</f>
        <v>1142488.4437135598</v>
      </c>
      <c r="K32" s="19">
        <f>M32*($L$29/$M$29)</f>
        <v>2226277.7114412268</v>
      </c>
      <c r="L32" s="72">
        <v>1273684.2</v>
      </c>
      <c r="M32" s="70">
        <v>3185281.2</v>
      </c>
      <c r="N32" s="70">
        <v>2079688.2</v>
      </c>
      <c r="O32" s="70">
        <v>4261872.8</v>
      </c>
      <c r="P32" s="70">
        <v>3134502.2</v>
      </c>
      <c r="Q32" s="71">
        <v>5994068.4</v>
      </c>
      <c r="R32" s="98">
        <f>SUM(R29:R31)</f>
        <v>3389917.0402705679</v>
      </c>
      <c r="S32" s="103">
        <f>Q32*$S$29/$Q$29</f>
        <v>6482494.9268522887</v>
      </c>
    </row>
    <row r="33" ht="14.25">
      <c r="A33" s="19">
        <f>J56</f>
        <v>336265.6279164544</v>
      </c>
      <c r="B33" s="19">
        <f>K56</f>
        <v>265431.33041263372</v>
      </c>
      <c r="C33" s="45">
        <f>A33/B33</f>
        <v>1.2668648700728102</v>
      </c>
      <c r="D33" s="19"/>
      <c r="E33" s="97">
        <f>IF($J$11&lt;$L$19,J33,IF(AND($J$11&gt;=$L$19,$J$11&lt;$N$19),L33,IF(AND($J$11&gt;=$N$19,$J$11&lt;$P$19),N33,IF(AND($J$11&gt;=$P$19,$J$11&lt;$R$19),P33,IF($J$11&gt;=$R$19,R33,R33)))))</f>
        <v>216000</v>
      </c>
      <c r="F33" s="19">
        <f>IF($J$11&lt;$J$19,0,IF(AND($J$11&gt;=$J$19,$J$11&lt;$L$19),K33,IF(AND($J$11&gt;=$L$19,$J$11&lt;$N$19),M33,IF(AND($J$11&gt;=$N$19,$J$11&lt;$P$19),O33,IF(AND($J$11&gt;=$P$19,$J$11&lt;=$R$19),Q33,0)))))</f>
        <v>179280</v>
      </c>
      <c r="G33" s="19">
        <f>IF($J$11&lt;$L$19,L33,IF(AND($J$11&gt;=$L$19,$J$11&lt;$N$19),N33,IF(AND($J$11&gt;=$N$19,$J$11&lt;$P$19),P33,IF(AND($J$11&gt;=$P$19,$J$11&lt;=$R$19),R33))))</f>
        <v>357720</v>
      </c>
      <c r="H33" s="19">
        <f>IF($J$11&lt;$J$19,0,IF(AND($J$11&gt;=$J$19,$J$11&lt;$L$19),M33,IF(AND($J$11&gt;=$L$19,$J$11&lt;$N$19),O33,IF(AND($J$11&gt;=$N$19,$J$11&lt;$P$19),Q33,IF(AND($J$11&gt;=$P$19,$J$11&lt;=$R$19),S33,0)))))</f>
        <v>280800</v>
      </c>
      <c r="I33" s="35" t="s">
        <v>206</v>
      </c>
      <c r="J33" s="98">
        <f>L33*($J$29/$L$29)</f>
        <v>193750.93436986097</v>
      </c>
      <c r="K33" s="19">
        <f>M33*($L$29/$M$29)</f>
        <v>125303.55816220655</v>
      </c>
      <c r="L33" s="72">
        <v>216000</v>
      </c>
      <c r="M33" s="70">
        <v>179280</v>
      </c>
      <c r="N33" s="70">
        <v>357720</v>
      </c>
      <c r="O33" s="70">
        <v>280800</v>
      </c>
      <c r="P33" s="70">
        <v>645000</v>
      </c>
      <c r="Q33" s="71">
        <v>512160</v>
      </c>
      <c r="R33" s="19">
        <f>P33*$R$29/$P$29</f>
        <v>697557.81028787163</v>
      </c>
      <c r="S33" s="99">
        <f>Q33*($R$19/$P$19)</f>
        <v>553893.34591788577</v>
      </c>
    </row>
    <row r="34" ht="14.25">
      <c r="A34" s="19">
        <f>J57</f>
        <v>1525762.4426897606</v>
      </c>
      <c r="B34" s="19">
        <f>K57</f>
        <v>1049389.8247580235</v>
      </c>
      <c r="C34" s="45">
        <f>A34/B34</f>
        <v>1.4539520078170978</v>
      </c>
      <c r="D34" s="19"/>
      <c r="E34" s="97">
        <f>IF($J$11&lt;$L$19,J34,IF(AND($J$11&gt;=$L$19,$J$11&lt;$N$19),L34,IF(AND($J$11&gt;=$N$19,$J$11&lt;$P$19),N34,IF(AND($J$11&gt;=$P$19,$J$11&lt;$R$19),P34,IF($J$11&gt;=$R$19,R34,R34)))))</f>
        <v>997500</v>
      </c>
      <c r="F34" s="19">
        <f>IF($J$11&lt;$J$19,0,IF(AND($J$11&gt;=$J$19,$J$11&lt;$L$19),K34,IF(AND($J$11&gt;=$L$19,$J$11&lt;$N$19),M34,IF(AND($J$11&gt;=$N$19,$J$11&lt;$P$19),O34,IF(AND($J$11&gt;=$P$19,$J$11&lt;=$R$19),Q34,0)))))</f>
        <v>877800</v>
      </c>
      <c r="G34" s="19">
        <f>IF($J$11&lt;$L$19,L34,IF(AND($J$11&gt;=$L$19,$J$11&lt;$N$19),N34,IF(AND($J$11&gt;=$N$19,$J$11&lt;$P$19),P34,IF(AND($J$11&gt;=$P$19,$J$11&lt;=$R$19),R34))))</f>
        <v>1620000</v>
      </c>
      <c r="H34" s="19">
        <f>IF($J$11&lt;$J$19,0,IF(AND($J$11&gt;=$J$19,$J$11&lt;$L$19),M34,IF(AND($J$11&gt;=$L$19,$J$11&lt;$N$19),O34,IF(AND($J$11&gt;=$N$19,$J$11&lt;$P$19),Q34,IF(AND($J$11&gt;=$P$19,$J$11&lt;=$R$19),S34,0)))))</f>
        <v>1080000</v>
      </c>
      <c r="I34" s="35" t="s">
        <v>207</v>
      </c>
      <c r="J34" s="98">
        <f>L34*($J$29/$L$29)</f>
        <v>894752.57886081631</v>
      </c>
      <c r="K34" s="19">
        <f>M34*($L$29/$M$29)</f>
        <v>613517.75632967928</v>
      </c>
      <c r="L34" s="72">
        <v>997500</v>
      </c>
      <c r="M34" s="70">
        <v>877800</v>
      </c>
      <c r="N34" s="70">
        <v>1620000</v>
      </c>
      <c r="O34" s="70">
        <v>1080000</v>
      </c>
      <c r="P34" s="70">
        <v>2383500</v>
      </c>
      <c r="Q34" s="71">
        <v>2179200</v>
      </c>
      <c r="R34" s="19">
        <f>P34*$R$29/$P$29</f>
        <v>2577719.4431335535</v>
      </c>
      <c r="S34" s="99">
        <f>Q34*($R$19/$P$19)</f>
        <v>2356772.0622935346</v>
      </c>
      <c r="U34" s="45"/>
      <c r="V34" s="45"/>
    </row>
    <row r="35" ht="14.25">
      <c r="A35" s="19">
        <f>J58</f>
        <v>1751482.1446765156</v>
      </c>
      <c r="B35" s="19">
        <f>K58</f>
        <v>1412993.7952114111</v>
      </c>
      <c r="C35" s="45">
        <f>A35/B35</f>
        <v>1.2395540239541252</v>
      </c>
      <c r="D35" s="19"/>
      <c r="E35" s="97">
        <f>IF($J$11&lt;$L$19,J35,IF(AND($J$11&gt;=$L$19,$J$11&lt;$N$19),L35,IF(AND($J$11&gt;=$N$19,$J$11&lt;$P$19),N35,IF(AND($J$11&gt;=$P$19,$J$11&lt;$R$19),P35,IF($J$11&gt;=$R$19,R35,R35)))))</f>
        <v>975000</v>
      </c>
      <c r="F35" s="19">
        <f>IF($J$11&lt;$J$19,0,IF(AND($J$11&gt;=$J$19,$J$11&lt;$L$19),K35,IF(AND($J$11&gt;=$L$19,$J$11&lt;$N$19),M35,IF(AND($J$11&gt;=$N$19,$J$11&lt;$P$19),O35,IF(AND($J$11&gt;=$P$19,$J$11&lt;=$R$19),Q35,0)))))</f>
        <v>858000</v>
      </c>
      <c r="G35" s="19">
        <f>IF($J$11&lt;$L$19,L35,IF(AND($J$11&gt;=$L$19,$J$11&lt;$N$19),N35,IF(AND($J$11&gt;=$N$19,$J$11&lt;$P$19),P35,IF(AND($J$11&gt;=$P$19,$J$11&lt;=$R$19),R35))))</f>
        <v>1890000</v>
      </c>
      <c r="H35" s="19">
        <f>IF($J$11&lt;$J$19,0,IF(AND($J$11&gt;=$J$19,$J$11&lt;$L$19),M35,IF(AND($J$11&gt;=$L$19,$J$11&lt;$N$19),O35,IF(AND($J$11&gt;=$N$19,$J$11&lt;$P$19),Q35,IF(AND($J$11&gt;=$P$19,$J$11&lt;=$R$19),S35,0)))))</f>
        <v>1512000</v>
      </c>
      <c r="I35" s="35" t="s">
        <v>208</v>
      </c>
      <c r="J35" s="98">
        <f>L35*($J$29/$L$29)</f>
        <v>874570.18986395572</v>
      </c>
      <c r="K35" s="19">
        <f>M35*($L$29/$M$29)</f>
        <v>599679.00994630309</v>
      </c>
      <c r="L35" s="72">
        <v>975000</v>
      </c>
      <c r="M35" s="70">
        <v>858000</v>
      </c>
      <c r="N35" s="70">
        <v>1890000</v>
      </c>
      <c r="O35" s="70">
        <v>1512000</v>
      </c>
      <c r="P35" s="70">
        <v>3480000</v>
      </c>
      <c r="Q35" s="71">
        <v>2610000</v>
      </c>
      <c r="R35" s="19">
        <f>P35*$R$29/$P$29</f>
        <v>3763567.7206229353</v>
      </c>
      <c r="S35" s="99">
        <f>Q35*($R$19/$P$19)</f>
        <v>2822675.7904672013</v>
      </c>
    </row>
    <row r="36" ht="14.25">
      <c r="A36" s="19"/>
      <c r="B36" s="19"/>
      <c r="C36" s="45"/>
      <c r="D36" s="19"/>
      <c r="E36" s="90"/>
      <c r="F36" s="91"/>
      <c r="G36" s="91"/>
      <c r="H36" s="91"/>
      <c r="I36" s="93" t="s">
        <v>28</v>
      </c>
      <c r="J36" s="98"/>
      <c r="K36" s="19">
        <f>M36*($L$29/$M$29)</f>
        <v>0</v>
      </c>
      <c r="L36" s="72"/>
      <c r="M36" s="70"/>
      <c r="N36" s="70"/>
      <c r="O36" s="70"/>
      <c r="P36" s="70"/>
      <c r="Q36" s="71"/>
      <c r="R36" s="98"/>
      <c r="S36" s="99">
        <f>Q36*($R$19/$P$19)</f>
        <v>0</v>
      </c>
      <c r="U36" s="73">
        <f>P35*U34</f>
        <v>0</v>
      </c>
    </row>
    <row r="37" ht="14.25">
      <c r="A37" s="19">
        <f>J60</f>
        <v>2884119.6739684157</v>
      </c>
      <c r="B37" s="19">
        <f>K60</f>
        <v>2687606.2312786551</v>
      </c>
      <c r="C37" s="45">
        <f>A37/B37</f>
        <v>1.0731183907831123</v>
      </c>
      <c r="D37" s="19"/>
      <c r="E37" s="97">
        <f>IF($J$11&lt;$L$19,J37,IF(AND($J$11&gt;=$L$19,$J$11&lt;$N$19),L37,IF(AND($J$11&gt;=$N$19,$J$11&lt;$P$19),N37,IF(AND($J$11&gt;=$P$19,$J$11&lt;$R$19),P37,IF($J$11&gt;=$R$19,R37,R37)))))</f>
        <v>2100000</v>
      </c>
      <c r="F37" s="19">
        <f>IF($J$11&lt;$J$19,0,IF(AND($J$11&gt;=$J$19,$J$11&lt;$L$19),K37,IF(AND($J$11&gt;=$L$19,$J$11&lt;$N$19),M37,IF(AND($J$11&gt;=$N$19,$J$11&lt;$P$19),O37,IF(AND($J$11&gt;=$P$19,$J$11&lt;=$R$19),Q37,0)))))</f>
        <v>1932000</v>
      </c>
      <c r="G37" s="19">
        <f>IF($J$11&lt;$L$19,L37,IF(AND($J$11&gt;=$L$19,$J$11&lt;$N$19),N37,IF(AND($J$11&gt;=$N$19,$J$11&lt;$P$19),P37,IF(AND($J$11&gt;=$P$19,$J$11&lt;=$R$19),R37))))</f>
        <v>3024000</v>
      </c>
      <c r="H37" s="19">
        <f>IF($J$11&lt;$J$19,0,IF(AND($J$11&gt;=$J$19,$J$11&lt;$L$19),M37,IF(AND($J$11&gt;=$L$19,$J$11&lt;$N$19),O37,IF(AND($J$11&gt;=$N$19,$J$11&lt;$P$19),Q37,IF(AND($J$11&gt;=$P$19,$J$11&lt;=$R$19),S37,0)))))</f>
        <v>2822400</v>
      </c>
      <c r="I37" s="35" t="s">
        <v>209</v>
      </c>
      <c r="J37" s="98">
        <f>L37*($J$29/$L$29)</f>
        <v>1883689.6397069816</v>
      </c>
      <c r="K37" s="19">
        <f>M37*($L$29/$M$29)</f>
        <v>1350326.1622567105</v>
      </c>
      <c r="L37" s="72">
        <v>2100000</v>
      </c>
      <c r="M37" s="70">
        <v>1932000</v>
      </c>
      <c r="N37" s="70">
        <v>3024000</v>
      </c>
      <c r="O37" s="70">
        <v>2822400</v>
      </c>
      <c r="P37" s="70">
        <v>3234000</v>
      </c>
      <c r="Q37" s="71">
        <v>2956800</v>
      </c>
      <c r="R37" s="19">
        <f>P37*$R$29/$P$29</f>
        <v>3497522.4162340728</v>
      </c>
      <c r="S37" s="99">
        <f>Q37*($R$19/$P$19)</f>
        <v>3197734.7805568664</v>
      </c>
    </row>
    <row r="38" ht="14.25">
      <c r="A38" s="19">
        <f>J61</f>
        <v>2214042.18848701</v>
      </c>
      <c r="B38" s="19">
        <f>K61</f>
        <v>1837970.4941416201</v>
      </c>
      <c r="C38" s="45">
        <f>A38/B38</f>
        <v>1.2046124763939832</v>
      </c>
      <c r="D38" s="19"/>
      <c r="E38" s="97">
        <f>IF($J$11&lt;$L$19,J38,IF(AND($J$11&gt;=$L$19,$J$11&lt;$N$19),L38,IF(AND($J$11&gt;=$N$19,$J$11&lt;$P$19),N38,IF(AND($J$11&gt;=$P$19,$J$11&lt;$R$19),P38,IF($J$11&gt;=$R$19,R38,R38)))))</f>
        <v>1064000</v>
      </c>
      <c r="F38" s="19">
        <f>IF($J$11&lt;$J$19,0,IF(AND($J$11&gt;=$J$19,$J$11&lt;$L$19),K38,IF(AND($J$11&gt;=$L$19,$J$11&lt;$N$19),M38,IF(AND($J$11&gt;=$N$19,$J$11&lt;$P$19),O38,IF(AND($J$11&gt;=$P$19,$J$11&lt;=$R$19),Q38,0)))))</f>
        <v>840000</v>
      </c>
      <c r="G38" s="19">
        <f>IF($J$11&lt;$L$19,L38,IF(AND($J$11&gt;=$L$19,$J$11&lt;$N$19),N38,IF(AND($J$11&gt;=$N$19,$J$11&lt;$P$19),P38,IF(AND($J$11&gt;=$P$19,$J$11&lt;=$R$19),R38))))</f>
        <v>2419200</v>
      </c>
      <c r="H38" s="19">
        <f>IF($J$11&lt;$J$19,0,IF(AND($J$11&gt;=$J$19,$J$11&lt;$L$19),M38,IF(AND($J$11&gt;=$L$19,$J$11&lt;$N$19),O38,IF(AND($J$11&gt;=$N$19,$J$11&lt;$P$19),Q38,IF(AND($J$11&gt;=$P$19,$J$11&lt;=$R$19),S38,0)))))</f>
        <v>2016000</v>
      </c>
      <c r="I38" s="35" t="s">
        <v>210</v>
      </c>
      <c r="J38" s="98">
        <f>L38*($J$29/$L$29)</f>
        <v>954402.7507848707</v>
      </c>
      <c r="K38" s="19">
        <f>M38*($L$29/$M$29)</f>
        <v>587098.331415961</v>
      </c>
      <c r="L38" s="72">
        <v>1064000</v>
      </c>
      <c r="M38" s="70">
        <v>840000</v>
      </c>
      <c r="N38" s="70">
        <v>2419200</v>
      </c>
      <c r="O38" s="70">
        <v>2016000</v>
      </c>
      <c r="P38" s="70">
        <v>5481000</v>
      </c>
      <c r="Q38" s="71">
        <v>4725000</v>
      </c>
      <c r="R38" s="19">
        <f>P38*$R$29/$P$29</f>
        <v>5927619.1599811232</v>
      </c>
      <c r="S38" s="99">
        <f>Q38*($R$19/$P$19)</f>
        <v>5110016.5172251062</v>
      </c>
    </row>
    <row r="39" ht="14.25">
      <c r="A39" s="19">
        <f>J62</f>
        <v>366005.53257716988</v>
      </c>
      <c r="B39" s="19">
        <f>K62</f>
        <v>332447.19844196254</v>
      </c>
      <c r="C39" s="45">
        <f>A39/B39</f>
        <v>1.1009433506808928</v>
      </c>
      <c r="D39" s="19"/>
      <c r="E39" s="97">
        <f>IF($J$11&lt;$L$19,J39,IF(AND($J$11&gt;=$L$19,$J$11&lt;$N$19),L39,IF(AND($J$11&gt;=$N$19,$J$11&lt;$P$19),N39,IF(AND($J$11&gt;=$P$19,$J$11&lt;$R$19),P39,IF($J$11&gt;=$R$19,R39,R39)))))</f>
        <v>207162.5175</v>
      </c>
      <c r="F39" s="19">
        <f>IF($J$11&lt;$J$19,0,IF(AND($J$11&gt;=$J$19,$J$11&lt;$L$19),K39,IF(AND($J$11&gt;=$L$19,$J$11&lt;$N$19),M39,IF(AND($J$11&gt;=$N$19,$J$11&lt;$P$19),O39,IF(AND($J$11&gt;=$P$19,$J$11&lt;=$R$19),Q39,0)))))</f>
        <v>186446.26575</v>
      </c>
      <c r="G39" s="19">
        <f>IF($J$11&lt;$L$19,L39,IF(AND($J$11&gt;=$L$19,$J$11&lt;$N$19),N39,IF(AND($J$11&gt;=$N$19,$J$11&lt;$P$19),P39,IF(AND($J$11&gt;=$P$19,$J$11&lt;=$R$19),R39))))</f>
        <v>394341.78465</v>
      </c>
      <c r="H39" s="19">
        <f>IF($J$11&lt;$J$19,0,IF(AND($J$11&gt;=$J$19,$J$11&lt;$L$19),M39,IF(AND($J$11&gt;=$L$19,$J$11&lt;$N$19),O39,IF(AND($J$11&gt;=$N$19,$J$11&lt;$P$19),Q39,IF(AND($J$11&gt;=$P$19,$J$11&lt;=$R$19),S39,0)))))</f>
        <v>358492.5315</v>
      </c>
      <c r="I39" s="35" t="s">
        <v>211</v>
      </c>
      <c r="J39" s="98">
        <f>L39*($J$29/$L$29)</f>
        <v>185823.75616684108</v>
      </c>
      <c r="K39" s="19">
        <f>M39*($L$29/$M$29)</f>
        <v>130312.25181019268</v>
      </c>
      <c r="L39" s="72">
        <v>207162.5175</v>
      </c>
      <c r="M39" s="70">
        <v>186446.26575</v>
      </c>
      <c r="N39" s="70">
        <v>394341.78465</v>
      </c>
      <c r="O39" s="70">
        <v>358492.5315</v>
      </c>
      <c r="P39" s="70">
        <v>716859.440625</v>
      </c>
      <c r="Q39" s="71">
        <v>573487.5525</v>
      </c>
      <c r="R39" s="19">
        <f>P39*$R$29/$P$29</f>
        <v>775272.71579312172</v>
      </c>
      <c r="S39" s="99">
        <f>Q39*($R$19/$P$19)</f>
        <v>620218.1726344974</v>
      </c>
      <c r="V39" s="0">
        <f>S19/Q19</f>
        <v>1.0814849771904986</v>
      </c>
    </row>
    <row r="40" ht="14.25">
      <c r="A40" s="19"/>
      <c r="B40" s="19"/>
      <c r="C40" s="45"/>
      <c r="D40" s="19"/>
      <c r="E40" s="90">
        <f>IF($J$11&lt;$L$19,J40,IF(AND($J$11&gt;=$L$19,$J$11&lt;$N$19),L40,IF(AND($J$11&gt;=$N$19,$J$11&lt;$P$19),N40,IF(AND($J$11&gt;=$P$19,$J$11&lt;$R$19),P40,IF($J$11&gt;=$R$19,R40,R40)))))</f>
        <v>0</v>
      </c>
      <c r="F40" s="91">
        <f>IF($J$11&lt;$J$19,0,IF(AND($J$11&gt;=$J$19,$J$11&lt;$L$19),K40,IF(AND($J$11&gt;=$L$19,$J$11&lt;$N$19),M40,IF(AND($J$11&gt;=$N$19,$J$11&lt;$P$19),O40,IF(AND($J$11&gt;=$P$19,$J$11&lt;=$R$19),Q40,0)))))</f>
        <v>0</v>
      </c>
      <c r="G40" s="91">
        <f>IF($J$11&lt;$L$19,L40,IF(AND($J$11&gt;=$L$19,$J$11&lt;$N$19),N40,IF(AND($J$11&gt;=$N$19,$J$11&lt;$P$19),P40,IF(AND($J$11&gt;=$P$19,$J$11&lt;=$R$19),R40))))</f>
        <v>0</v>
      </c>
      <c r="H40" s="91">
        <f>IF($J$11&lt;$J$19,0,IF(AND($J$11&gt;=$J$19,$J$11&lt;$L$19),M40,IF(AND($J$11&gt;=$L$19,$J$11&lt;$N$19),O40,IF(AND($J$11&gt;=$N$19,$J$11&lt;$P$19),Q40,IF(AND($J$11&gt;=$P$19,$J$11&lt;=$R$19),S40,0)))))</f>
        <v>0</v>
      </c>
      <c r="I40" s="104" t="s">
        <v>32</v>
      </c>
      <c r="J40" s="98"/>
      <c r="K40" s="19">
        <f>M40*($L$29/$M$29)</f>
        <v>0</v>
      </c>
      <c r="L40" s="72"/>
      <c r="M40" s="70"/>
      <c r="N40" s="70"/>
      <c r="O40" s="70"/>
      <c r="P40" s="70"/>
      <c r="Q40" s="71"/>
      <c r="R40" s="98"/>
      <c r="S40" s="99">
        <f>Q40*($R$19/$P$19)</f>
        <v>0</v>
      </c>
      <c r="V40" s="73">
        <f>Q33*V39</f>
        <v>553893.34591788577</v>
      </c>
    </row>
    <row r="41" ht="14.25">
      <c r="A41" s="19">
        <f>J64</f>
        <v>1774854.558249108</v>
      </c>
      <c r="B41" s="19">
        <f>K64</f>
        <v>1569837.4843728407</v>
      </c>
      <c r="C41" s="45">
        <f>A41/B41</f>
        <v>1.1305976420598549</v>
      </c>
      <c r="D41" s="19"/>
      <c r="E41" s="97">
        <f>IF($J$11&lt;$L$19,J41,IF(AND($J$11&gt;=$L$19,$J$11&lt;$N$19),L41,IF(AND($J$11&gt;=$N$19,$J$11&lt;$P$19),N41,IF(AND($J$11&gt;=$P$19,$J$11&lt;$R$19),P41,IF($J$11&gt;=$R$19,R41,R41)))))</f>
        <v>931335.05899726</v>
      </c>
      <c r="F41" s="19">
        <f>IF($J$11&lt;$J$19,0,IF(AND($J$11&gt;=$J$19,$J$11&lt;$L$19),K41,IF(AND($J$11&gt;=$L$19,$J$11&lt;$N$19),M41,IF(AND($J$11&gt;=$N$19,$J$11&lt;$P$19),O41,IF(AND($J$11&gt;=$P$19,$J$11&lt;=$R$19),Q41,0)))))</f>
        <v>846797.300731849</v>
      </c>
      <c r="G41" s="19">
        <f>IF($J$11&lt;$L$19,L41,IF(AND($J$11&gt;=$L$19,$J$11&lt;$N$19),N41,IF(AND($J$11&gt;=$N$19,$J$11&lt;$P$19),P41,IF(AND($J$11&gt;=$P$19,$J$11&lt;=$R$19),R41))))</f>
        <v>1925331.31133476</v>
      </c>
      <c r="H41" s="19">
        <f>IF($J$11&lt;$J$19,0,IF(AND($J$11&gt;=$J$19,$J$11&lt;$L$19),M41,IF(AND($J$11&gt;=$L$19,$J$11&lt;$N$19),O41,IF(AND($J$11&gt;=$N$19,$J$11&lt;$P$19),Q41,IF(AND($J$11&gt;=$P$19,$J$11&lt;=$R$19),S41,0)))))</f>
        <v>1698821.74529538</v>
      </c>
      <c r="I41" s="35" t="s">
        <v>212</v>
      </c>
      <c r="J41" s="98">
        <f>L41*($J$29/$L$29)</f>
        <v>835402.95320429967</v>
      </c>
      <c r="K41" s="19">
        <f>M41*($L$29/$M$29)</f>
        <v>591849.14560381952</v>
      </c>
      <c r="L41" s="72">
        <v>931335.05899726</v>
      </c>
      <c r="M41" s="70">
        <v>846797.300731849</v>
      </c>
      <c r="N41" s="70">
        <v>1925331.31133476</v>
      </c>
      <c r="O41" s="70">
        <v>1698821.74529538</v>
      </c>
      <c r="P41" s="70">
        <v>3097566.71506849</v>
      </c>
      <c r="Q41" s="71">
        <v>2710370.87568493</v>
      </c>
      <c r="R41" s="19">
        <f>P41*$R$29/$P$29</f>
        <v>3349971.8681918937</v>
      </c>
      <c r="S41" s="99">
        <f>Q41*($R$19/$P$19)</f>
        <v>2931225.3846679083</v>
      </c>
    </row>
    <row r="42" ht="14.25">
      <c r="A42" s="19">
        <f>J65</f>
        <v>1397350.9233316353</v>
      </c>
      <c r="B42" s="19">
        <f>K65</f>
        <v>1236339.1696383087</v>
      </c>
      <c r="C42" s="45">
        <f>A42/B42</f>
        <v>1.130232672107631</v>
      </c>
      <c r="D42" s="19"/>
      <c r="E42" s="97">
        <f>IF($J$11&lt;$L$19,J42,IF(AND($J$11&gt;=$L$19,$J$11&lt;$N$19),L42,IF(AND($J$11&gt;=$N$19,$J$11&lt;$P$19),N42,IF(AND($J$11&gt;=$P$19,$J$11&lt;$R$19),P42,IF($J$11&gt;=$R$19,R42,R42)))))</f>
        <v>885000</v>
      </c>
      <c r="F42" s="19">
        <f>IF($J$11&lt;$J$19,0,IF(AND($J$11&gt;=$J$19,$J$11&lt;$L$19),K42,IF(AND($J$11&gt;=$L$19,$J$11&lt;$N$19),M42,IF(AND($J$11&gt;=$N$19,$J$11&lt;$P$19),O42,IF(AND($J$11&gt;=$P$19,$J$11&lt;=$R$19),Q42,0)))))</f>
        <v>801000</v>
      </c>
      <c r="G42" s="19">
        <f>IF($J$11&lt;$L$19,L42,IF(AND($J$11&gt;=$L$19,$J$11&lt;$N$19),N42,IF(AND($J$11&gt;=$N$19,$J$11&lt;$P$19),P42,IF(AND($J$11&gt;=$P$19,$J$11&lt;=$R$19),R42))))</f>
        <v>1488750</v>
      </c>
      <c r="H42" s="19">
        <f>IF($J$11&lt;$J$19,0,IF(AND($J$11&gt;=$J$19,$J$11&lt;$L$19),M42,IF(AND($J$11&gt;=$L$19,$J$11&lt;$N$19),O42,IF(AND($J$11&gt;=$N$19,$J$11&lt;$P$19),Q42,IF(AND($J$11&gt;=$P$19,$J$11&lt;=$R$19),S42,0)))))</f>
        <v>1314000</v>
      </c>
      <c r="I42" s="35" t="s">
        <v>213</v>
      </c>
      <c r="J42" s="98">
        <f>L42*($J$29/$L$29)</f>
        <v>793840.63387651369</v>
      </c>
      <c r="K42" s="19">
        <f>M42*($L$29/$M$29)</f>
        <v>559840.19460022007</v>
      </c>
      <c r="L42" s="72">
        <v>885000</v>
      </c>
      <c r="M42" s="70">
        <v>801000</v>
      </c>
      <c r="N42" s="70">
        <v>1488750</v>
      </c>
      <c r="O42" s="70">
        <v>1314000</v>
      </c>
      <c r="P42" s="70">
        <v>2025000</v>
      </c>
      <c r="Q42" s="71">
        <v>1714500</v>
      </c>
      <c r="R42" s="19">
        <f>P42*$R$29/$P$29</f>
        <v>2190007.07881076</v>
      </c>
      <c r="S42" s="99">
        <f>Q42*($R$19/$P$19)</f>
        <v>1854205.9933931099</v>
      </c>
    </row>
    <row r="43" ht="14.25">
      <c r="A43" s="19">
        <f>J66</f>
        <v>1214076.3451517148</v>
      </c>
      <c r="B43" s="19">
        <f>K66</f>
        <v>867803.782427537</v>
      </c>
      <c r="C43" s="45">
        <f>A43/B43</f>
        <v>1.3990217255743431</v>
      </c>
      <c r="D43" s="19"/>
      <c r="E43" s="97">
        <f>IF($J$11&lt;$L$19,J43,IF(AND($J$11&gt;=$L$19,$J$11&lt;$N$19),L43,IF(AND($J$11&gt;=$N$19,$J$11&lt;$P$19),N43,IF(AND($J$11&gt;=$P$19,$J$11&lt;$R$19),P43,IF($J$11&gt;=$R$19,R43,R43)))))</f>
        <v>764992.800000121</v>
      </c>
      <c r="F43" s="19">
        <f>IF($J$11&lt;$J$19,0,IF(AND($J$11&gt;=$J$19,$J$11&lt;$L$19),K43,IF(AND($J$11&gt;=$L$19,$J$11&lt;$N$19),M43,IF(AND($J$11&gt;=$N$19,$J$11&lt;$P$19),O43,IF(AND($J$11&gt;=$P$19,$J$11&lt;=$R$19),Q43,0)))))</f>
        <v>529709.75999996</v>
      </c>
      <c r="G43" s="19">
        <f>IF($J$11&lt;$L$19,L43,IF(AND($J$11&gt;=$L$19,$J$11&lt;$N$19),N43,IF(AND($J$11&gt;=$N$19,$J$11&lt;$P$19),P43,IF(AND($J$11&gt;=$P$19,$J$11&lt;=$R$19),R43))))</f>
        <v>1294189.05600018</v>
      </c>
      <c r="H43" s="19">
        <f>IF($J$11&lt;$J$19,0,IF(AND($J$11&gt;=$J$19,$J$11&lt;$L$19),M43,IF(AND($J$11&gt;=$L$19,$J$11&lt;$N$19),O43,IF(AND($J$11&gt;=$N$19,$J$11&lt;$P$19),Q43,IF(AND($J$11&gt;=$P$19,$J$11&lt;=$R$19),S43,0)))))</f>
        <v>928116.89999944</v>
      </c>
      <c r="I43" s="35" t="s">
        <v>214</v>
      </c>
      <c r="J43" s="98">
        <f>L43*($J$29/$L$29)</f>
        <v>686194.76752888714</v>
      </c>
      <c r="K43" s="19">
        <f>M43*($L$29/$M$29)</f>
        <v>370228.23360800679</v>
      </c>
      <c r="L43" s="72">
        <v>764992.800000121</v>
      </c>
      <c r="M43" s="70">
        <v>529709.75999996</v>
      </c>
      <c r="N43" s="70">
        <v>1294189.05600018</v>
      </c>
      <c r="O43" s="70">
        <v>928116.89999944</v>
      </c>
      <c r="P43" s="70">
        <v>3909558.5280007</v>
      </c>
      <c r="Q43" s="71">
        <v>2706400.79999975</v>
      </c>
      <c r="R43" s="19">
        <f>P43*$R$29/$P$29</f>
        <v>4228128.8154797563</v>
      </c>
      <c r="S43" s="99">
        <f>Q43*($R$19/$P$19)</f>
        <v>2926931.8074560771</v>
      </c>
    </row>
    <row r="44" ht="14.25">
      <c r="C44" s="45"/>
      <c r="E44" s="105"/>
      <c r="F44" s="106"/>
      <c r="G44" s="106"/>
      <c r="H44" s="106"/>
      <c r="I44" s="107"/>
      <c r="J44" s="108"/>
      <c r="K44" s="109"/>
      <c r="L44" s="110"/>
      <c r="M44" s="74"/>
      <c r="N44" s="74"/>
      <c r="O44" s="74"/>
      <c r="P44" s="74"/>
      <c r="Q44" s="111"/>
      <c r="R44" s="19"/>
      <c r="S44" s="96"/>
    </row>
    <row r="45" ht="14.25">
      <c r="A45" s="100">
        <f>SUM(A33:A43)</f>
        <v>13463959.437047785</v>
      </c>
      <c r="B45" s="100">
        <f>SUM(B33:B43)</f>
        <v>11259819.310682992</v>
      </c>
      <c r="C45" s="45">
        <f>A45/B45</f>
        <v>1.1957527084181154</v>
      </c>
      <c r="E45" s="84">
        <f>SUM(E33:E43)</f>
        <v>8140990.3764973814</v>
      </c>
      <c r="F45" s="84">
        <f>SUM(F33:F43)</f>
        <v>7051033.3264818089</v>
      </c>
      <c r="G45" s="84">
        <f>SUM(G33:G43)</f>
        <v>14413532.151984941</v>
      </c>
      <c r="H45" s="84">
        <f>SUM(H33:H43)</f>
        <v>12010631.17679482</v>
      </c>
      <c r="I45" s="112"/>
      <c r="J45" s="113">
        <f>SUM(J33:J43)/3</f>
        <v>2434142.7347876756</v>
      </c>
      <c r="K45" s="113">
        <f>SUM(K33:K43)/3</f>
        <v>1642718.2145776998</v>
      </c>
      <c r="L45" s="114">
        <f>SUM(L33:L43)/3</f>
        <v>2713663.4588324605</v>
      </c>
      <c r="M45" s="114">
        <f>SUM(M33:M43)/3</f>
        <v>2350344.4421606031</v>
      </c>
      <c r="N45" s="114">
        <f>SUM(N33:N43)/3</f>
        <v>4804510.7173283137</v>
      </c>
      <c r="O45" s="114">
        <f>SUM(O33:O43)/3</f>
        <v>4003543.7255982733</v>
      </c>
      <c r="P45" s="114">
        <f>SUM(P33:P43)/3</f>
        <v>8324161.5612313971</v>
      </c>
      <c r="Q45" s="114">
        <f>SUM(Q33:Q43)/3</f>
        <v>6895973.0760615608</v>
      </c>
      <c r="R45" s="113"/>
      <c r="S45" s="115"/>
    </row>
    <row r="46" ht="15">
      <c r="L46" s="30"/>
      <c r="M46" s="30"/>
      <c r="N46" s="30"/>
      <c r="O46" s="30"/>
      <c r="P46" s="30"/>
      <c r="Q46" s="30"/>
      <c r="R46" s="30"/>
      <c r="S46" s="30"/>
    </row>
    <row r="47" ht="15">
      <c r="A47" s="45"/>
      <c r="B47" s="45"/>
      <c r="C47" s="45"/>
      <c r="I47" s="0" t="s">
        <v>215</v>
      </c>
      <c r="L47" s="30"/>
      <c r="M47" s="30"/>
      <c r="N47" s="30"/>
      <c r="O47" s="30"/>
      <c r="P47" s="30"/>
      <c r="Q47" s="30"/>
      <c r="R47" s="30"/>
      <c r="S47" s="30"/>
    </row>
    <row r="48" ht="15">
      <c r="I48" s="46"/>
      <c r="J48" s="116" t="s">
        <v>16</v>
      </c>
      <c r="K48" s="117" t="s">
        <v>17</v>
      </c>
      <c r="L48" s="30"/>
      <c r="M48" s="30"/>
      <c r="N48" s="30"/>
      <c r="O48" s="30"/>
      <c r="P48" s="30"/>
      <c r="Q48" s="30"/>
      <c r="R48" s="30"/>
      <c r="S48" s="30"/>
    </row>
    <row r="49" ht="15">
      <c r="I49" s="51" t="s">
        <v>202</v>
      </c>
      <c r="J49" s="118" t="s">
        <v>216</v>
      </c>
      <c r="K49" s="119" t="s">
        <v>217</v>
      </c>
      <c r="L49" s="30"/>
      <c r="M49" s="30"/>
      <c r="N49" s="19"/>
      <c r="O49" s="30"/>
      <c r="P49" s="30"/>
      <c r="Q49" s="30"/>
      <c r="R49" s="30"/>
      <c r="S49" s="30"/>
    </row>
    <row r="50" ht="15">
      <c r="I50" s="35"/>
      <c r="J50" s="120"/>
      <c r="K50" s="89"/>
      <c r="L50" s="30"/>
      <c r="M50" s="30"/>
      <c r="N50" s="19"/>
      <c r="O50" s="30"/>
      <c r="P50" s="30"/>
      <c r="Q50" s="30"/>
      <c r="R50" s="30"/>
      <c r="S50" s="30"/>
    </row>
    <row r="51" ht="15">
      <c r="I51" s="93" t="s">
        <v>20</v>
      </c>
      <c r="J51" s="121"/>
      <c r="K51" s="96"/>
      <c r="L51" s="30"/>
      <c r="M51" s="30"/>
      <c r="N51" s="19"/>
      <c r="O51" s="30"/>
      <c r="P51" s="30"/>
      <c r="Q51" s="30"/>
      <c r="R51" s="30"/>
      <c r="S51" s="30"/>
    </row>
    <row r="52" ht="15">
      <c r="F52" s="19"/>
      <c r="G52" s="19"/>
      <c r="H52" s="19"/>
      <c r="I52" s="35" t="s">
        <v>203</v>
      </c>
      <c r="J52" s="122">
        <f>E29+ ((G29-E29)*(($J$11-$E$29)/($G$29-$E$29)))</f>
        <v>1168649</v>
      </c>
      <c r="K52" s="123">
        <f>F29+ ((H29-F29)*(($J$11-$E$29)/($G$29-$E$29)))</f>
        <v>1083773.6152266939</v>
      </c>
      <c r="L52" s="30">
        <f>J52/K52</f>
        <v>1.0783146808344772</v>
      </c>
      <c r="M52" s="19"/>
      <c r="N52" s="19"/>
      <c r="O52" s="30"/>
      <c r="P52" s="30"/>
      <c r="Q52" s="30"/>
      <c r="R52" s="30"/>
      <c r="S52" s="30"/>
    </row>
    <row r="53" ht="15">
      <c r="I53" s="35" t="s">
        <v>204</v>
      </c>
      <c r="J53" s="122">
        <f>E30+ ((G30-E30)*(($J$11-$E$29)/($G$29-$E$29)))</f>
        <v>583615.57326541</v>
      </c>
      <c r="K53" s="123">
        <f>F30+ ((H30-F30)*(($J$11-$E$29)/($G$29-$E$29)))</f>
        <v>2458585.9761946</v>
      </c>
      <c r="L53" s="30">
        <f>J54/K54</f>
        <v>0.36908199219376109</v>
      </c>
      <c r="M53" s="19"/>
      <c r="N53" s="19"/>
      <c r="O53" s="30"/>
      <c r="P53" s="30"/>
      <c r="Q53" s="30"/>
      <c r="R53" s="30"/>
      <c r="S53" s="30"/>
    </row>
    <row r="54" ht="15">
      <c r="F54" s="19"/>
      <c r="I54" s="35" t="s">
        <v>205</v>
      </c>
      <c r="J54" s="122">
        <f>E31+ ((G31-E31)*(($J$11-$E$29)/($G$29-$E$29)))</f>
        <v>205406.2</v>
      </c>
      <c r="K54" s="123">
        <f>F31+ ((H31-F31)*(($J$11-$E$29)/($G$29-$E$29)))</f>
        <v>556532.70640244521</v>
      </c>
      <c r="M54" s="19"/>
      <c r="N54" s="19"/>
      <c r="O54" s="30"/>
      <c r="P54" s="30"/>
      <c r="Q54" s="30"/>
      <c r="R54" s="30"/>
      <c r="S54" s="30"/>
    </row>
    <row r="55" ht="15">
      <c r="I55" s="93" t="s">
        <v>24</v>
      </c>
      <c r="J55" s="124"/>
      <c r="K55" s="125"/>
      <c r="L55" s="30"/>
      <c r="M55" s="19"/>
      <c r="N55" s="19"/>
      <c r="O55" s="30"/>
      <c r="P55" s="30"/>
      <c r="Q55" s="30"/>
      <c r="R55" s="30"/>
      <c r="S55" s="30"/>
    </row>
    <row r="56" ht="15">
      <c r="I56" s="35" t="s">
        <v>206</v>
      </c>
      <c r="J56" s="122">
        <f>E33+ ((G33-E33)*(($J$11-$E$29)/($G$29-$E$29)))</f>
        <v>336265.6279164544</v>
      </c>
      <c r="K56" s="123">
        <f>F33+ ((H33-F33)*(($J$11-$E$29)/($G$29-$E$29)))</f>
        <v>265431.33041263372</v>
      </c>
      <c r="L56" s="30">
        <f>J56/K56</f>
        <v>1.2668648700728102</v>
      </c>
      <c r="M56" s="19"/>
      <c r="N56" s="19"/>
      <c r="O56" s="30"/>
      <c r="P56" s="30"/>
      <c r="Q56" s="30"/>
      <c r="R56" s="30"/>
      <c r="S56" s="30"/>
    </row>
    <row r="57" ht="15">
      <c r="F57" s="19"/>
      <c r="I57" s="35" t="s">
        <v>207</v>
      </c>
      <c r="J57" s="122">
        <f>E34+ ((G34-E34)*(($J$11-$E$29)/($G$29-$E$29)))</f>
        <v>1525762.4426897606</v>
      </c>
      <c r="K57" s="123">
        <f>F34+ ((H34-F34)*(($J$11-$E$29)/($G$29-$E$29)))</f>
        <v>1049389.8247580235</v>
      </c>
      <c r="L57" s="30">
        <f>J57/K57</f>
        <v>1.4539520078170978</v>
      </c>
      <c r="M57" s="19"/>
      <c r="N57" s="19"/>
      <c r="O57" s="30"/>
      <c r="P57" s="30"/>
      <c r="Q57" s="30"/>
      <c r="R57" s="30"/>
      <c r="S57" s="30"/>
    </row>
    <row r="58" ht="15">
      <c r="G58" s="19"/>
      <c r="I58" s="35" t="s">
        <v>208</v>
      </c>
      <c r="J58" s="122">
        <f>E35+ ((G35-E35)*(($J$11-$E$29)/($G$29-$E$29)))</f>
        <v>1751482.1446765156</v>
      </c>
      <c r="K58" s="123">
        <f>F35+ ((H35-F35)*(($J$11-$E$29)/($G$29-$E$29)))</f>
        <v>1412993.7952114111</v>
      </c>
      <c r="L58" s="30">
        <f>J58/K58</f>
        <v>1.2395540239541252</v>
      </c>
      <c r="M58" s="19"/>
      <c r="N58" s="19"/>
      <c r="O58" s="30"/>
      <c r="P58" s="30"/>
      <c r="Q58" s="30"/>
      <c r="R58" s="30"/>
      <c r="S58" s="30"/>
    </row>
    <row r="59" ht="15">
      <c r="G59" s="19"/>
      <c r="I59" s="93" t="s">
        <v>28</v>
      </c>
      <c r="J59" s="124"/>
      <c r="K59" s="125"/>
      <c r="L59" s="30"/>
      <c r="M59" s="19"/>
      <c r="N59" s="19"/>
      <c r="O59" s="30"/>
      <c r="P59" s="30"/>
      <c r="Q59" s="30"/>
      <c r="R59" s="30"/>
      <c r="S59" s="30"/>
    </row>
    <row r="60" ht="15">
      <c r="E60" s="45"/>
      <c r="G60" s="19"/>
      <c r="I60" s="35" t="s">
        <v>209</v>
      </c>
      <c r="J60" s="122">
        <f>E37+ ((G37-E37)*(($J$11-$E$29)/($G$29-$E$29)))</f>
        <v>2884119.6739684157</v>
      </c>
      <c r="K60" s="123">
        <f>F37+ ((H37-F37)*(($J$11-$E$29)/($G$29-$E$29)))</f>
        <v>2687606.2312786551</v>
      </c>
      <c r="L60" s="30">
        <f>J60/K60</f>
        <v>1.0731183907831123</v>
      </c>
      <c r="M60" s="19"/>
      <c r="N60" s="19"/>
      <c r="O60" s="30"/>
      <c r="P60" s="30"/>
      <c r="Q60" s="30"/>
      <c r="R60" s="30"/>
      <c r="S60" s="30"/>
    </row>
    <row r="61" ht="15">
      <c r="G61" s="19"/>
      <c r="I61" s="35" t="s">
        <v>210</v>
      </c>
      <c r="J61" s="122">
        <f>E38+ ((G38-E38)*(($J$11-$E$29)/($G$29-$E$29)))</f>
        <v>2214042.18848701</v>
      </c>
      <c r="K61" s="123">
        <f>F38+ ((H38-F38)*(($J$11-$E$29)/($G$29-$E$29)))</f>
        <v>1837970.4941416201</v>
      </c>
      <c r="L61" s="30">
        <f>J61/K61</f>
        <v>1.2046124763939832</v>
      </c>
      <c r="M61" s="19"/>
      <c r="N61" s="19"/>
      <c r="O61" s="30"/>
      <c r="P61" s="30"/>
      <c r="Q61" s="30"/>
      <c r="R61" s="30"/>
      <c r="S61" s="30"/>
    </row>
    <row r="62" ht="15">
      <c r="G62" s="19"/>
      <c r="I62" s="35" t="s">
        <v>211</v>
      </c>
      <c r="J62" s="122">
        <f>E39+ ((G39-E39)*(($J$11-$E$29)/($G$29-$E$29)))</f>
        <v>366005.53257716988</v>
      </c>
      <c r="K62" s="123">
        <f>F39+ ((H39-F39)*(($J$11-$E$29)/($G$29-$E$29)))</f>
        <v>332447.19844196254</v>
      </c>
      <c r="L62" s="30">
        <f>J62/K62</f>
        <v>1.1009433506808928</v>
      </c>
      <c r="M62" s="19"/>
      <c r="N62" s="19"/>
      <c r="O62" s="30"/>
      <c r="P62" s="30"/>
      <c r="Q62" s="30"/>
      <c r="R62" s="30"/>
      <c r="S62" s="30"/>
    </row>
    <row r="63" ht="15">
      <c r="G63" s="45"/>
      <c r="I63" s="104" t="s">
        <v>32</v>
      </c>
      <c r="J63" s="124"/>
      <c r="K63" s="125"/>
      <c r="L63" s="30"/>
      <c r="M63" s="19"/>
      <c r="N63" s="19"/>
      <c r="O63" s="30"/>
      <c r="P63" s="30"/>
      <c r="Q63" s="30"/>
      <c r="R63" s="30"/>
      <c r="S63" s="30"/>
    </row>
    <row r="64" ht="15">
      <c r="G64" s="19"/>
      <c r="I64" s="35" t="s">
        <v>212</v>
      </c>
      <c r="J64" s="122">
        <f>E41+ ((G41-E41)*(($J$11-$E$29)/($G$29-$E$29)))</f>
        <v>1774854.558249108</v>
      </c>
      <c r="K64" s="123">
        <f>F41+ ((H41-F41)*(($J$11-$E$29)/($G$29-$E$29)))</f>
        <v>1569837.4843728407</v>
      </c>
      <c r="L64" s="30">
        <f>J64/K64</f>
        <v>1.1305976420598549</v>
      </c>
      <c r="M64" s="19"/>
      <c r="N64" s="19"/>
      <c r="O64" s="30"/>
      <c r="P64" s="30"/>
      <c r="Q64" s="30"/>
      <c r="R64" s="30"/>
      <c r="S64" s="30"/>
    </row>
    <row r="65" ht="15">
      <c r="G65" s="73"/>
      <c r="I65" s="35" t="s">
        <v>213</v>
      </c>
      <c r="J65" s="122">
        <f>E42+ ((G42-E42)*(($J$11-$E$29)/($G$29-$E$29)))</f>
        <v>1397350.9233316353</v>
      </c>
      <c r="K65" s="123">
        <f>F42+ ((H42-F42)*(($J$11-$E$29)/($G$29-$E$29)))</f>
        <v>1236339.1696383087</v>
      </c>
      <c r="L65" s="30">
        <f>J65/K65</f>
        <v>1.130232672107631</v>
      </c>
      <c r="M65" s="19"/>
      <c r="N65" s="19"/>
      <c r="O65" s="30"/>
      <c r="P65" s="30"/>
      <c r="Q65" s="30"/>
      <c r="R65" s="30"/>
      <c r="S65" s="30"/>
    </row>
    <row r="66" ht="15">
      <c r="G66" s="19"/>
      <c r="I66" s="35" t="s">
        <v>214</v>
      </c>
      <c r="J66" s="122">
        <f>E43+ ((G43-E43)*(($J$11-$E$29)/($G$29-$E$29)))</f>
        <v>1214076.3451517148</v>
      </c>
      <c r="K66" s="123">
        <f>F43+ ((H43-F43)*(($J$11-$E$29)/($G$29-$E$29)))</f>
        <v>867803.782427537</v>
      </c>
      <c r="L66" s="30">
        <f>J66/K66</f>
        <v>1.3990217255743431</v>
      </c>
      <c r="M66" s="19"/>
      <c r="N66" s="19"/>
      <c r="O66" s="30"/>
      <c r="P66" s="30"/>
      <c r="Q66" s="30"/>
      <c r="R66" s="30"/>
      <c r="S66" s="30"/>
    </row>
    <row r="67" ht="15">
      <c r="I67" s="107"/>
      <c r="J67" s="126"/>
      <c r="K67" s="127"/>
      <c r="L67" s="30"/>
      <c r="M67" s="30"/>
      <c r="N67" s="30"/>
      <c r="O67" s="30"/>
      <c r="P67" s="30"/>
      <c r="Q67" s="30"/>
      <c r="R67" s="30"/>
      <c r="S67" s="30"/>
    </row>
    <row r="68" ht="15">
      <c r="G68" s="45"/>
      <c r="I68" s="128"/>
      <c r="J68" s="129">
        <f>SUM(J56:J66)/3</f>
        <v>4487986.4790159287</v>
      </c>
      <c r="K68" s="129">
        <f>SUM(K56:K66)/3</f>
        <v>3753273.1035609972</v>
      </c>
      <c r="L68" s="30">
        <f>J68/K68</f>
        <v>1.1957527084181157</v>
      </c>
      <c r="M68" s="73"/>
      <c r="N68" s="30"/>
      <c r="O68" s="30"/>
      <c r="P68" s="30"/>
      <c r="Q68" s="30"/>
      <c r="R68" s="30"/>
      <c r="S68" s="30"/>
    </row>
    <row r="69" ht="15">
      <c r="L69" s="30"/>
      <c r="M69" s="30"/>
      <c r="N69" s="30"/>
      <c r="O69" s="30"/>
      <c r="P69" s="30"/>
      <c r="Q69" s="30"/>
      <c r="R69" s="30"/>
      <c r="S69" s="30"/>
    </row>
    <row r="70" ht="15">
      <c r="L70" s="30"/>
      <c r="M70" s="30"/>
      <c r="N70" s="30"/>
      <c r="O70" s="30"/>
      <c r="P70" s="30"/>
      <c r="Q70" s="30"/>
      <c r="R70" s="30"/>
      <c r="S70" s="30"/>
    </row>
    <row r="71" ht="14.25">
      <c r="L71" s="130"/>
      <c r="Q71" s="30"/>
      <c r="R71" s="30"/>
      <c r="S71" s="30"/>
    </row>
    <row r="72" ht="14.25">
      <c r="F72" s="19">
        <f>E30</f>
        <v>399378</v>
      </c>
      <c r="I72" s="131" t="s">
        <v>218</v>
      </c>
      <c r="J72" s="132"/>
      <c r="K72" s="132"/>
      <c r="L72" s="133" t="s">
        <v>219</v>
      </c>
      <c r="M72" s="134" t="s">
        <v>220</v>
      </c>
      <c r="N72" s="134" t="s">
        <v>221</v>
      </c>
      <c r="O72" s="134" t="s">
        <v>222</v>
      </c>
      <c r="P72" s="135" t="s">
        <v>223</v>
      </c>
      <c r="Q72" s="30"/>
      <c r="R72" s="30"/>
      <c r="S72" s="30"/>
    </row>
    <row r="73" ht="14.25">
      <c r="F73" s="19">
        <f>G30-E30</f>
        <v>217104</v>
      </c>
      <c r="I73" s="136" t="s">
        <v>203</v>
      </c>
      <c r="J73" s="137"/>
      <c r="K73" s="137"/>
      <c r="L73" s="138">
        <f>J52</f>
        <v>1168649</v>
      </c>
      <c r="M73" s="138">
        <v>0</v>
      </c>
      <c r="N73" s="138">
        <v>0</v>
      </c>
      <c r="O73" s="138">
        <v>0</v>
      </c>
      <c r="P73" s="139">
        <f>SUM(L73:O73)</f>
        <v>1168649</v>
      </c>
      <c r="Q73" s="30"/>
      <c r="R73" s="30"/>
      <c r="S73" s="30"/>
    </row>
    <row r="74" ht="14.25">
      <c r="F74" s="140">
        <f>J11/G29</f>
        <v>0.92912148195261568</v>
      </c>
      <c r="I74" s="136" t="s">
        <v>204</v>
      </c>
      <c r="J74" s="137"/>
      <c r="K74" s="137"/>
      <c r="L74" s="138">
        <f>J53</f>
        <v>583615.57326541</v>
      </c>
      <c r="M74" s="138">
        <v>0</v>
      </c>
      <c r="N74" s="138">
        <v>0</v>
      </c>
      <c r="O74" s="138">
        <v>0</v>
      </c>
      <c r="P74" s="139">
        <f>SUM(L74:O74)</f>
        <v>583615.57326541</v>
      </c>
      <c r="Q74" s="30"/>
      <c r="R74" s="30"/>
      <c r="S74" s="30"/>
    </row>
    <row r="75" ht="14.25">
      <c r="F75" s="19">
        <f>F73*F74</f>
        <v>201715.99021784068</v>
      </c>
      <c r="I75" s="136" t="s">
        <v>205</v>
      </c>
      <c r="J75" s="137"/>
      <c r="K75" s="137"/>
      <c r="L75" s="138">
        <f>J54</f>
        <v>205406.2</v>
      </c>
      <c r="M75" s="138">
        <f>L75</f>
        <v>205406.2</v>
      </c>
      <c r="N75" s="138">
        <f>M75</f>
        <v>205406.2</v>
      </c>
      <c r="O75" s="138"/>
      <c r="P75" s="139">
        <f>SUM(L75:O75)</f>
        <v>616218.60000000009</v>
      </c>
      <c r="Q75" s="30"/>
      <c r="R75" s="30"/>
      <c r="S75" s="30"/>
    </row>
    <row r="76" ht="14.25">
      <c r="F76" s="19">
        <f>F72+F75</f>
        <v>601093.99021784065</v>
      </c>
      <c r="I76" s="141" t="s">
        <v>218</v>
      </c>
      <c r="J76" s="142"/>
      <c r="K76" s="142"/>
      <c r="L76" s="143">
        <f>SUM(L73:L75)</f>
        <v>1957670.77326541</v>
      </c>
      <c r="M76" s="143">
        <f>SUM(M73:M75)</f>
        <v>205406.2</v>
      </c>
      <c r="N76" s="143">
        <f>SUM(N73:N75)</f>
        <v>205406.2</v>
      </c>
      <c r="O76" s="143">
        <f>SUM(O73:O75)</f>
        <v>0</v>
      </c>
      <c r="P76" s="144">
        <f>SUM(P73:P75)</f>
        <v>2368483.17326541</v>
      </c>
      <c r="Q76" s="30"/>
      <c r="R76" s="30"/>
      <c r="S76" s="30"/>
    </row>
    <row r="77" ht="14.25">
      <c r="I77" s="145" t="s">
        <v>224</v>
      </c>
      <c r="J77" s="146"/>
      <c r="K77" s="146"/>
      <c r="L77" s="147">
        <v>0</v>
      </c>
      <c r="M77" s="147">
        <v>0</v>
      </c>
      <c r="N77" s="147">
        <v>0</v>
      </c>
      <c r="O77" s="147">
        <v>0</v>
      </c>
      <c r="P77" s="148">
        <v>0</v>
      </c>
      <c r="Q77" s="30"/>
      <c r="R77" s="30"/>
      <c r="S77" s="30"/>
    </row>
    <row r="78" ht="14.25">
      <c r="I78" s="149" t="s">
        <v>225</v>
      </c>
      <c r="J78" s="150"/>
      <c r="K78" s="150"/>
      <c r="L78" s="151">
        <f>L76*(1+L77)</f>
        <v>1957670.77326541</v>
      </c>
      <c r="M78" s="151">
        <f>M76*(1+M77)</f>
        <v>205406.2</v>
      </c>
      <c r="N78" s="151">
        <f>N76*(1+N77)</f>
        <v>205406.2</v>
      </c>
      <c r="O78" s="151">
        <f>O76*(1+O77)</f>
        <v>0</v>
      </c>
      <c r="P78" s="152">
        <f>P76*(1+P77)</f>
        <v>2368483.17326541</v>
      </c>
      <c r="Q78" s="30"/>
      <c r="R78" s="30"/>
      <c r="S78" s="30"/>
    </row>
    <row r="79" ht="14.25">
      <c r="I79" s="137"/>
      <c r="J79" s="137"/>
      <c r="K79" s="137"/>
      <c r="L79" s="138"/>
      <c r="M79" s="153"/>
      <c r="N79" s="154"/>
      <c r="O79" s="154"/>
      <c r="P79" s="154"/>
      <c r="Q79" s="30"/>
      <c r="R79" s="30"/>
      <c r="S79" s="30"/>
    </row>
    <row r="80" ht="14.25">
      <c r="L80" s="130"/>
      <c r="Q80" s="30"/>
      <c r="R80" s="30"/>
      <c r="S80" s="30"/>
    </row>
    <row r="81" ht="14.25">
      <c r="I81" s="155" t="s">
        <v>226</v>
      </c>
      <c r="J81" s="134"/>
      <c r="K81" s="134"/>
      <c r="L81" s="134" t="s">
        <v>219</v>
      </c>
      <c r="M81" s="134" t="s">
        <v>220</v>
      </c>
      <c r="N81" s="134" t="s">
        <v>221</v>
      </c>
      <c r="O81" s="134" t="s">
        <v>222</v>
      </c>
      <c r="P81" s="135" t="s">
        <v>223</v>
      </c>
      <c r="Q81" s="30"/>
      <c r="R81" s="30"/>
      <c r="S81" s="30"/>
      <c r="V81" s="0">
        <f>L84/M84</f>
        <v>-0.45712412744665532</v>
      </c>
    </row>
    <row r="82" ht="14.25">
      <c r="I82" s="156" t="s">
        <v>197</v>
      </c>
      <c r="J82" s="157"/>
      <c r="K82" s="157"/>
      <c r="L82" s="158"/>
      <c r="M82" s="159">
        <f>J68</f>
        <v>4487986.4790159287</v>
      </c>
      <c r="N82" s="160">
        <f>M82</f>
        <v>4487986.4790159287</v>
      </c>
      <c r="O82" s="160">
        <f>N82</f>
        <v>4487986.4790159287</v>
      </c>
      <c r="P82" s="123">
        <f>SUM(L82:O82)</f>
        <v>13463959.437047787</v>
      </c>
      <c r="Q82" s="30"/>
      <c r="R82" s="30"/>
      <c r="S82" s="30"/>
      <c r="U82" s="55"/>
    </row>
    <row r="83" ht="14.25">
      <c r="G83" s="161">
        <f>F33</f>
        <v>179280</v>
      </c>
      <c r="I83" s="162" t="s">
        <v>198</v>
      </c>
      <c r="J83" s="163"/>
      <c r="K83" s="163"/>
      <c r="L83" s="164">
        <f>L76</f>
        <v>1957670.77326541</v>
      </c>
      <c r="M83" s="164">
        <f>M76</f>
        <v>205406.2</v>
      </c>
      <c r="N83" s="164">
        <f>N76</f>
        <v>205406.2</v>
      </c>
      <c r="O83" s="164">
        <f>O76</f>
        <v>0</v>
      </c>
      <c r="P83" s="165">
        <f>SUM(L83:O83)</f>
        <v>2368483.17326541</v>
      </c>
      <c r="Q83" s="30"/>
      <c r="R83" s="30"/>
      <c r="S83" s="30"/>
      <c r="U83" s="166"/>
    </row>
    <row r="84" ht="14.25">
      <c r="G84" s="167">
        <f>H33-F33</f>
        <v>101520</v>
      </c>
      <c r="I84" s="35" t="s">
        <v>227</v>
      </c>
      <c r="J84" s="36"/>
      <c r="K84" s="36"/>
      <c r="L84" s="168">
        <f>L82-L83</f>
        <v>-1957670.77326541</v>
      </c>
      <c r="M84" s="168">
        <f>M82-M83</f>
        <v>4282580.2790159285</v>
      </c>
      <c r="N84" s="168">
        <f>N82-N83</f>
        <v>4282580.2790159285</v>
      </c>
      <c r="O84" s="168">
        <f>O82-O83</f>
        <v>4487986.4790159287</v>
      </c>
      <c r="P84" s="169">
        <f>P82-P83</f>
        <v>11095476.263782376</v>
      </c>
      <c r="Q84" s="30"/>
      <c r="R84" s="30"/>
      <c r="S84" s="30"/>
      <c r="U84" s="166">
        <f>L84/M83</f>
        <v>-9.5307287378151671</v>
      </c>
    </row>
    <row r="85" ht="14.25">
      <c r="G85" s="167">
        <f>J11-E29</f>
        <v>499749</v>
      </c>
      <c r="I85" s="35"/>
      <c r="J85" s="36"/>
      <c r="K85" s="36"/>
      <c r="L85" s="168"/>
      <c r="M85" s="168"/>
      <c r="N85" s="168"/>
      <c r="O85" s="168"/>
      <c r="P85" s="169"/>
      <c r="Q85" s="30"/>
      <c r="R85" s="30"/>
      <c r="S85" s="30"/>
    </row>
    <row r="86" ht="14.25">
      <c r="G86" s="167">
        <f>G29-E29</f>
        <v>588900</v>
      </c>
      <c r="I86" s="35" t="s">
        <v>228</v>
      </c>
      <c r="J86" s="36"/>
      <c r="K86" s="36"/>
      <c r="L86" s="170">
        <v>0</v>
      </c>
      <c r="M86" s="170">
        <v>1</v>
      </c>
      <c r="N86" s="170">
        <v>2</v>
      </c>
      <c r="O86" s="170">
        <v>3</v>
      </c>
      <c r="P86" s="171"/>
      <c r="Q86" s="30"/>
      <c r="R86" s="30"/>
      <c r="S86" s="30"/>
    </row>
    <row r="87" ht="14.25">
      <c r="G87" s="172">
        <f>G85/G86</f>
        <v>0.8486143657666837</v>
      </c>
      <c r="I87" s="35" t="s">
        <v>229</v>
      </c>
      <c r="J87" s="36"/>
      <c r="K87" s="36"/>
      <c r="L87" s="168">
        <f>L82</f>
        <v>0</v>
      </c>
      <c r="M87" s="168">
        <f>M82</f>
        <v>4487986.4790159287</v>
      </c>
      <c r="N87" s="168">
        <f>M87</f>
        <v>4487986.4790159287</v>
      </c>
      <c r="O87" s="168">
        <f>N87</f>
        <v>4487986.4790159287</v>
      </c>
      <c r="P87" s="169">
        <f>P82</f>
        <v>13463959.437047787</v>
      </c>
      <c r="Q87" s="30"/>
      <c r="R87" s="30"/>
      <c r="S87" s="30"/>
    </row>
    <row r="88" ht="14.25">
      <c r="G88" s="173"/>
      <c r="I88" s="35" t="s">
        <v>230</v>
      </c>
      <c r="J88" s="36"/>
      <c r="K88" s="36"/>
      <c r="L88" s="168">
        <f>L84</f>
        <v>-1957670.77326541</v>
      </c>
      <c r="M88" s="168">
        <f>$L$88+SUM($M$87:M87)</f>
        <v>2530315.7057505185</v>
      </c>
      <c r="N88" s="168">
        <f>$L$88+SUM($M$87:N87)</f>
        <v>7018302.1847664472</v>
      </c>
      <c r="O88" s="168">
        <f>$L$88+SUM($M$87:O87)</f>
        <v>11506288.663782377</v>
      </c>
      <c r="P88" s="169"/>
      <c r="Q88" s="30"/>
      <c r="R88" s="30"/>
      <c r="S88" s="30"/>
      <c r="V88" s="73">
        <f>M82/12</f>
        <v>373998.87325132737</v>
      </c>
    </row>
    <row r="89" ht="15">
      <c r="G89" s="174">
        <f>G83+G84*G87</f>
        <v>265431.33041263372</v>
      </c>
      <c r="I89" s="35"/>
      <c r="J89" s="36"/>
      <c r="K89" s="36"/>
      <c r="L89" s="168"/>
      <c r="M89" s="168"/>
      <c r="N89" s="168"/>
      <c r="O89" s="168"/>
      <c r="P89" s="169"/>
      <c r="Q89" s="55"/>
      <c r="R89" s="30"/>
      <c r="S89" s="30"/>
      <c r="V89" s="36">
        <f>L84/V88</f>
        <v>-5.2344296020107377</v>
      </c>
    </row>
    <row r="90" ht="14.25">
      <c r="I90" s="35"/>
      <c r="J90" s="36"/>
      <c r="K90" s="36"/>
      <c r="L90" s="168"/>
      <c r="M90" s="168"/>
      <c r="N90" s="168"/>
      <c r="O90" s="168"/>
      <c r="P90" s="169"/>
      <c r="Q90" s="30"/>
      <c r="R90" s="30"/>
      <c r="S90" s="30"/>
    </row>
    <row r="91" ht="13.5">
      <c r="I91" s="175" t="s">
        <v>231</v>
      </c>
      <c r="J91" s="176"/>
      <c r="K91" s="176"/>
      <c r="L91" s="177">
        <f>(P82-P83)/P83</f>
        <v>4.6846337727977714</v>
      </c>
      <c r="M91" s="178">
        <f>IF(J11&lt;L19,(J16+(L16-J16)*((J11-J19)/(L19-J19))),IF(J11&gt;P19,(P16+(R16-P16)*((J11-P19)/(R19-P19))),L91))</f>
        <v>4.6846337727977714</v>
      </c>
      <c r="N91" s="179"/>
      <c r="O91" s="168"/>
      <c r="P91" s="169"/>
      <c r="Q91" s="30"/>
      <c r="R91" s="30"/>
      <c r="S91" s="30"/>
    </row>
    <row r="92" ht="14.25">
      <c r="I92" s="180" t="s">
        <v>232</v>
      </c>
      <c r="J92" s="181"/>
      <c r="K92" s="181"/>
      <c r="L92" s="182" t="e">
        <f>NPV(0.08,L84:P84)</f>
        <v>#NAME?</v>
      </c>
      <c r="M92" s="183"/>
      <c r="N92" s="168"/>
      <c r="O92" s="168"/>
      <c r="P92" s="169"/>
      <c r="Q92" s="30"/>
      <c r="R92" s="30"/>
      <c r="S92" s="30"/>
    </row>
    <row r="93" ht="14.25">
      <c r="I93" s="180" t="s">
        <v>233</v>
      </c>
      <c r="J93" s="181"/>
      <c r="K93" s="181"/>
      <c r="L93" s="184" t="e">
        <f>(INDEX(K86:N86,MATCH(1,L88:O88&gt;0,0)))+(ABS(INDEX(K88:N88,MATCH(1,L88:O88&gt;0,0)))/(INDEX(L87:O87,MATCH(1,L88:O88&gt;0,0))))</f>
        <v>#VALUE!</v>
      </c>
      <c r="M93" s="185" t="e">
        <f>L93*12</f>
        <v>#VALUE!</v>
      </c>
      <c r="N93" s="166"/>
      <c r="O93" s="168"/>
      <c r="P93" s="169"/>
      <c r="Q93" s="30"/>
      <c r="R93" s="55"/>
      <c r="S93" s="30"/>
    </row>
    <row r="94" ht="14.25">
      <c r="I94" s="186" t="s">
        <v>234</v>
      </c>
      <c r="J94" s="187"/>
      <c r="K94" s="187"/>
      <c r="L94" s="188">
        <f>P83</f>
        <v>2368483.17326541</v>
      </c>
      <c r="M94" s="189"/>
      <c r="N94" s="168"/>
      <c r="O94" s="168"/>
      <c r="P94" s="169"/>
      <c r="Q94" s="30"/>
      <c r="R94" s="55"/>
      <c r="S94" s="30"/>
    </row>
    <row r="95" ht="14.25">
      <c r="I95" s="39"/>
      <c r="J95" s="40"/>
      <c r="K95" s="40"/>
      <c r="L95" s="190"/>
      <c r="M95" s="40"/>
      <c r="N95" s="191"/>
      <c r="O95" s="40"/>
      <c r="P95" s="192"/>
      <c r="Q95" s="30"/>
      <c r="R95" s="55"/>
      <c r="S95" s="30"/>
    </row>
    <row r="96" ht="14.25">
      <c r="I96" s="36"/>
      <c r="J96" s="36"/>
      <c r="K96" s="36"/>
      <c r="L96" s="130"/>
      <c r="M96" s="36"/>
      <c r="N96" s="36"/>
      <c r="O96" s="36"/>
      <c r="P96" s="36"/>
      <c r="Q96" s="30"/>
      <c r="R96" s="55"/>
      <c r="S96" s="30"/>
    </row>
    <row r="97" ht="14.25">
      <c r="I97" s="36"/>
      <c r="J97" s="36"/>
      <c r="K97" s="36"/>
      <c r="L97" s="130"/>
      <c r="M97" s="36"/>
      <c r="N97" s="36"/>
      <c r="O97" s="36"/>
      <c r="P97" s="36"/>
      <c r="Q97" s="30"/>
      <c r="R97" s="30"/>
      <c r="S97" s="30"/>
    </row>
    <row r="98" ht="14.25">
      <c r="L98" s="130"/>
      <c r="Q98" s="30"/>
      <c r="R98" s="30"/>
      <c r="S98" s="30"/>
    </row>
    <row r="99" ht="14.25">
      <c r="I99" s="131" t="s">
        <v>218</v>
      </c>
      <c r="J99" s="132"/>
      <c r="K99" s="132"/>
      <c r="L99" s="133" t="s">
        <v>219</v>
      </c>
      <c r="M99" s="134" t="s">
        <v>220</v>
      </c>
      <c r="N99" s="134" t="s">
        <v>221</v>
      </c>
      <c r="O99" s="134" t="s">
        <v>222</v>
      </c>
      <c r="P99" s="135" t="s">
        <v>223</v>
      </c>
      <c r="Q99" s="30"/>
      <c r="R99" s="30"/>
      <c r="S99" s="30"/>
    </row>
    <row r="100" ht="14.25">
      <c r="I100" s="136" t="s">
        <v>203</v>
      </c>
      <c r="J100" s="137"/>
      <c r="K100" s="137"/>
      <c r="L100" s="138">
        <f>K52</f>
        <v>1083773.6152266939</v>
      </c>
      <c r="M100" s="138">
        <f>M85</f>
        <v>0</v>
      </c>
      <c r="N100" s="138">
        <f>N85</f>
        <v>0</v>
      </c>
      <c r="O100" s="138">
        <f>O85</f>
        <v>0</v>
      </c>
      <c r="P100" s="139">
        <f>SUM(L100:O100)</f>
        <v>1083773.6152266939</v>
      </c>
      <c r="Q100" s="30"/>
      <c r="R100" s="30"/>
      <c r="S100" s="30"/>
    </row>
    <row r="101" ht="14.25">
      <c r="I101" s="136" t="s">
        <v>204</v>
      </c>
      <c r="J101" s="137"/>
      <c r="K101" s="137"/>
      <c r="L101" s="138">
        <f>K53</f>
        <v>2458585.9761946</v>
      </c>
      <c r="M101" s="138">
        <v>0</v>
      </c>
      <c r="N101" s="138">
        <v>0</v>
      </c>
      <c r="O101" s="138"/>
      <c r="P101" s="139">
        <f>SUM(L101:O101)</f>
        <v>2458585.9761946</v>
      </c>
      <c r="Q101" s="30"/>
      <c r="R101" s="30"/>
      <c r="S101" s="30"/>
    </row>
    <row r="102" ht="14.25">
      <c r="I102" s="136" t="s">
        <v>205</v>
      </c>
      <c r="J102" s="137"/>
      <c r="K102" s="137"/>
      <c r="L102" s="138">
        <f>K54</f>
        <v>556532.70640244521</v>
      </c>
      <c r="M102" s="138">
        <f>L102</f>
        <v>556532.70640244521</v>
      </c>
      <c r="N102" s="138">
        <f>M102</f>
        <v>556532.70640244521</v>
      </c>
      <c r="O102" s="138"/>
      <c r="P102" s="139">
        <f>SUM(L102:O102)</f>
        <v>1669598.1192073356</v>
      </c>
      <c r="Q102" s="30"/>
      <c r="R102" s="30"/>
      <c r="S102" s="30"/>
    </row>
    <row r="103" ht="14.25">
      <c r="I103" s="141" t="s">
        <v>218</v>
      </c>
      <c r="J103" s="142"/>
      <c r="K103" s="142"/>
      <c r="L103" s="143">
        <f>SUM(L100:L102)</f>
        <v>4098892.2978237392</v>
      </c>
      <c r="M103" s="143">
        <f>SUM(M100:M102)</f>
        <v>556532.70640244521</v>
      </c>
      <c r="N103" s="143">
        <f>SUM(N100:N102)</f>
        <v>556532.70640244521</v>
      </c>
      <c r="O103" s="143">
        <f>SUM(O100:O102)</f>
        <v>0</v>
      </c>
      <c r="P103" s="144">
        <f>SUM(P100:P102)</f>
        <v>5211957.71062863</v>
      </c>
      <c r="Q103" s="30"/>
      <c r="R103" s="30"/>
      <c r="S103" s="30"/>
    </row>
    <row r="104" ht="14.25">
      <c r="I104" s="145" t="s">
        <v>224</v>
      </c>
      <c r="J104" s="146"/>
      <c r="K104" s="146"/>
      <c r="L104" s="147">
        <v>0</v>
      </c>
      <c r="M104" s="147">
        <v>0</v>
      </c>
      <c r="N104" s="147">
        <v>0</v>
      </c>
      <c r="O104" s="147">
        <v>0</v>
      </c>
      <c r="P104" s="148">
        <v>0</v>
      </c>
      <c r="Q104" s="30"/>
      <c r="R104" s="30"/>
      <c r="S104" s="30"/>
    </row>
    <row r="105" ht="14.25">
      <c r="I105" s="149" t="s">
        <v>225</v>
      </c>
      <c r="J105" s="150"/>
      <c r="K105" s="150"/>
      <c r="L105" s="151">
        <f>L103*(1+L104)</f>
        <v>4098892.2978237392</v>
      </c>
      <c r="M105" s="151">
        <f>M103*(1+M104)</f>
        <v>556532.70640244521</v>
      </c>
      <c r="N105" s="151">
        <f>N103*(1+N104)</f>
        <v>556532.70640244521</v>
      </c>
      <c r="O105" s="151">
        <f>O103*(1+O104)</f>
        <v>0</v>
      </c>
      <c r="P105" s="152">
        <f>P103*(1+P104)</f>
        <v>5211957.71062863</v>
      </c>
      <c r="Q105" s="30"/>
      <c r="R105" s="30"/>
      <c r="S105" s="30"/>
    </row>
    <row r="106" ht="14.25">
      <c r="I106" s="137"/>
      <c r="J106" s="137"/>
      <c r="K106" s="137"/>
      <c r="L106" s="138"/>
      <c r="M106" s="153"/>
      <c r="N106" s="154"/>
      <c r="O106" s="154"/>
      <c r="P106" s="154"/>
      <c r="Q106" s="30"/>
      <c r="R106" s="30"/>
      <c r="S106" s="30"/>
    </row>
    <row r="107" ht="14.25">
      <c r="L107" s="130"/>
      <c r="Q107" s="30"/>
      <c r="R107" s="30"/>
      <c r="S107" s="30"/>
    </row>
    <row r="108" ht="14.25">
      <c r="I108" s="155" t="s">
        <v>226</v>
      </c>
      <c r="J108" s="134"/>
      <c r="K108" s="134"/>
      <c r="L108" s="134" t="s">
        <v>219</v>
      </c>
      <c r="M108" s="134" t="s">
        <v>220</v>
      </c>
      <c r="N108" s="134" t="s">
        <v>221</v>
      </c>
      <c r="O108" s="134" t="s">
        <v>222</v>
      </c>
      <c r="P108" s="135" t="s">
        <v>223</v>
      </c>
      <c r="Q108" s="30"/>
      <c r="R108" s="30"/>
      <c r="S108" s="30"/>
      <c r="V108" s="0">
        <f>L111/M111</f>
        <v>-1.2822099353038088</v>
      </c>
    </row>
    <row r="109" ht="14.25">
      <c r="I109" s="156" t="s">
        <v>197</v>
      </c>
      <c r="J109" s="157"/>
      <c r="K109" s="157"/>
      <c r="L109" s="158"/>
      <c r="M109" s="159">
        <f>K68</f>
        <v>3753273.1035609972</v>
      </c>
      <c r="N109" s="160">
        <f>M109</f>
        <v>3753273.1035609972</v>
      </c>
      <c r="O109" s="160">
        <f>N109</f>
        <v>3753273.1035609972</v>
      </c>
      <c r="P109" s="19">
        <f>SUM(L109:O109)</f>
        <v>11259819.310682992</v>
      </c>
      <c r="Q109" s="30"/>
      <c r="R109" s="30"/>
      <c r="S109" s="30"/>
      <c r="U109" s="55"/>
    </row>
    <row r="110" ht="14.25">
      <c r="I110" s="162" t="s">
        <v>198</v>
      </c>
      <c r="J110" s="163"/>
      <c r="K110" s="163"/>
      <c r="L110" s="164">
        <f>L103</f>
        <v>4098892.2978237392</v>
      </c>
      <c r="M110" s="164">
        <f>M103</f>
        <v>556532.70640244521</v>
      </c>
      <c r="N110" s="164">
        <f>N103</f>
        <v>556532.70640244521</v>
      </c>
      <c r="O110" s="164">
        <f>O103</f>
        <v>0</v>
      </c>
      <c r="P110" s="165">
        <f>SUM(L110:O110)</f>
        <v>5211957.71062863</v>
      </c>
      <c r="Q110" s="30"/>
      <c r="R110" s="30"/>
      <c r="S110" s="30"/>
      <c r="T110" s="0" t="s">
        <v>197</v>
      </c>
      <c r="U110" s="166"/>
      <c r="V110" s="0">
        <v>4003543.72559827</v>
      </c>
      <c r="W110" s="0">
        <v>4003543.72559827</v>
      </c>
      <c r="X110" s="0">
        <v>4003543.72559827</v>
      </c>
      <c r="Y110" s="0">
        <v>12010631.1767948</v>
      </c>
    </row>
    <row r="111" ht="14.25">
      <c r="I111" s="35" t="s">
        <v>227</v>
      </c>
      <c r="J111" s="36"/>
      <c r="K111" s="36"/>
      <c r="L111" s="168">
        <f>L109-L110</f>
        <v>-4098892.2978237392</v>
      </c>
      <c r="M111" s="168">
        <f>M109-M110</f>
        <v>3196740.397158552</v>
      </c>
      <c r="N111" s="168">
        <f>N109-N110</f>
        <v>3196740.397158552</v>
      </c>
      <c r="O111" s="168">
        <f>O109-O110</f>
        <v>3753273.1035609972</v>
      </c>
      <c r="P111" s="169">
        <f>P109-P110</f>
        <v>6047861.6000543619</v>
      </c>
      <c r="Q111" s="30"/>
      <c r="R111" s="30"/>
      <c r="S111" s="30"/>
      <c r="T111" s="0" t="s">
        <v>198</v>
      </c>
      <c r="U111" s="166">
        <v>4261872.8</v>
      </c>
      <c r="V111" s="0">
        <v>558406.8</v>
      </c>
      <c r="W111" s="0">
        <v>558406.8</v>
      </c>
      <c r="X111" s="0">
        <v>0</v>
      </c>
      <c r="Y111" s="0">
        <v>5378686.4</v>
      </c>
    </row>
    <row r="112" ht="14.25">
      <c r="I112" s="35"/>
      <c r="J112" s="36"/>
      <c r="K112" s="36"/>
      <c r="L112" s="168"/>
      <c r="M112" s="168"/>
      <c r="N112" s="168"/>
      <c r="O112" s="168"/>
      <c r="P112" s="169"/>
      <c r="Q112" s="30"/>
      <c r="R112" s="30"/>
      <c r="S112" s="30"/>
      <c r="T112" s="0" t="s">
        <v>227</v>
      </c>
      <c r="U112" s="0">
        <v>-4261872.8</v>
      </c>
      <c r="V112" s="0">
        <v>3445136.92559827</v>
      </c>
      <c r="W112" s="0">
        <v>3445136.92559827</v>
      </c>
      <c r="X112" s="0">
        <v>4003543.72559827</v>
      </c>
      <c r="Y112" s="0">
        <v>6631944.77679482</v>
      </c>
    </row>
    <row r="113" ht="14.25">
      <c r="I113" s="35" t="s">
        <v>228</v>
      </c>
      <c r="J113" s="36"/>
      <c r="K113" s="36"/>
      <c r="L113" s="170">
        <v>0</v>
      </c>
      <c r="M113" s="170">
        <v>1</v>
      </c>
      <c r="N113" s="170">
        <v>2</v>
      </c>
      <c r="O113" s="170">
        <v>3</v>
      </c>
      <c r="P113" s="171"/>
      <c r="Q113" s="30"/>
      <c r="R113" s="30"/>
      <c r="S113" s="30"/>
    </row>
    <row r="114" ht="14.25">
      <c r="I114" s="35" t="s">
        <v>229</v>
      </c>
      <c r="J114" s="36"/>
      <c r="K114" s="36"/>
      <c r="L114" s="168">
        <f>L109</f>
        <v>0</v>
      </c>
      <c r="M114" s="168">
        <f>M109</f>
        <v>3753273.1035609972</v>
      </c>
      <c r="N114" s="168">
        <f>N109</f>
        <v>3753273.1035609972</v>
      </c>
      <c r="O114" s="168">
        <f>O109</f>
        <v>3753273.1035609972</v>
      </c>
      <c r="P114" s="169">
        <f>P109</f>
        <v>11259819.310682992</v>
      </c>
      <c r="Q114" s="30"/>
      <c r="R114" s="30"/>
      <c r="S114" s="30"/>
    </row>
    <row r="115" ht="14.25">
      <c r="I115" s="35" t="s">
        <v>230</v>
      </c>
      <c r="J115" s="36"/>
      <c r="K115" s="36"/>
      <c r="L115" s="168">
        <f>L111</f>
        <v>-4098892.2978237392</v>
      </c>
      <c r="M115" s="168">
        <f>$L$115+SUM($M$114:M114)</f>
        <v>-345619.19426274206</v>
      </c>
      <c r="N115" s="168">
        <f>$L$115+SUM($M$114:N114)</f>
        <v>3407653.9092982551</v>
      </c>
      <c r="O115" s="168">
        <f>$L$115+SUM($M$114:O114)</f>
        <v>7160927.0128592523</v>
      </c>
      <c r="P115" s="169"/>
      <c r="Q115" s="30"/>
      <c r="R115" s="30"/>
      <c r="S115" s="30"/>
      <c r="V115" s="73">
        <f>M109/12</f>
        <v>312772.75863008312</v>
      </c>
    </row>
    <row r="116" ht="13.5">
      <c r="I116" s="35"/>
      <c r="J116" s="36"/>
      <c r="K116" s="36"/>
      <c r="L116" s="168"/>
      <c r="M116" s="168"/>
      <c r="N116" s="168"/>
      <c r="O116" s="168"/>
      <c r="P116" s="169"/>
      <c r="Q116" s="55"/>
      <c r="R116" s="30"/>
      <c r="S116" s="30"/>
      <c r="V116" s="36">
        <f>L111/V115</f>
        <v>-13.10501693234578</v>
      </c>
    </row>
    <row r="117" ht="13.5">
      <c r="I117" s="35" t="s">
        <v>235</v>
      </c>
      <c r="J117" s="36"/>
      <c r="K117" s="36"/>
      <c r="L117" s="168"/>
      <c r="M117" s="193">
        <f>IF($J$11&lt;$J$19,0,IF(AND($J$11&gt;=$J$19,$J$11&lt;$L$19),K16,IF(AND($J$11&gt;=$L$19,$J$11&lt;$N$19),M16,IF(AND($J$11&gt;=$N$19,$J$11&lt;$P$19),O16,IF(AND($J$11&gt;=$P$19,$J$11&lt;=$R$19),Q16,0)))))</f>
        <v>0.648463900396735</v>
      </c>
      <c r="N117" s="168"/>
      <c r="O117" s="168"/>
      <c r="P117" s="169"/>
      <c r="Q117" s="55"/>
      <c r="R117" s="30"/>
      <c r="S117" s="30"/>
      <c r="V117" s="36"/>
    </row>
    <row r="118" ht="14.25">
      <c r="I118" s="35" t="s">
        <v>236</v>
      </c>
      <c r="J118" s="36"/>
      <c r="K118" s="36"/>
      <c r="L118" s="168"/>
      <c r="M118" s="193">
        <f>IF($J$11&lt;$J$19,0,IF(AND($J$11&gt;=$J$19,$J$11&lt;$L$19),M16,IF(AND($J$11&gt;=$L$19,$J$11&lt;$N$19),O16,IF(AND($J$11&gt;=$N$19,$J$11&lt;$P$19),Q16,IF(AND($J$11&gt;=$P$19,$J$11&lt;=$R$19),S16,0)))))</f>
        <v>1.23300454490056</v>
      </c>
      <c r="N118" s="168"/>
      <c r="O118" s="168"/>
      <c r="P118" s="194">
        <f>P111/P110</f>
        <v>1.1603819401145739</v>
      </c>
      <c r="Q118" s="30"/>
      <c r="R118" s="30"/>
      <c r="S118" s="30"/>
    </row>
    <row r="119" ht="14.25">
      <c r="I119" s="35"/>
      <c r="J119" s="36"/>
      <c r="K119" s="36"/>
      <c r="L119" s="168"/>
      <c r="M119" s="168"/>
      <c r="N119" s="168"/>
      <c r="O119" s="168"/>
      <c r="P119" s="194"/>
      <c r="Q119" s="30"/>
      <c r="R119" s="30"/>
      <c r="S119" s="30"/>
    </row>
    <row r="120" ht="13.5">
      <c r="I120" s="175" t="s">
        <v>231</v>
      </c>
      <c r="J120" s="176"/>
      <c r="K120" s="176"/>
      <c r="L120" s="177">
        <f>(P109-P110)/P110</f>
        <v>1.1603819401145739</v>
      </c>
      <c r="M120" s="178">
        <f>M117+ ((M118-M117)*(($J$11-$E$29)/($G$29-$E$29)))</f>
        <v>1.1445134886971971</v>
      </c>
      <c r="N120" s="179"/>
      <c r="O120" s="168"/>
      <c r="P120" s="169"/>
      <c r="Q120" s="30"/>
      <c r="R120" s="30"/>
      <c r="S120" s="30"/>
    </row>
    <row r="121" ht="14.25">
      <c r="I121" s="180" t="s">
        <v>232</v>
      </c>
      <c r="J121" s="181"/>
      <c r="K121" s="181"/>
      <c r="L121" s="182" t="e">
        <f>NPV(0.08,L111:P111)</f>
        <v>#NAME?</v>
      </c>
      <c r="M121" s="183"/>
      <c r="N121" s="168"/>
      <c r="O121" s="168"/>
      <c r="P121" s="169"/>
      <c r="Q121" s="30"/>
      <c r="R121" s="30"/>
      <c r="S121" s="30"/>
    </row>
    <row r="122" ht="14.25">
      <c r="I122" s="180" t="s">
        <v>237</v>
      </c>
      <c r="J122" s="181"/>
      <c r="K122" s="181"/>
      <c r="L122" s="184" t="e">
        <f>(INDEX(K113:N113,MATCH(1,L115:O115&gt;0,0)))+(ABS(INDEX(K115:N115,MATCH(1,L115:O115&gt;0,0)))/(INDEX(L114:O114,MATCH(1,L115:O115&gt;0,0))))</f>
        <v>#VALUE!</v>
      </c>
      <c r="M122" s="195" t="e">
        <f>L122*12</f>
        <v>#VALUE!</v>
      </c>
      <c r="N122" s="166"/>
      <c r="O122" s="168"/>
      <c r="P122" s="169"/>
      <c r="Q122" s="55"/>
      <c r="R122" s="30"/>
      <c r="S122" s="30"/>
    </row>
    <row r="123" ht="14.25">
      <c r="I123" s="186" t="s">
        <v>234</v>
      </c>
      <c r="J123" s="187"/>
      <c r="K123" s="187"/>
      <c r="L123" s="188">
        <f>P110</f>
        <v>5211957.71062863</v>
      </c>
      <c r="M123" s="189"/>
      <c r="N123" s="168"/>
      <c r="O123" s="168"/>
      <c r="P123" s="169"/>
      <c r="Q123" s="30"/>
      <c r="R123" s="30"/>
      <c r="S123" s="30"/>
    </row>
    <row r="124" ht="14.25">
      <c r="I124" s="39"/>
      <c r="J124" s="40"/>
      <c r="K124" s="40"/>
      <c r="L124" s="190"/>
      <c r="M124" s="40"/>
      <c r="N124" s="191"/>
      <c r="O124" s="40"/>
      <c r="P124" s="192"/>
      <c r="Q124" s="30"/>
      <c r="R124" s="30"/>
      <c r="S124" s="30"/>
    </row>
    <row r="125" ht="14.25">
      <c r="I125" s="36"/>
      <c r="J125" s="36"/>
      <c r="K125" s="36"/>
      <c r="L125" s="130"/>
      <c r="M125" s="36"/>
      <c r="N125" s="36"/>
      <c r="O125" s="36"/>
      <c r="P125" s="36"/>
      <c r="Q125" s="30"/>
      <c r="R125" s="30"/>
      <c r="S125" s="30"/>
    </row>
    <row r="126" ht="14.25">
      <c r="L126" s="130"/>
    </row>
    <row r="127" ht="15">
      <c r="I127" s="196" t="s">
        <v>238</v>
      </c>
      <c r="J127" s="197"/>
      <c r="K127" s="197" t="s">
        <v>239</v>
      </c>
      <c r="L127" s="198" t="s">
        <v>240</v>
      </c>
      <c r="M127" s="30"/>
      <c r="N127" s="30"/>
      <c r="Q127" s="30"/>
      <c r="R127" s="30"/>
      <c r="S127" s="30"/>
    </row>
    <row r="128" ht="15">
      <c r="I128" s="35" t="s">
        <v>38</v>
      </c>
      <c r="J128" s="36"/>
      <c r="K128" s="55">
        <v>1.1</v>
      </c>
      <c r="L128" s="199">
        <f>K128</f>
        <v>1.1</v>
      </c>
      <c r="M128" s="30"/>
      <c r="N128" s="30"/>
      <c r="Q128" s="30"/>
      <c r="R128" s="30"/>
      <c r="S128" s="30"/>
    </row>
    <row r="129" ht="15">
      <c r="I129" s="35" t="s">
        <v>57</v>
      </c>
      <c r="J129" s="36"/>
      <c r="K129" s="55">
        <v>1.05</v>
      </c>
      <c r="L129" s="199">
        <f>K129</f>
        <v>1.05</v>
      </c>
      <c r="M129" s="30"/>
      <c r="N129" s="30"/>
      <c r="Q129" s="30"/>
      <c r="R129" s="30"/>
      <c r="S129" s="30"/>
    </row>
    <row r="130" ht="15">
      <c r="I130" s="35" t="s">
        <v>51</v>
      </c>
      <c r="J130" s="36"/>
      <c r="K130" s="55">
        <v>1</v>
      </c>
      <c r="L130" s="199">
        <f>K130</f>
        <v>1</v>
      </c>
      <c r="M130" s="30"/>
      <c r="N130" s="30"/>
      <c r="O130" s="19"/>
      <c r="Q130" s="30"/>
      <c r="R130" s="30"/>
      <c r="S130" s="30"/>
    </row>
    <row r="131" ht="15">
      <c r="I131" s="39" t="s">
        <v>241</v>
      </c>
      <c r="J131" s="40"/>
      <c r="K131" s="200">
        <v>0.9</v>
      </c>
      <c r="L131" s="201">
        <f>K131</f>
        <v>0.9</v>
      </c>
      <c r="M131" s="30"/>
      <c r="N131" s="30"/>
      <c r="O131" s="19"/>
      <c r="P131" s="30"/>
      <c r="Q131" s="30"/>
      <c r="R131" s="30"/>
      <c r="S131" s="30"/>
    </row>
    <row r="132" ht="15">
      <c r="I132" s="36"/>
      <c r="J132" s="36"/>
      <c r="K132" s="55"/>
      <c r="L132" s="55"/>
      <c r="M132" s="30"/>
      <c r="N132" s="30"/>
      <c r="O132" s="19"/>
      <c r="P132" s="30"/>
      <c r="Q132" s="30"/>
      <c r="R132" s="30"/>
      <c r="S132" s="30"/>
    </row>
    <row r="133" ht="15">
      <c r="I133" s="46" t="s">
        <v>242</v>
      </c>
      <c r="J133" s="202"/>
      <c r="K133" s="202" t="s">
        <v>239</v>
      </c>
      <c r="L133" s="203" t="s">
        <v>240</v>
      </c>
      <c r="M133" s="30"/>
      <c r="N133" s="30"/>
      <c r="O133" s="30"/>
      <c r="P133" s="30"/>
      <c r="Q133" s="30"/>
      <c r="R133" s="30"/>
      <c r="S133" s="30"/>
    </row>
    <row r="134" ht="15">
      <c r="I134" s="35" t="s">
        <v>40</v>
      </c>
      <c r="J134" s="36"/>
      <c r="K134" s="55">
        <v>1.05</v>
      </c>
      <c r="L134" s="199">
        <f>K134</f>
        <v>1.05</v>
      </c>
      <c r="M134" s="30"/>
      <c r="N134" s="30"/>
      <c r="O134" s="30"/>
      <c r="P134" s="30"/>
      <c r="Q134" s="30"/>
      <c r="R134" s="30"/>
      <c r="S134" s="30"/>
    </row>
    <row r="135" ht="15">
      <c r="I135" s="204" t="s">
        <v>50</v>
      </c>
      <c r="J135" s="30"/>
      <c r="K135" s="55">
        <v>1.02</v>
      </c>
      <c r="L135" s="199">
        <f>K135</f>
        <v>1.02</v>
      </c>
      <c r="M135" s="30"/>
      <c r="N135" s="30"/>
      <c r="O135" s="30"/>
      <c r="P135" s="30"/>
      <c r="Q135" s="30"/>
      <c r="R135" s="30"/>
      <c r="S135" s="30"/>
    </row>
    <row r="136" ht="15">
      <c r="I136" s="35" t="s">
        <v>52</v>
      </c>
      <c r="J136" s="36"/>
      <c r="K136" s="55">
        <v>1.04</v>
      </c>
      <c r="L136" s="199">
        <f>K136</f>
        <v>1.04</v>
      </c>
      <c r="M136" s="30"/>
      <c r="N136" s="30"/>
      <c r="O136" s="30"/>
      <c r="P136" s="30"/>
      <c r="Q136" s="30"/>
      <c r="R136" s="30"/>
      <c r="S136" s="30"/>
    </row>
    <row r="137" ht="15">
      <c r="I137" s="204" t="s">
        <v>53</v>
      </c>
      <c r="J137" s="30"/>
      <c r="K137" s="55">
        <v>1.02</v>
      </c>
      <c r="L137" s="199">
        <f>K137</f>
        <v>1.02</v>
      </c>
      <c r="M137" s="30"/>
      <c r="N137" s="30"/>
      <c r="O137" s="30"/>
      <c r="P137" s="30"/>
      <c r="Q137" s="30"/>
      <c r="R137" s="30"/>
      <c r="S137" s="30"/>
    </row>
    <row r="138" ht="15">
      <c r="I138" s="35" t="s">
        <v>55</v>
      </c>
      <c r="J138" s="36"/>
      <c r="K138" s="55">
        <v>1.01</v>
      </c>
      <c r="L138" s="199">
        <f>K138</f>
        <v>1.01</v>
      </c>
      <c r="M138" s="30"/>
      <c r="N138" s="30"/>
      <c r="O138" s="30"/>
      <c r="P138" s="30"/>
      <c r="Q138" s="30"/>
      <c r="R138" s="30"/>
      <c r="S138" s="30"/>
    </row>
    <row r="139" ht="15">
      <c r="I139" s="204" t="s">
        <v>56</v>
      </c>
      <c r="J139" s="30"/>
      <c r="K139" s="55">
        <v>1</v>
      </c>
      <c r="L139" s="199">
        <f>K139</f>
        <v>1</v>
      </c>
      <c r="M139" s="30"/>
      <c r="N139" s="30"/>
      <c r="O139" s="30"/>
      <c r="P139" s="30"/>
      <c r="Q139" s="30"/>
      <c r="R139" s="30"/>
      <c r="S139" s="30"/>
    </row>
    <row r="140" ht="15">
      <c r="I140" s="35" t="s">
        <v>58</v>
      </c>
      <c r="J140" s="36"/>
      <c r="K140" s="55">
        <v>1.02</v>
      </c>
      <c r="L140" s="199">
        <f>K140</f>
        <v>1.02</v>
      </c>
      <c r="M140" s="30"/>
      <c r="N140" s="30"/>
      <c r="O140" s="30"/>
      <c r="P140" s="30"/>
      <c r="Q140" s="30"/>
      <c r="R140" s="30"/>
      <c r="S140" s="30"/>
    </row>
    <row r="141" ht="15">
      <c r="I141" s="205" t="s">
        <v>59</v>
      </c>
      <c r="J141" s="41"/>
      <c r="K141" s="200">
        <v>1.01</v>
      </c>
      <c r="L141" s="201">
        <f>K141</f>
        <v>1.01</v>
      </c>
      <c r="M141" s="30"/>
      <c r="N141" s="30"/>
      <c r="O141" s="30"/>
      <c r="P141" s="30"/>
      <c r="Q141" s="30"/>
      <c r="R141" s="30"/>
      <c r="S141" s="30"/>
    </row>
    <row r="142" ht="16.5">
      <c r="L142" s="30"/>
      <c r="M142" s="30"/>
      <c r="N142" s="30"/>
      <c r="O142" s="30"/>
      <c r="P142" s="30"/>
      <c r="Q142" s="30"/>
      <c r="R142" s="30"/>
      <c r="S142" s="30"/>
    </row>
    <row r="143" ht="15">
      <c r="I143" s="206" t="s">
        <v>42</v>
      </c>
      <c r="J143" s="207"/>
      <c r="K143" s="207" t="s">
        <v>239</v>
      </c>
      <c r="L143" s="207" t="s">
        <v>243</v>
      </c>
      <c r="M143" s="208" t="s">
        <v>240</v>
      </c>
      <c r="N143" s="30"/>
      <c r="O143" s="30"/>
      <c r="P143" s="30"/>
      <c r="Q143" s="30"/>
      <c r="R143" s="30"/>
      <c r="S143" s="30"/>
    </row>
    <row r="144" ht="15">
      <c r="I144" s="35" t="s">
        <v>43</v>
      </c>
      <c r="J144" s="36"/>
      <c r="K144" s="55">
        <v>1</v>
      </c>
      <c r="L144" s="55">
        <v>1</v>
      </c>
      <c r="M144" s="199">
        <v>1</v>
      </c>
      <c r="N144" s="30"/>
      <c r="O144" s="30"/>
      <c r="P144" s="30"/>
      <c r="Q144" s="30"/>
      <c r="R144" s="30"/>
      <c r="S144" s="30"/>
    </row>
    <row r="145" ht="15">
      <c r="I145" s="35" t="s">
        <v>60</v>
      </c>
      <c r="J145" s="36"/>
      <c r="K145" s="55">
        <v>1.15</v>
      </c>
      <c r="L145" s="55">
        <v>1.1</v>
      </c>
      <c r="M145" s="199">
        <v>1.2</v>
      </c>
      <c r="N145" s="30"/>
      <c r="O145" s="30"/>
      <c r="P145" s="30"/>
      <c r="Q145" s="30"/>
      <c r="R145" s="30"/>
      <c r="S145" s="30"/>
    </row>
    <row r="146" ht="15">
      <c r="I146" s="39" t="s">
        <v>61</v>
      </c>
      <c r="J146" s="40"/>
      <c r="K146" s="200">
        <v>1.3</v>
      </c>
      <c r="L146" s="200">
        <v>1.2</v>
      </c>
      <c r="M146" s="201">
        <v>1.3</v>
      </c>
      <c r="N146" s="30"/>
      <c r="O146" s="30"/>
      <c r="P146" s="30"/>
      <c r="Q146" s="30"/>
      <c r="R146" s="30"/>
      <c r="S146" s="30"/>
    </row>
    <row r="147" ht="15">
      <c r="L147" s="30"/>
      <c r="M147" s="30"/>
      <c r="N147" s="30"/>
      <c r="O147" s="30"/>
      <c r="P147" s="30"/>
      <c r="Q147" s="30"/>
      <c r="R147" s="30"/>
      <c r="S147" s="30"/>
    </row>
    <row r="148" ht="14.25">
      <c r="I148" s="36"/>
      <c r="J148" s="36"/>
      <c r="K148" s="36"/>
      <c r="L148" s="130"/>
      <c r="M148" s="36"/>
      <c r="N148" s="36"/>
      <c r="O148" s="36"/>
      <c r="P148" s="36"/>
      <c r="Q148" s="30"/>
      <c r="R148" s="30"/>
      <c r="S148" s="30"/>
    </row>
    <row r="149" ht="14.25">
      <c r="I149" s="46" t="s">
        <v>244</v>
      </c>
      <c r="J149" s="134" t="s">
        <v>16</v>
      </c>
      <c r="K149" s="135" t="s">
        <v>17</v>
      </c>
      <c r="L149" s="130"/>
      <c r="M149" s="36"/>
      <c r="N149" s="36"/>
      <c r="O149" s="36"/>
      <c r="P149" s="36"/>
      <c r="Q149" s="30"/>
      <c r="R149" s="30"/>
      <c r="S149" s="30"/>
    </row>
    <row r="150" ht="14.25">
      <c r="I150" s="35" t="s">
        <v>245</v>
      </c>
      <c r="J150" s="45">
        <f>M91</f>
        <v>4.6846337727977714</v>
      </c>
      <c r="K150" s="209">
        <f>M120</f>
        <v>1.1445134886971971</v>
      </c>
      <c r="L150" s="130"/>
      <c r="M150" s="36"/>
      <c r="N150" s="36"/>
      <c r="O150" s="36"/>
      <c r="P150" s="36"/>
      <c r="Q150" s="30"/>
      <c r="R150" s="30"/>
      <c r="S150" s="30"/>
    </row>
    <row r="151" ht="14.25">
      <c r="I151" s="35" t="s">
        <v>246</v>
      </c>
      <c r="J151" s="55" t="e">
        <f>M93</f>
        <v>#VALUE!</v>
      </c>
      <c r="K151" s="210" t="e">
        <f>M122</f>
        <v>#VALUE!</v>
      </c>
      <c r="L151" s="130"/>
      <c r="M151" s="36"/>
      <c r="N151" s="36"/>
      <c r="O151" s="36"/>
      <c r="P151" s="36"/>
      <c r="Q151" s="30"/>
      <c r="R151" s="30"/>
      <c r="S151" s="30"/>
    </row>
    <row r="152" ht="14.25">
      <c r="I152" s="39"/>
      <c r="J152" s="40"/>
      <c r="K152" s="192"/>
      <c r="L152" s="130"/>
      <c r="M152" s="36"/>
      <c r="N152" s="36"/>
      <c r="O152" s="36"/>
      <c r="P152" s="36"/>
      <c r="Q152" s="30"/>
      <c r="R152" s="30"/>
      <c r="S152" s="30"/>
    </row>
    <row r="153" ht="14.25">
      <c r="I153" s="36"/>
      <c r="J153" s="36"/>
      <c r="K153" s="36"/>
      <c r="L153" s="130"/>
      <c r="M153" s="36"/>
      <c r="N153" s="36"/>
      <c r="O153" s="36"/>
      <c r="P153" s="36"/>
      <c r="Q153" s="30"/>
      <c r="R153" s="30"/>
      <c r="S153" s="30"/>
    </row>
    <row r="154" ht="14.25">
      <c r="I154" s="46" t="s">
        <v>247</v>
      </c>
      <c r="J154" s="134" t="s">
        <v>16</v>
      </c>
      <c r="K154" s="135" t="s">
        <v>17</v>
      </c>
      <c r="L154" s="130"/>
      <c r="M154" s="36"/>
      <c r="N154" s="36"/>
      <c r="O154" s="36"/>
      <c r="P154" s="36"/>
      <c r="Q154" s="30"/>
      <c r="R154" s="30"/>
      <c r="S154" s="30"/>
    </row>
    <row r="155" ht="14.25">
      <c r="I155" s="211" t="s">
        <v>248</v>
      </c>
      <c r="J155" s="94"/>
      <c r="K155" s="212"/>
      <c r="L155" s="130"/>
      <c r="M155" s="36"/>
      <c r="N155" s="36"/>
      <c r="O155" s="36"/>
      <c r="P155" s="36"/>
      <c r="Q155" s="30"/>
      <c r="R155" s="30"/>
      <c r="S155" s="30"/>
    </row>
    <row r="156" ht="14.25">
      <c r="I156" s="35" t="s">
        <v>203</v>
      </c>
      <c r="J156" s="19">
        <f>J52</f>
        <v>1168649</v>
      </c>
      <c r="K156" s="123">
        <f>K52</f>
        <v>1083773.6152266939</v>
      </c>
      <c r="L156" s="130"/>
      <c r="M156" s="36"/>
      <c r="N156" s="36"/>
      <c r="O156" s="36"/>
      <c r="P156" s="36"/>
      <c r="Q156" s="30"/>
      <c r="R156" s="30"/>
      <c r="S156" s="30"/>
    </row>
    <row r="157" ht="14.25">
      <c r="I157" s="35" t="s">
        <v>204</v>
      </c>
      <c r="J157" s="19">
        <f>J53</f>
        <v>583615.57326541</v>
      </c>
      <c r="K157" s="123">
        <f>K53</f>
        <v>2458585.9761946</v>
      </c>
      <c r="L157" s="130"/>
      <c r="M157" s="36"/>
      <c r="N157" s="36"/>
      <c r="O157" s="36"/>
      <c r="P157" s="36"/>
      <c r="Q157" s="30"/>
      <c r="R157" s="30"/>
      <c r="S157" s="30"/>
    </row>
    <row r="158" ht="14.25">
      <c r="I158" s="35" t="s">
        <v>205</v>
      </c>
      <c r="J158" s="19">
        <f>J54</f>
        <v>205406.2</v>
      </c>
      <c r="K158" s="123">
        <f>K54</f>
        <v>556532.70640244521</v>
      </c>
      <c r="L158" s="130"/>
      <c r="M158" s="36"/>
      <c r="N158" s="36"/>
      <c r="O158" s="36"/>
      <c r="P158" s="36"/>
      <c r="Q158" s="30"/>
      <c r="R158" s="30"/>
      <c r="S158" s="30"/>
    </row>
    <row r="159" ht="14.25">
      <c r="I159" s="211" t="s">
        <v>249</v>
      </c>
      <c r="J159" s="98"/>
      <c r="K159" s="125"/>
      <c r="L159" s="130"/>
      <c r="M159" s="36"/>
      <c r="N159" s="36"/>
      <c r="O159" s="36"/>
      <c r="P159" s="36"/>
      <c r="Q159" s="30"/>
      <c r="R159" s="30"/>
      <c r="S159" s="30"/>
    </row>
    <row r="160" ht="14.25">
      <c r="I160" s="35" t="s">
        <v>206</v>
      </c>
      <c r="J160" s="19">
        <f>J56</f>
        <v>336265.6279164544</v>
      </c>
      <c r="K160" s="123">
        <f>K56</f>
        <v>265431.33041263372</v>
      </c>
      <c r="L160" s="130"/>
      <c r="M160" s="36"/>
      <c r="N160" s="36"/>
      <c r="O160" s="36"/>
      <c r="P160" s="36"/>
      <c r="Q160" s="30"/>
      <c r="R160" s="30"/>
      <c r="S160" s="30"/>
    </row>
    <row r="161" ht="14.25">
      <c r="I161" s="35" t="s">
        <v>207</v>
      </c>
      <c r="J161" s="19">
        <f>J57</f>
        <v>1525762.4426897606</v>
      </c>
      <c r="K161" s="123">
        <f>K57</f>
        <v>1049389.8247580235</v>
      </c>
      <c r="L161" s="130"/>
      <c r="M161" s="36"/>
      <c r="N161" s="36"/>
      <c r="O161" s="36"/>
      <c r="P161" s="36"/>
      <c r="Q161" s="30"/>
      <c r="R161" s="30"/>
      <c r="S161" s="30"/>
    </row>
    <row r="162" ht="14.25">
      <c r="I162" s="35" t="s">
        <v>208</v>
      </c>
      <c r="J162" s="19">
        <f>J58</f>
        <v>1751482.1446765156</v>
      </c>
      <c r="K162" s="123">
        <f>K58</f>
        <v>1412993.7952114111</v>
      </c>
      <c r="L162" s="130"/>
      <c r="M162" s="36"/>
      <c r="N162" s="36"/>
      <c r="O162" s="36"/>
      <c r="P162" s="36"/>
      <c r="Q162" s="30"/>
      <c r="R162" s="30"/>
      <c r="S162" s="30"/>
    </row>
    <row r="163" ht="14.25">
      <c r="I163" s="211" t="s">
        <v>250</v>
      </c>
      <c r="J163" s="98"/>
      <c r="K163" s="125"/>
      <c r="L163" s="130"/>
      <c r="M163" s="36"/>
      <c r="N163" s="36"/>
      <c r="O163" s="36"/>
      <c r="P163" s="36"/>
      <c r="Q163" s="30"/>
      <c r="R163" s="30"/>
      <c r="S163" s="30"/>
    </row>
    <row r="164" ht="14.25">
      <c r="I164" s="35" t="s">
        <v>209</v>
      </c>
      <c r="J164" s="19">
        <f>J60</f>
        <v>2884119.6739684157</v>
      </c>
      <c r="K164" s="123">
        <f>K60</f>
        <v>2687606.2312786551</v>
      </c>
      <c r="L164" s="130"/>
      <c r="M164" s="36"/>
      <c r="N164" s="36"/>
      <c r="O164" s="36"/>
      <c r="P164" s="36"/>
      <c r="Q164" s="30"/>
      <c r="R164" s="30"/>
      <c r="S164" s="30"/>
    </row>
    <row r="165" ht="14.25">
      <c r="I165" s="35" t="s">
        <v>210</v>
      </c>
      <c r="J165" s="19">
        <f>J61</f>
        <v>2214042.18848701</v>
      </c>
      <c r="K165" s="123">
        <f>K61</f>
        <v>1837970.4941416201</v>
      </c>
      <c r="L165" s="130"/>
      <c r="M165" s="36"/>
      <c r="N165" s="36"/>
      <c r="O165" s="36"/>
      <c r="P165" s="36"/>
      <c r="Q165" s="30"/>
      <c r="R165" s="30"/>
      <c r="S165" s="30"/>
    </row>
    <row r="166" ht="14.25">
      <c r="I166" s="35" t="s">
        <v>211</v>
      </c>
      <c r="J166" s="19">
        <f>J62</f>
        <v>366005.53257716988</v>
      </c>
      <c r="K166" s="123">
        <f>K62</f>
        <v>332447.19844196254</v>
      </c>
      <c r="L166" s="130"/>
      <c r="M166" s="36"/>
      <c r="N166" s="36"/>
      <c r="O166" s="36"/>
      <c r="P166" s="36"/>
      <c r="Q166" s="30"/>
      <c r="R166" s="30"/>
      <c r="S166" s="30"/>
    </row>
    <row r="167" ht="14.25">
      <c r="I167" s="211" t="s">
        <v>251</v>
      </c>
      <c r="J167" s="98"/>
      <c r="K167" s="125"/>
      <c r="L167" s="130"/>
      <c r="M167" s="36"/>
      <c r="N167" s="36"/>
      <c r="O167" s="36"/>
      <c r="P167" s="36"/>
      <c r="Q167" s="30"/>
      <c r="R167" s="30"/>
      <c r="S167" s="30"/>
    </row>
    <row r="168" ht="14.25">
      <c r="I168" s="35" t="s">
        <v>212</v>
      </c>
      <c r="J168" s="19">
        <f>J64</f>
        <v>1774854.558249108</v>
      </c>
      <c r="K168" s="123">
        <f>K64</f>
        <v>1569837.4843728407</v>
      </c>
      <c r="L168" s="130"/>
      <c r="M168" s="36"/>
      <c r="N168" s="36"/>
      <c r="O168" s="36"/>
      <c r="P168" s="36"/>
      <c r="Q168" s="30"/>
      <c r="R168" s="30"/>
      <c r="S168" s="30"/>
    </row>
    <row r="169" ht="14.25">
      <c r="I169" s="35" t="s">
        <v>213</v>
      </c>
      <c r="J169" s="19">
        <f>J65</f>
        <v>1397350.9233316353</v>
      </c>
      <c r="K169" s="123">
        <f>K65</f>
        <v>1236339.1696383087</v>
      </c>
      <c r="L169" s="130"/>
      <c r="M169" s="36"/>
      <c r="N169" s="36"/>
      <c r="O169" s="36"/>
      <c r="P169" s="36"/>
      <c r="Q169" s="30"/>
      <c r="R169" s="30"/>
      <c r="S169" s="30"/>
    </row>
    <row r="170" ht="14.25">
      <c r="I170" s="162" t="s">
        <v>214</v>
      </c>
      <c r="J170" s="213">
        <f>J66</f>
        <v>1214076.3451517148</v>
      </c>
      <c r="K170" s="165">
        <f>K66</f>
        <v>867803.782427537</v>
      </c>
      <c r="L170" s="130"/>
      <c r="M170" s="36"/>
      <c r="N170" s="36"/>
      <c r="O170" s="36"/>
      <c r="P170" s="36"/>
      <c r="Q170" s="30"/>
      <c r="R170" s="30"/>
      <c r="S170" s="30"/>
    </row>
    <row r="171" ht="14.25">
      <c r="I171" s="35"/>
      <c r="J171" s="36"/>
      <c r="K171" s="89"/>
      <c r="L171" s="130"/>
      <c r="M171" s="36"/>
      <c r="N171" s="36"/>
      <c r="O171" s="36"/>
      <c r="P171" s="36"/>
      <c r="Q171" s="30"/>
      <c r="R171" s="30"/>
      <c r="S171" s="30"/>
    </row>
    <row r="172" ht="14.25">
      <c r="I172" s="214" t="s">
        <v>198</v>
      </c>
      <c r="J172" s="215">
        <f>SUM(J156:J158)</f>
        <v>1957670.77326541</v>
      </c>
      <c r="K172" s="216">
        <f>SUM(K156:K158)</f>
        <v>4098892.2978237392</v>
      </c>
      <c r="L172" s="130"/>
      <c r="M172" s="36"/>
      <c r="N172" s="36"/>
      <c r="O172" s="36"/>
      <c r="P172" s="36"/>
      <c r="Q172" s="30"/>
      <c r="R172" s="30"/>
      <c r="S172" s="30"/>
    </row>
    <row r="173" ht="14.25">
      <c r="I173" s="217" t="s">
        <v>197</v>
      </c>
      <c r="J173" s="84">
        <f>SUM(J160:J170)</f>
        <v>13463959.437047785</v>
      </c>
      <c r="K173" s="218">
        <f>SUM(K160:K170)</f>
        <v>11259819.310682992</v>
      </c>
      <c r="L173" s="130"/>
      <c r="M173" s="36"/>
      <c r="N173" s="36"/>
      <c r="O173" s="36"/>
      <c r="P173" s="36"/>
      <c r="Q173" s="30"/>
      <c r="R173" s="30"/>
      <c r="S173" s="30"/>
    </row>
    <row r="174" ht="14.25">
      <c r="I174" s="39"/>
      <c r="J174" s="40"/>
      <c r="K174" s="192"/>
      <c r="L174" s="130"/>
      <c r="M174" s="36"/>
      <c r="N174" s="36"/>
      <c r="O174" s="36"/>
      <c r="P174" s="36"/>
      <c r="Q174" s="30"/>
      <c r="R174" s="30"/>
      <c r="S174" s="30"/>
    </row>
    <row r="175" ht="14.25">
      <c r="I175" s="36"/>
      <c r="J175" s="36"/>
      <c r="K175" s="36"/>
      <c r="L175" s="130"/>
      <c r="M175" s="36"/>
      <c r="N175" s="36"/>
      <c r="O175" s="36"/>
      <c r="P175" s="36"/>
      <c r="Q175" s="30"/>
      <c r="R175" s="30"/>
      <c r="S175" s="30"/>
    </row>
    <row r="176" ht="15">
      <c r="I176" s="196"/>
      <c r="J176" s="197" t="s">
        <v>239</v>
      </c>
      <c r="K176" s="219" t="s">
        <v>240</v>
      </c>
      <c r="L176" s="220" t="s">
        <v>243</v>
      </c>
      <c r="M176" s="28"/>
      <c r="N176" s="30"/>
      <c r="O176" s="30"/>
      <c r="P176" s="30"/>
      <c r="Q176" s="30"/>
      <c r="R176" s="30"/>
      <c r="S176" s="30"/>
    </row>
    <row r="177" ht="14.25">
      <c r="I177" s="156" t="s">
        <v>252</v>
      </c>
      <c r="J177" s="157">
        <f>IF( L5=I128,K128,IF(L5=I129,K129,IF(L5=I130,K130,IF(L5=I131,K131,1))))</f>
        <v>1.1</v>
      </c>
      <c r="K177" s="221">
        <f>IF( L5=I128,L128,IF(L5=I129,L129,IF(L5=I130,L130,IF(L5=I131,L131,1))))</f>
        <v>1.1</v>
      </c>
      <c r="L177" s="222">
        <v>1</v>
      </c>
    </row>
    <row r="178" ht="14.25">
      <c r="I178" s="35" t="s">
        <v>253</v>
      </c>
      <c r="J178" s="55">
        <f>IF(L6=I134,L134,IF(L6=I135,L135, IF(L6=I136,L136,IF(L6=I137,L137,IF(L6=I138,L138,IF(L6=I139,L139, IF(L6=I140,L140, IF(L6=I141,L141,1))))))))</f>
        <v>1.05</v>
      </c>
      <c r="K178" s="55">
        <f>IF(L6=I134,L134,IF(L6=I135,L135, IF(L6=I136,L136,IF(L6=I137,L137,IF(L6=I138,L138,IF(L6=I139,L139, IF(L6=I140,L140, IF(L6=I141,L141,1))))))))</f>
        <v>1.05</v>
      </c>
      <c r="L178" s="199">
        <v>1</v>
      </c>
    </row>
    <row r="179" ht="14.25">
      <c r="I179" s="162" t="s">
        <v>254</v>
      </c>
      <c r="J179" s="223">
        <f>IF( L8=I144,K144,IF(L8=I145,K145,IF(L8=I146,K146,1)))</f>
        <v>1</v>
      </c>
      <c r="K179" s="223">
        <f>IF( L8=I144,L144,IF(L8=I145,L145,IF(L8=I146,L146,1)))</f>
        <v>1</v>
      </c>
      <c r="L179" s="224">
        <f>IF( L8=I144,M144,IF(L8=I145,M145,IF(L8=I146,M146,1)))</f>
        <v>1</v>
      </c>
    </row>
    <row r="180" ht="14.25">
      <c r="I180" s="112"/>
      <c r="J180" s="225">
        <f>J177*J178*J179</f>
        <v>1.1550000000000003</v>
      </c>
      <c r="K180" s="225">
        <f>K177*K178*K179</f>
        <v>1.1550000000000003</v>
      </c>
      <c r="L180" s="226">
        <f>L177*L178*L179</f>
        <v>1</v>
      </c>
    </row>
    <row r="181" ht="14.25">
      <c r="L181" s="19"/>
    </row>
    <row r="182" ht="14.25">
      <c r="L182" s="19"/>
    </row>
    <row r="183" ht="14.25">
      <c r="I183" s="196" t="s">
        <v>255</v>
      </c>
      <c r="J183" s="134" t="s">
        <v>16</v>
      </c>
      <c r="K183" s="135" t="s">
        <v>17</v>
      </c>
      <c r="L183" s="19"/>
    </row>
    <row r="184" ht="14.25">
      <c r="I184" s="35"/>
      <c r="J184" s="36"/>
      <c r="K184" s="89"/>
      <c r="L184" s="19"/>
    </row>
    <row r="185" ht="14.25">
      <c r="I185" s="35" t="s">
        <v>18</v>
      </c>
      <c r="J185" s="45">
        <f>J150*J180</f>
        <v>5.4107520075814275</v>
      </c>
      <c r="K185" s="209">
        <f>K150*J180</f>
        <v>1.3219130794452629</v>
      </c>
      <c r="L185" s="19"/>
    </row>
    <row r="186" ht="14.25">
      <c r="I186" s="35" t="s">
        <v>256</v>
      </c>
      <c r="J186" s="55" t="e">
        <f>J151*J180</f>
        <v>#VALUE!</v>
      </c>
      <c r="K186" s="199" t="e">
        <f>K151*J180</f>
        <v>#VALUE!</v>
      </c>
      <c r="L186" s="19"/>
    </row>
    <row r="187" ht="14.25">
      <c r="I187" s="39"/>
      <c r="J187" s="40"/>
      <c r="K187" s="192"/>
      <c r="L187" s="19"/>
    </row>
    <row r="188" ht="14.25">
      <c r="L188" s="19"/>
    </row>
    <row r="189" ht="14.25">
      <c r="L189" s="19"/>
    </row>
    <row r="190" ht="14.25">
      <c r="I190" s="227"/>
      <c r="J190" s="228" t="s">
        <v>16</v>
      </c>
      <c r="K190" s="229" t="s">
        <v>17</v>
      </c>
      <c r="L190" s="134" t="s">
        <v>16</v>
      </c>
      <c r="M190" s="135" t="s">
        <v>17</v>
      </c>
      <c r="N190" s="230" t="s">
        <v>257</v>
      </c>
    </row>
    <row r="191" ht="14.25">
      <c r="I191" s="93" t="s">
        <v>20</v>
      </c>
      <c r="J191" s="231"/>
      <c r="K191" s="232"/>
      <c r="L191" s="233"/>
      <c r="M191" s="234"/>
      <c r="N191" s="235"/>
    </row>
    <row r="192" ht="14.25">
      <c r="I192" s="35" t="s">
        <v>21</v>
      </c>
      <c r="J192" s="236">
        <f>J156</f>
        <v>1168649</v>
      </c>
      <c r="K192" s="237">
        <f>K156</f>
        <v>1083773.6152266939</v>
      </c>
      <c r="L192" s="19">
        <f>J192*$L$180</f>
        <v>1168649</v>
      </c>
      <c r="M192" s="123">
        <f>K192*$L$180</f>
        <v>1083773.6152266939</v>
      </c>
      <c r="N192" s="238">
        <f>L192/M192</f>
        <v>1.0783146808344772</v>
      </c>
    </row>
    <row r="193" ht="14.25">
      <c r="I193" s="35" t="s">
        <v>22</v>
      </c>
      <c r="J193" s="236">
        <f>J157</f>
        <v>583615.57326541</v>
      </c>
      <c r="K193" s="237">
        <f>K157</f>
        <v>2458585.9761946</v>
      </c>
      <c r="L193" s="19">
        <f>J193*$L$180</f>
        <v>583615.57326541</v>
      </c>
      <c r="M193" s="123">
        <f>K193*$L$180</f>
        <v>2458585.9761946</v>
      </c>
      <c r="N193" s="238">
        <f>L193/M193</f>
        <v>0.23737854966891592</v>
      </c>
    </row>
    <row r="194" ht="14.25">
      <c r="I194" s="162" t="s">
        <v>23</v>
      </c>
      <c r="J194" s="239">
        <f>J158</f>
        <v>205406.2</v>
      </c>
      <c r="K194" s="240">
        <f>K158</f>
        <v>556532.70640244521</v>
      </c>
      <c r="L194" s="213">
        <f>J194*$L$180</f>
        <v>205406.2</v>
      </c>
      <c r="M194" s="165">
        <f>K194*$L$180</f>
        <v>556532.70640244521</v>
      </c>
      <c r="N194" s="241">
        <f>L194/M194</f>
        <v>0.36908199219376109</v>
      </c>
    </row>
    <row r="195" ht="14.25">
      <c r="I195" s="93" t="s">
        <v>24</v>
      </c>
      <c r="J195" s="242"/>
      <c r="K195" s="243"/>
      <c r="L195" s="98"/>
      <c r="M195" s="125"/>
      <c r="N195" s="238"/>
    </row>
    <row r="196" ht="14.25">
      <c r="I196" s="35" t="s">
        <v>25</v>
      </c>
      <c r="J196" s="236">
        <f>J160</f>
        <v>336265.6279164544</v>
      </c>
      <c r="K196" s="237">
        <f>K160</f>
        <v>265431.33041263372</v>
      </c>
      <c r="L196" s="73">
        <f>J56*$K$180</f>
        <v>388386.80024350493</v>
      </c>
      <c r="M196" s="99">
        <f>K56*$K$180</f>
        <v>306573.186626592</v>
      </c>
      <c r="N196" s="238">
        <f>L196/M196</f>
        <v>1.2668648700728105</v>
      </c>
    </row>
    <row r="197" ht="14.25">
      <c r="I197" s="35" t="s">
        <v>26</v>
      </c>
      <c r="J197" s="236">
        <f>J161</f>
        <v>1525762.4426897606</v>
      </c>
      <c r="K197" s="237">
        <f>K161</f>
        <v>1049389.8247580235</v>
      </c>
      <c r="L197" s="73">
        <f>J57*$K$180</f>
        <v>1762255.6213066739</v>
      </c>
      <c r="M197" s="99">
        <f>K57*$K$180</f>
        <v>1212045.2475955174</v>
      </c>
      <c r="N197" s="238">
        <f>L197/M197</f>
        <v>1.4539520078170978</v>
      </c>
    </row>
    <row r="198" ht="14.25">
      <c r="I198" s="162" t="s">
        <v>27</v>
      </c>
      <c r="J198" s="239">
        <f>J162</f>
        <v>1751482.1446765156</v>
      </c>
      <c r="K198" s="240">
        <f>K162</f>
        <v>1412993.7952114111</v>
      </c>
      <c r="L198" s="244">
        <f>J58*$K$180</f>
        <v>2022961.877101376</v>
      </c>
      <c r="M198" s="245">
        <f>K58*$K$180</f>
        <v>1632007.8334691802</v>
      </c>
      <c r="N198" s="241">
        <f>L198/M198</f>
        <v>1.2395540239541252</v>
      </c>
    </row>
    <row r="199" ht="14.25">
      <c r="I199" s="93" t="s">
        <v>28</v>
      </c>
      <c r="J199" s="242"/>
      <c r="K199" s="243"/>
      <c r="L199" s="246"/>
      <c r="M199" s="103"/>
      <c r="N199" s="238"/>
    </row>
    <row r="200" ht="14.25">
      <c r="I200" s="35" t="s">
        <v>29</v>
      </c>
      <c r="J200" s="236">
        <f>J164</f>
        <v>2884119.6739684157</v>
      </c>
      <c r="K200" s="237">
        <f>K164</f>
        <v>2687606.2312786551</v>
      </c>
      <c r="L200" s="73">
        <f>J60*$K$180</f>
        <v>3331158.2234335206</v>
      </c>
      <c r="M200" s="99">
        <f>K60*$K$180</f>
        <v>3104185.1971268472</v>
      </c>
      <c r="N200" s="238">
        <f>L200/M200</f>
        <v>1.0731183907831123</v>
      </c>
    </row>
    <row r="201" ht="14.25">
      <c r="I201" s="35" t="s">
        <v>30</v>
      </c>
      <c r="J201" s="236">
        <f>J165</f>
        <v>2214042.18848701</v>
      </c>
      <c r="K201" s="237">
        <f>K165</f>
        <v>1837970.4941416201</v>
      </c>
      <c r="L201" s="73">
        <f>J61*$K$180</f>
        <v>2557218.727702497</v>
      </c>
      <c r="M201" s="99">
        <f>K61*$K$180</f>
        <v>2122855.9207335715</v>
      </c>
      <c r="N201" s="238">
        <f>L201/M201</f>
        <v>1.2046124763939832</v>
      </c>
    </row>
    <row r="202" ht="14.25">
      <c r="I202" s="162" t="s">
        <v>31</v>
      </c>
      <c r="J202" s="239">
        <f>J166</f>
        <v>366005.53257716988</v>
      </c>
      <c r="K202" s="240">
        <f>K166</f>
        <v>332447.19844196254</v>
      </c>
      <c r="L202" s="244">
        <f>J62*$K$180</f>
        <v>422736.3901266313</v>
      </c>
      <c r="M202" s="245">
        <f>K62*$K$180</f>
        <v>383976.5142004668</v>
      </c>
      <c r="N202" s="241">
        <f>L202/M202</f>
        <v>1.1009433506808928</v>
      </c>
    </row>
    <row r="203" ht="14.25">
      <c r="I203" s="104" t="s">
        <v>32</v>
      </c>
      <c r="J203" s="242"/>
      <c r="K203" s="243"/>
      <c r="L203" s="246"/>
      <c r="M203" s="103"/>
      <c r="N203" s="238"/>
    </row>
    <row r="204" ht="14.25">
      <c r="I204" s="35" t="s">
        <v>33</v>
      </c>
      <c r="J204" s="236">
        <f>J168</f>
        <v>1774854.558249108</v>
      </c>
      <c r="K204" s="237">
        <f>K168</f>
        <v>1569837.4843728407</v>
      </c>
      <c r="L204" s="73">
        <f>J64*$K$180</f>
        <v>2049957.0147777202</v>
      </c>
      <c r="M204" s="99">
        <f>K64*$K$180</f>
        <v>1813162.2944506314</v>
      </c>
      <c r="N204" s="238">
        <f>L204/M204</f>
        <v>1.1305976420598549</v>
      </c>
    </row>
    <row r="205" ht="14.25">
      <c r="I205" s="35" t="s">
        <v>34</v>
      </c>
      <c r="J205" s="236">
        <f>J169</f>
        <v>1397350.9233316353</v>
      </c>
      <c r="K205" s="237">
        <f>K169</f>
        <v>1236339.1696383087</v>
      </c>
      <c r="L205" s="73">
        <f>J65*$K$180</f>
        <v>1613940.3164480391</v>
      </c>
      <c r="M205" s="99">
        <f>K65*$K$180</f>
        <v>1427971.7409322469</v>
      </c>
      <c r="N205" s="238">
        <f>L205/M205</f>
        <v>1.130232672107631</v>
      </c>
    </row>
    <row r="206" ht="14.25">
      <c r="I206" s="162" t="s">
        <v>35</v>
      </c>
      <c r="J206" s="239">
        <f>J170</f>
        <v>1214076.3451517148</v>
      </c>
      <c r="K206" s="240">
        <f>K170</f>
        <v>867803.782427537</v>
      </c>
      <c r="L206" s="244">
        <f>J66*$K$180</f>
        <v>1402258.1786502309</v>
      </c>
      <c r="M206" s="245">
        <f>K66*$K$180</f>
        <v>1002313.3687038055</v>
      </c>
      <c r="N206" s="241">
        <f>L206/M206</f>
        <v>1.3990217255743431</v>
      </c>
    </row>
    <row r="207" ht="14.25">
      <c r="I207" s="107"/>
      <c r="J207" s="247"/>
      <c r="K207" s="248"/>
      <c r="L207" s="249"/>
      <c r="M207" s="250"/>
      <c r="N207" s="251"/>
    </row>
  </sheetData>
  <mergeCells>
    <mergeCell ref="L5:M5"/>
    <mergeCell ref="L6:M6"/>
    <mergeCell ref="L7:M7"/>
    <mergeCell ref="L8:M8"/>
    <mergeCell ref="J13:K13"/>
    <mergeCell ref="L13:M13"/>
    <mergeCell ref="N13:O13"/>
    <mergeCell ref="P13:Q13"/>
    <mergeCell ref="R13:S13"/>
    <mergeCell ref="E25:F25"/>
    <mergeCell ref="G25:H25"/>
    <mergeCell ref="J25:K25"/>
    <mergeCell ref="L25:M25"/>
    <mergeCell ref="N25:O25"/>
    <mergeCell ref="P25:Q25"/>
    <mergeCell ref="R25:S2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E29"/>
  <sheetViews>
    <sheetView windowProtection="false"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8" activeCellId="0" sqref="E38"/>
    </sheetView>
  </sheetViews>
  <sheetFormatPr defaultRowHeight="15"/>
  <cols>
    <col min="1" max="1" width="8.70918367346939" customWidth="1"/>
    <col min="2" max="2" width="8.70918367346939" customWidth="1"/>
    <col min="3" max="3" width="40" customWidth="1"/>
    <col min="4" max="4" width="21.7091836734694" customWidth="1"/>
    <col min="5" max="5" width="17.4336734693878" customWidth="1"/>
    <col min="6" max="6" width="8.70918367346939" customWidth="1"/>
    <col min="7" max="7" width="8.70918367346939" customWidth="1"/>
    <col min="8" max="8" width="8.70918367346939" customWidth="1"/>
    <col min="9" max="9" width="8.70918367346939" customWidth="1"/>
    <col min="10" max="10" width="8.70918367346939" customWidth="1"/>
    <col min="11" max="11" width="8.70918367346939" customWidth="1"/>
    <col min="12" max="12" width="8.70918367346939" customWidth="1"/>
    <col min="13" max="13" width="8.70918367346939" customWidth="1"/>
    <col min="14" max="14" width="8.70918367346939" customWidth="1"/>
    <col min="15" max="15" width="8.70918367346939" customWidth="1"/>
    <col min="16" max="16" width="8.70918367346939" customWidth="1"/>
    <col min="17" max="17" width="8.70918367346939" customWidth="1"/>
    <col min="18" max="18" width="8.70918367346939" customWidth="1"/>
    <col min="19" max="19" width="8.70918367346939" customWidth="1"/>
    <col min="20" max="20" width="8.70918367346939" customWidth="1"/>
    <col min="21" max="21" width="8.70918367346939" customWidth="1"/>
    <col min="22" max="22" width="8.70918367346939" customWidth="1"/>
    <col min="23" max="23" width="8.70918367346939" customWidth="1"/>
    <col min="24" max="24" width="8.70918367346939" customWidth="1"/>
    <col min="25" max="25" width="8.70918367346939" customWidth="1"/>
    <col min="26" max="26" width="8.70918367346939" customWidth="1"/>
    <col min="27" max="1025" width="14.4285714285714" customWidth="1"/>
  </cols>
  <sheetData>
    <row r="1" ht="14.25"/>
    <row r="2" ht="14.25"/>
    <row r="3" ht="14.25"/>
    <row r="4" ht="14.25">
      <c r="C4" s="252" t="s">
        <v>15</v>
      </c>
      <c r="D4" s="253" t="s">
        <v>16</v>
      </c>
      <c r="E4" s="254" t="s">
        <v>17</v>
      </c>
    </row>
    <row r="5" ht="14.25">
      <c r="C5" s="35" t="s">
        <v>18</v>
      </c>
      <c r="D5" s="45">
        <f>Calculator!J185</f>
        <v>5.4107520075814275</v>
      </c>
      <c r="E5" s="209">
        <f>Calculator!K185</f>
        <v>1.3219130794452629</v>
      </c>
    </row>
    <row r="6" ht="14.25">
      <c r="C6" s="39"/>
      <c r="D6" s="255"/>
      <c r="E6" s="256"/>
    </row>
    <row r="7" ht="14.25">
      <c r="C7" s="36"/>
      <c r="D7" s="45"/>
      <c r="E7" s="45"/>
    </row>
    <row r="8" ht="14.25">
      <c r="C8" s="252" t="s">
        <v>15</v>
      </c>
      <c r="D8" s="253" t="s">
        <v>16</v>
      </c>
      <c r="E8" s="254" t="s">
        <v>17</v>
      </c>
    </row>
    <row r="9" ht="14.25">
      <c r="C9" s="35" t="s">
        <v>19</v>
      </c>
      <c r="D9" s="55" t="e">
        <f>Calculator!J186</f>
        <v>#VALUE!</v>
      </c>
      <c r="E9" s="199" t="e">
        <f>Calculator!K186</f>
        <v>#VALUE!</v>
      </c>
    </row>
    <row r="10" ht="14.25">
      <c r="C10" s="39"/>
      <c r="D10" s="40"/>
      <c r="E10" s="192"/>
    </row>
    <row r="11" ht="14.25">
      <c r="C11" s="36"/>
      <c r="D11" s="36"/>
      <c r="E11" s="36"/>
    </row>
    <row r="12" ht="14.25">
      <c r="C12" s="252"/>
      <c r="D12" s="253" t="s">
        <v>16</v>
      </c>
      <c r="E12" s="254" t="s">
        <v>17</v>
      </c>
    </row>
    <row r="13" ht="14.25">
      <c r="C13" s="93" t="s">
        <v>20</v>
      </c>
      <c r="D13" s="94"/>
      <c r="E13" s="212"/>
    </row>
    <row r="14" ht="14.25">
      <c r="C14" s="35" t="s">
        <v>21</v>
      </c>
      <c r="D14" s="19">
        <f>Calculator!L192</f>
        <v>1168649</v>
      </c>
      <c r="E14" s="123">
        <f>Calculator!M192</f>
        <v>1083773.6152266939</v>
      </c>
    </row>
    <row r="15" ht="14.25">
      <c r="C15" s="35" t="s">
        <v>22</v>
      </c>
      <c r="D15" s="19">
        <f>Calculator!L193</f>
        <v>583615.57326541</v>
      </c>
      <c r="E15" s="123">
        <f>Calculator!M193</f>
        <v>2458585.9761946</v>
      </c>
    </row>
    <row r="16" ht="14.25">
      <c r="C16" s="35" t="s">
        <v>23</v>
      </c>
      <c r="D16" s="19">
        <f>Calculator!L194</f>
        <v>205406.2</v>
      </c>
      <c r="E16" s="123">
        <f>Calculator!M194</f>
        <v>556532.70640244521</v>
      </c>
    </row>
    <row r="17" ht="14.25">
      <c r="C17" s="93" t="s">
        <v>24</v>
      </c>
      <c r="D17" s="98"/>
      <c r="E17" s="125"/>
    </row>
    <row r="18" ht="14.25">
      <c r="C18" s="35" t="s">
        <v>25</v>
      </c>
      <c r="D18" s="19">
        <f>Calculator!L196</f>
        <v>388386.80024350493</v>
      </c>
      <c r="E18" s="123">
        <f>Calculator!M196</f>
        <v>306573.186626592</v>
      </c>
    </row>
    <row r="19" ht="14.25">
      <c r="C19" s="35" t="s">
        <v>26</v>
      </c>
      <c r="D19" s="19">
        <f>Calculator!L197</f>
        <v>1762255.6213066739</v>
      </c>
      <c r="E19" s="123">
        <f>Calculator!M197</f>
        <v>1212045.2475955174</v>
      </c>
    </row>
    <row r="20" ht="14.25">
      <c r="C20" s="35" t="s">
        <v>27</v>
      </c>
      <c r="D20" s="19">
        <f>Calculator!L198</f>
        <v>2022961.877101376</v>
      </c>
      <c r="E20" s="123">
        <f>Calculator!M198</f>
        <v>1632007.8334691802</v>
      </c>
    </row>
    <row r="21" ht="14.25">
      <c r="C21" s="93" t="s">
        <v>28</v>
      </c>
      <c r="D21" s="98"/>
      <c r="E21" s="125"/>
    </row>
    <row r="22" ht="14.25">
      <c r="C22" s="35" t="s">
        <v>29</v>
      </c>
      <c r="D22" s="19">
        <f>Calculator!L200</f>
        <v>3331158.2234335206</v>
      </c>
      <c r="E22" s="123">
        <f>Calculator!M200</f>
        <v>3104185.1971268472</v>
      </c>
    </row>
    <row r="23" ht="14.25">
      <c r="C23" s="35" t="s">
        <v>30</v>
      </c>
      <c r="D23" s="19">
        <f>Calculator!L201</f>
        <v>2557218.727702497</v>
      </c>
      <c r="E23" s="123">
        <f>Calculator!M201</f>
        <v>2122855.9207335715</v>
      </c>
    </row>
    <row r="24" ht="14.25">
      <c r="C24" s="35" t="s">
        <v>31</v>
      </c>
      <c r="D24" s="19">
        <f>Calculator!L202</f>
        <v>422736.3901266313</v>
      </c>
      <c r="E24" s="123">
        <f>Calculator!M202</f>
        <v>383976.5142004668</v>
      </c>
    </row>
    <row r="25" ht="14.25">
      <c r="C25" s="104" t="s">
        <v>32</v>
      </c>
      <c r="D25" s="98"/>
      <c r="E25" s="125"/>
    </row>
    <row r="26" ht="14.25">
      <c r="C26" s="35" t="s">
        <v>33</v>
      </c>
      <c r="D26" s="19">
        <f>Calculator!L204</f>
        <v>2049957.0147777202</v>
      </c>
      <c r="E26" s="123">
        <f>Calculator!M204</f>
        <v>1813162.2944506314</v>
      </c>
    </row>
    <row r="27" ht="14.25">
      <c r="C27" s="35" t="s">
        <v>34</v>
      </c>
      <c r="D27" s="19">
        <f>Calculator!L205</f>
        <v>1613940.3164480391</v>
      </c>
      <c r="E27" s="123">
        <f>Calculator!M205</f>
        <v>1427971.7409322469</v>
      </c>
    </row>
    <row r="28" ht="14.25">
      <c r="C28" s="35" t="s">
        <v>35</v>
      </c>
      <c r="D28" s="19">
        <f>Calculator!L206</f>
        <v>1402258.1786502309</v>
      </c>
      <c r="E28" s="123">
        <f>Calculator!M206</f>
        <v>1002313.3687038055</v>
      </c>
    </row>
    <row r="29" ht="14.25">
      <c r="C29" s="257"/>
      <c r="D29" s="108"/>
      <c r="E29" s="25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6:L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min="1" max="3" width="8.70918367346939" customWidth="1"/>
    <col min="4" max="4" width="34" customWidth="1"/>
    <col min="5" max="10" width="13.2908163265306" customWidth="1"/>
    <col min="11" max="26" width="8.70918367346939" customWidth="1"/>
    <col min="27" max="1025" width="14.4285714285714" customWidth="1"/>
  </cols>
  <sheetData>
    <row r="1" ht="14.25"/>
    <row r="2" ht="14.25"/>
    <row r="3" ht="14.25"/>
    <row r="4" ht="14.25"/>
    <row r="5" ht="14.25"/>
    <row r="6" ht="14.25">
      <c r="E6" s="0" t="s">
        <v>0</v>
      </c>
      <c r="G6" s="0" t="s">
        <v>1</v>
      </c>
      <c r="I6" s="0" t="s">
        <v>2</v>
      </c>
    </row>
    <row r="7" ht="14.25">
      <c r="D7" s="0" t="s">
        <v>3</v>
      </c>
      <c r="E7" s="0">
        <v>18</v>
      </c>
      <c r="F7" s="0">
        <v>187</v>
      </c>
      <c r="G7" s="0">
        <v>32</v>
      </c>
      <c r="H7" s="0">
        <v>337</v>
      </c>
      <c r="I7" s="0">
        <v>45</v>
      </c>
      <c r="J7" s="0">
        <v>472</v>
      </c>
    </row>
    <row r="8" ht="14.25">
      <c r="D8" s="0" t="s">
        <v>4</v>
      </c>
      <c r="E8" s="0">
        <v>32</v>
      </c>
      <c r="F8" s="0">
        <v>32</v>
      </c>
      <c r="G8" s="0">
        <v>160</v>
      </c>
      <c r="H8" s="0">
        <v>160</v>
      </c>
      <c r="I8" s="0">
        <v>480</v>
      </c>
      <c r="J8" s="0">
        <v>480</v>
      </c>
      <c r="L8" s="0" t="s">
        <v>5</v>
      </c>
    </row>
    <row r="9" ht="14.25">
      <c r="D9" s="0" t="s">
        <v>6</v>
      </c>
      <c r="E9" s="73">
        <v>1000000</v>
      </c>
      <c r="F9" s="73">
        <v>259437.255</v>
      </c>
      <c r="G9" s="73">
        <v>2072567.57894737</v>
      </c>
      <c r="H9" s="73">
        <v>467542.005</v>
      </c>
      <c r="I9" s="73">
        <v>2914548.15789474</v>
      </c>
      <c r="J9" s="73">
        <v>654836.28</v>
      </c>
    </row>
    <row r="10" ht="14.25">
      <c r="D10" s="0" t="s">
        <v>7</v>
      </c>
      <c r="E10" s="73">
        <v>51723.7578947368</v>
      </c>
      <c r="F10" s="73">
        <v>7783.127</v>
      </c>
      <c r="G10" s="73">
        <v>91953.3473684211</v>
      </c>
      <c r="H10" s="73">
        <v>14026.277</v>
      </c>
      <c r="I10" s="73">
        <v>129309.394736842</v>
      </c>
      <c r="J10" s="73">
        <v>19645.112</v>
      </c>
    </row>
    <row r="11" ht="14.25">
      <c r="E11" s="73"/>
      <c r="F11" s="73"/>
      <c r="G11" s="73"/>
      <c r="H11" s="73"/>
      <c r="I11" s="73"/>
      <c r="J11" s="73"/>
    </row>
    <row r="12" ht="14.25">
      <c r="D12" s="0" t="s">
        <v>8</v>
      </c>
      <c r="E12" s="73">
        <v>159894</v>
      </c>
      <c r="F12" s="73">
        <v>830560.5</v>
      </c>
      <c r="G12" s="73">
        <v>284256</v>
      </c>
      <c r="H12" s="73">
        <v>1496785.5</v>
      </c>
      <c r="I12" s="73">
        <v>399735</v>
      </c>
      <c r="J12" s="73">
        <v>2096388</v>
      </c>
    </row>
    <row r="13" ht="14.25">
      <c r="D13" s="0" t="s">
        <v>9</v>
      </c>
      <c r="E13" s="73">
        <v>52780.2631578947</v>
      </c>
      <c r="F13" s="73">
        <v>397608.75</v>
      </c>
      <c r="G13" s="73">
        <v>93831.5789473684</v>
      </c>
      <c r="H13" s="73">
        <v>716546.25</v>
      </c>
      <c r="I13" s="73">
        <v>131950.657894737</v>
      </c>
      <c r="J13" s="73">
        <v>1003590</v>
      </c>
    </row>
    <row r="14" ht="14.25">
      <c r="D14" s="0" t="s">
        <v>10</v>
      </c>
      <c r="E14" s="73">
        <v>238736.842105263</v>
      </c>
      <c r="F14" s="73">
        <v>134172.5</v>
      </c>
      <c r="G14" s="73">
        <v>424421.052631579</v>
      </c>
      <c r="H14" s="73">
        <v>241797.5</v>
      </c>
      <c r="I14" s="73">
        <v>596842.105263158</v>
      </c>
      <c r="J14" s="73">
        <v>338660</v>
      </c>
    </row>
    <row r="15" ht="14.25">
      <c r="E15" s="73"/>
      <c r="F15" s="73"/>
      <c r="G15" s="73"/>
      <c r="H15" s="73"/>
      <c r="I15" s="73"/>
      <c r="J15" s="73"/>
    </row>
    <row r="16" ht="14.25">
      <c r="D16" s="0" t="s">
        <v>11</v>
      </c>
      <c r="E16" s="73">
        <v>6639.15789473684</v>
      </c>
      <c r="F16" s="73">
        <v>15005.1605</v>
      </c>
      <c r="G16" s="73">
        <v>11802.9473684211</v>
      </c>
      <c r="H16" s="73">
        <v>27041.3855</v>
      </c>
      <c r="I16" s="73">
        <v>16597.8947368421</v>
      </c>
      <c r="J16" s="73">
        <v>37873.988</v>
      </c>
    </row>
    <row r="17" ht="14.25">
      <c r="D17" s="0" t="s">
        <v>12</v>
      </c>
      <c r="E17" s="73">
        <v>9473.68421052632</v>
      </c>
      <c r="F17" s="73">
        <v>15005.1605</v>
      </c>
      <c r="G17" s="73">
        <v>16842.1052631579</v>
      </c>
      <c r="H17" s="73">
        <v>33700</v>
      </c>
      <c r="I17" s="73">
        <v>23684.2105263158</v>
      </c>
      <c r="J17" s="73">
        <v>47200</v>
      </c>
    </row>
    <row r="18" ht="14.25">
      <c r="D18" s="0" t="s">
        <v>13</v>
      </c>
      <c r="E18" s="73">
        <v>205406.2</v>
      </c>
      <c r="F18" s="73">
        <v>502756.6</v>
      </c>
      <c r="G18" s="73">
        <v>205406.2</v>
      </c>
      <c r="H18" s="73">
        <v>502756.6</v>
      </c>
      <c r="I18" s="73">
        <v>205406.2</v>
      </c>
      <c r="J18" s="73">
        <v>502756.6</v>
      </c>
    </row>
    <row r="19" ht="14.25">
      <c r="E19" s="73"/>
      <c r="F19" s="73"/>
      <c r="G19" s="73"/>
      <c r="H19" s="73"/>
      <c r="I19" s="73"/>
      <c r="J19" s="73"/>
    </row>
    <row r="20" ht="14.25">
      <c r="D20" s="0" t="s">
        <v>14</v>
      </c>
      <c r="E20" s="73">
        <v>32000</v>
      </c>
      <c r="F20" s="73">
        <v>224736</v>
      </c>
      <c r="G20" s="73">
        <v>160000</v>
      </c>
      <c r="H20" s="73">
        <v>1123680</v>
      </c>
      <c r="I20" s="73">
        <v>480000</v>
      </c>
      <c r="J20" s="73">
        <v>3371040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LibreOffice/4.4.4.3$Windows_x86 LibreOffice_project/2c39ebcf046445232b798108aa8a7e7d89552ea8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2018-10-29T18:26:17Z</dcterms:modified>
  <cp:revision>2</cp:revision>
</cp:coreProperties>
</file>