
<file path=[Content_Types].xml><?xml version="1.0" encoding="utf-8"?>
<Types xmlns="http://schemas.openxmlformats.org/package/2006/content-types">
  <Default ContentType="image/png" Extension="png"/>
  <Default ContentType="application/vnd.openxmlformats-officedocument.spreadsheetml.printerSettings" Extension="bin"/>
  <Default ContentType="image/jpeg" Extension="jpe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3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ml.chart+xml" PartName="/xl/charts/chart7.xml"/>
  <Override ContentType="application/vnd.ms-office.chartstyle+xml" PartName="/xl/charts/style7.xml"/>
  <Override ContentType="application/vnd.ms-office.chartcolorstyle+xml" PartName="/xl/charts/colors7.xml"/>
  <Override ContentType="application/vnd.openxmlformats-officedocument.drawing+xml" PartName="/xl/drawings/drawing7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$MyDocuments\$$Pretium Analytics\$$Customers\$IBM\$Data Gravity\Data Gravity Calculator\Enhancement Model\"/>
    </mc:Choice>
  </mc:AlternateContent>
  <xr:revisionPtr revIDLastSave="0" documentId="13_ncr:1_{D51EB993-AB6A-4F9B-9BC9-0755D375AF9A}" xr6:coauthVersionLast="34" xr6:coauthVersionMax="34" xr10:uidLastSave="{00000000-0000-0000-0000-000000000000}"/>
  <bookViews>
    <workbookView xWindow="0" yWindow="0" windowWidth="23040" windowHeight="8496" tabRatio="928" firstSheet="1" activeTab="3" xr2:uid="{00000000-000D-0000-FFFF-FFFF00000000}"/>
  </bookViews>
  <sheets>
    <sheet name="Value Drivers" sheetId="1" state="hidden" r:id="rId1"/>
    <sheet name="Dropdowns" sheetId="13" r:id="rId2"/>
    <sheet name="Input" sheetId="11" r:id="rId3"/>
    <sheet name="Calculator" sheetId="32" r:id="rId4"/>
    <sheet name="Results" sheetId="36" r:id="rId5"/>
    <sheet name="Macro OUTPUT" sheetId="33" r:id="rId6"/>
    <sheet name="Assumptions" sheetId="6" r:id="rId7"/>
    <sheet name="Costs" sheetId="3" r:id="rId8"/>
    <sheet name="Costs 2" sheetId="18" state="hidden" r:id="rId9"/>
    <sheet name="Benefits" sheetId="4" r:id="rId10"/>
    <sheet name=" Comparision - Results" sheetId="8" r:id="rId11"/>
    <sheet name=" Calculator -Z14 -small" sheetId="5" r:id="rId12"/>
    <sheet name=" Calculator -X86 -small" sheetId="25" r:id="rId13"/>
    <sheet name=" Calculator -Z14 -medium" sheetId="26" r:id="rId14"/>
    <sheet name=" Calculator -x86 -medium" sheetId="27" r:id="rId15"/>
    <sheet name=" Calculator -z14 Large" sheetId="28" r:id="rId16"/>
    <sheet name=" Calculator -x86 Large " sheetId="29" r:id="rId17"/>
    <sheet name="Per Core Values" sheetId="17" r:id="rId18"/>
    <sheet name=" Test to Delete" sheetId="35" r:id="rId19"/>
    <sheet name="Sizing V2" sheetId="14" r:id="rId20"/>
    <sheet name="From TCO Paper" sheetId="15" r:id="rId21"/>
    <sheet name="Assumptions 2" sheetId="10" r:id="rId22"/>
    <sheet name="For Srini Case 1 " sheetId="30" r:id="rId23"/>
  </sheets>
  <externalReferences>
    <externalReference r:id="rId24"/>
    <externalReference r:id="rId25"/>
    <externalReference r:id="rId26"/>
  </externalReferences>
  <definedNames>
    <definedName name="A">#REF!</definedName>
    <definedName name="a16\">[file:///D:\Documents%20and%20Settings\Sid\Local%20Settings\Temporary%20Internet%20Files\Content.IE5\89MHENQZ\comp.xls]Omeg!#REF!</definedName>
    <definedName name="A22E481">#REF!</definedName>
    <definedName name="A444\">#REF!</definedName>
    <definedName name="col_LastzServer">#REF!</definedName>
    <definedName name="DistSoftware">'[2]General Assumptions'!$C$20:$C$58</definedName>
    <definedName name="Hosting">'[2]General Assumptions'!$C$285:$C$289</definedName>
    <definedName name="IBMSoftware">'[2]General Assumptions'!#REF!</definedName>
    <definedName name="Manpower">'[2]General Assumptions'!$C$302:$C$306</definedName>
    <definedName name="Networking">'[2]General Assumptions'!$C$293:$C$298</definedName>
    <definedName name="OSSoftware">'[2]General Assumptions'!$C$62:$C$231</definedName>
    <definedName name="rfee">[file:///D:\WINDOWS\TEMP\MERKLE.xls]Sheet1B!#REF!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  <definedName name="_xlnm._FilterDatabase" localSheetId="5" hidden="1">'Macro OUTPUT'!$B$3:$AS$3</definedName>
    <definedName name="A" localSheetId="12">#REF!</definedName>
    <definedName name="a16\" localSheetId="12">[file:///D:\Documents%20and%20Settings\Sid\Local%20Settings\Temporary%20Internet%20Files\Content.IE5\89MHENQZ\comp.xls]Omeg!#REF!</definedName>
    <definedName name="A22E481" localSheetId="12">#REF!</definedName>
    <definedName name="A444\" localSheetId="12">#REF!</definedName>
    <definedName name="col_LastzServer" localSheetId="12">#REF!</definedName>
    <definedName name="IBMSoftware" localSheetId="12">'[2]General Assumptions'!#REF!</definedName>
    <definedName name="rfee" localSheetId="12">[file:///D:\WINDOWS\TEMP\MERKLE.xls]Sheet1B!#REF!</definedName>
    <definedName name="row_1stCore" localSheetId="12">#REF!</definedName>
    <definedName name="row_GHz" localSheetId="12">#REF!</definedName>
    <definedName name="row_MaxCores" localSheetId="12">#REF!</definedName>
    <definedName name="row_MaxMIPS" localSheetId="12">#REF!</definedName>
    <definedName name="SAIF" localSheetId="12">#REF!</definedName>
    <definedName name="SLA" localSheetId="12">#REF!</definedName>
    <definedName name="A" localSheetId="13">#REF!</definedName>
    <definedName name="a16\" localSheetId="13">[file:///D:\Documents%20and%20Settings\Sid\Local%20Settings\Temporary%20Internet%20Files\Content.IE5\89MHENQZ\comp.xls]Omeg!#REF!</definedName>
    <definedName name="A22E481" localSheetId="13">#REF!</definedName>
    <definedName name="A444\" localSheetId="13">#REF!</definedName>
    <definedName name="col_LastzServer" localSheetId="13">#REF!</definedName>
    <definedName name="IBMSoftware" localSheetId="13">'[2]General Assumptions'!#REF!</definedName>
    <definedName name="rfee" localSheetId="13">[file:///D:\WINDOWS\TEMP\MERKLE.xls]Sheet1B!#REF!</definedName>
    <definedName name="row_1stCore" localSheetId="13">#REF!</definedName>
    <definedName name="row_GHz" localSheetId="13">#REF!</definedName>
    <definedName name="row_MaxCores" localSheetId="13">#REF!</definedName>
    <definedName name="row_MaxMIPS" localSheetId="13">#REF!</definedName>
    <definedName name="SAIF" localSheetId="13">#REF!</definedName>
    <definedName name="SLA" localSheetId="13">#REF!</definedName>
    <definedName name="A" localSheetId="14">#REF!</definedName>
    <definedName name="a16\" localSheetId="14">[file:///D:\Documents%20and%20Settings\Sid\Local%20Settings\Temporary%20Internet%20Files\Content.IE5\89MHENQZ\comp.xls]Omeg!#REF!</definedName>
    <definedName name="A22E481" localSheetId="14">#REF!</definedName>
    <definedName name="A444\" localSheetId="14">#REF!</definedName>
    <definedName name="col_LastzServer" localSheetId="14">#REF!</definedName>
    <definedName name="IBMSoftware" localSheetId="14">'[2]General Assumptions'!#REF!</definedName>
    <definedName name="rfee" localSheetId="14">[file:///D:\WINDOWS\TEMP\MERKLE.xls]Sheet1B!#REF!</definedName>
    <definedName name="row_1stCore" localSheetId="14">#REF!</definedName>
    <definedName name="row_GHz" localSheetId="14">#REF!</definedName>
    <definedName name="row_MaxCores" localSheetId="14">#REF!</definedName>
    <definedName name="row_MaxMIPS" localSheetId="14">#REF!</definedName>
    <definedName name="SAIF" localSheetId="14">#REF!</definedName>
    <definedName name="SLA" localSheetId="14">#REF!</definedName>
    <definedName name="A" localSheetId="15">#REF!</definedName>
    <definedName name="a16\" localSheetId="15">[file:///D:\Documents%20and%20Settings\Sid\Local%20Settings\Temporary%20Internet%20Files\Content.IE5\89MHENQZ\comp.xls]Omeg!#REF!</definedName>
    <definedName name="A22E481" localSheetId="15">#REF!</definedName>
    <definedName name="A444\" localSheetId="15">#REF!</definedName>
    <definedName name="col_LastzServer" localSheetId="15">#REF!</definedName>
    <definedName name="IBMSoftware" localSheetId="15">'[2]General Assumptions'!#REF!</definedName>
    <definedName name="rfee" localSheetId="15">[file:///D:\WINDOWS\TEMP\MERKLE.xls]Sheet1B!#REF!</definedName>
    <definedName name="row_1stCore" localSheetId="15">#REF!</definedName>
    <definedName name="row_GHz" localSheetId="15">#REF!</definedName>
    <definedName name="row_MaxCores" localSheetId="15">#REF!</definedName>
    <definedName name="row_MaxMIPS" localSheetId="15">#REF!</definedName>
    <definedName name="SAIF" localSheetId="15">#REF!</definedName>
    <definedName name="SLA" localSheetId="15">#REF!</definedName>
    <definedName name="A" localSheetId="16">#REF!</definedName>
    <definedName name="a16\" localSheetId="16">[file:///D:\Documents%20and%20Settings\Sid\Local%20Settings\Temporary%20Internet%20Files\Content.IE5\89MHENQZ\comp.xls]Omeg!#REF!</definedName>
    <definedName name="A22E481" localSheetId="16">#REF!</definedName>
    <definedName name="A444\" localSheetId="16">#REF!</definedName>
    <definedName name="col_LastzServer" localSheetId="16">#REF!</definedName>
    <definedName name="IBMSoftware" localSheetId="16">'[2]General Assumptions'!#REF!</definedName>
    <definedName name="rfee" localSheetId="16">[file:///D:\WINDOWS\TEMP\MERKLE.xls]Sheet1B!#REF!</definedName>
    <definedName name="row_1stCore" localSheetId="16">#REF!</definedName>
    <definedName name="row_GHz" localSheetId="16">#REF!</definedName>
    <definedName name="row_MaxCores" localSheetId="16">#REF!</definedName>
    <definedName name="row_MaxMIPS" localSheetId="16">#REF!</definedName>
    <definedName name="SAIF" localSheetId="16">#REF!</definedName>
    <definedName name="SLA" localSheetId="16">#REF!</definedName>
    <definedName name="A" localSheetId="17">#REF!</definedName>
    <definedName name="a16\" localSheetId="17">[file:///D:\Documents%20and%20Settings\Sid\Local%20Settings\Temporary%20Internet%20Files\Content.IE5\89MHENQZ\comp.xls]Omeg!#REF!</definedName>
    <definedName name="A22E481" localSheetId="17">#REF!</definedName>
    <definedName name="A" localSheetId="18">#REF!</definedName>
    <definedName name="a16\" localSheetId="18">[file:///D:\Documents%20and%20Settings\Sid\Local%20Settings\Temporary%20Internet%20Files\Content.IE5\89MHENQZ\comp.xls]Omeg!#REF!</definedName>
    <definedName name="A22E481" localSheetId="18">#REF!</definedName>
    <definedName name="A444\" localSheetId="18">#REF!</definedName>
    <definedName name="col_LastzServer" localSheetId="18">#REF!</definedName>
    <definedName name="IBMSoftware" localSheetId="18">'[2]General Assumptions'!#REF!</definedName>
    <definedName name="rfee" localSheetId="18">[file:///D:\WINDOWS\TEMP\MERKLE.xls]Sheet1B!#REF!</definedName>
    <definedName name="row_1stCore" localSheetId="18">#REF!</definedName>
    <definedName name="row_GHz" localSheetId="18">#REF!</definedName>
    <definedName name="row_MaxCores" localSheetId="18">#REF!</definedName>
    <definedName name="row_MaxMIPS" localSheetId="18">#REF!</definedName>
    <definedName name="SAIF" localSheetId="18">#REF!</definedName>
    <definedName name="SLA" localSheetId="18">#REF!</definedName>
    <definedName name="A" localSheetId="19">#REF!</definedName>
    <definedName name="a16\" localSheetId="19">[file:///D:\Documents%20and%20Settings\Sid\Local%20Settings\Temporary%20Internet%20Files\Content.IE5\89MHENQZ\comp.xls]Omeg!#REF!</definedName>
    <definedName name="A22E481" localSheetId="19">#REF!</definedName>
    <definedName name="A444\" localSheetId="19">#REF!</definedName>
    <definedName name="col_LastzServer" localSheetId="19">#REF!</definedName>
    <definedName name="IBMSoftware" localSheetId="19">'[2]General Assumptions'!#REF!</definedName>
    <definedName name="rfee" localSheetId="19">[file:///D:\WINDOWS\TEMP\MERKLE.xls]Sheet1B!#REF!</definedName>
    <definedName name="row_1stCore" localSheetId="19">#REF!</definedName>
    <definedName name="row_GHz" localSheetId="19">#REF!</definedName>
    <definedName name="row_MaxCores" localSheetId="19">#REF!</definedName>
    <definedName name="row_MaxMIPS" localSheetId="19">#REF!</definedName>
    <definedName name="SAIF" localSheetId="19">#REF!</definedName>
    <definedName name="SLA" localSheetId="19">#REF!</definedName>
  </definedNames>
  <calcPr calcId="17902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<sst xmlns="http://schemas.openxmlformats.org/spreadsheetml/2006/main" count="679" uniqueCount="679">
  <si>
    <t>Customer Input from the Input Page</t>
  </si>
  <si>
    <t>Industry</t>
  </si>
  <si>
    <t>Use case</t>
  </si>
  <si>
    <t>Investment</t>
  </si>
  <si>
    <t>Type of Analytics</t>
  </si>
  <si>
    <t>BEGIN Range</t>
  </si>
  <si>
    <t>SMALL</t>
  </si>
  <si>
    <t>MEDIUM</t>
  </si>
  <si>
    <t>LARGE</t>
  </si>
  <si>
    <t>END RANGE</t>
  </si>
  <si>
    <t>ROI Conversion Table</t>
  </si>
  <si>
    <t>Z14</t>
  </si>
  <si>
    <t>X86</t>
  </si>
  <si>
    <t>ROI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</si>
  <si>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</si>
  <si>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</si>
  <si>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</si>
  <si>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</si>
  <si>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</si>
  <si>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</si>
  <si>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</si>
  <si>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Quadrant 1</t>
  </si>
  <si>
    <t>System Acquisition Cost</t>
  </si>
  <si>
    <t>Software Acquisition Cost</t>
  </si>
  <si>
    <t>Operations cost</t>
  </si>
  <si>
    <t>Quadrant 2</t>
  </si>
  <si>
    <t>C-level executive productivity</t>
  </si>
  <si>
    <t>IT personnel productivity</t>
  </si>
  <si>
    <t>Organizational Productivity</t>
  </si>
  <si>
    <t>Quadrant 3</t>
  </si>
  <si>
    <t>Improved Revenue</t>
  </si>
  <si>
    <t>Faster-time-to-value</t>
  </si>
  <si>
    <t>Trusted Experiences</t>
  </si>
  <si>
    <t>Quadrant 4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</si>
  <si>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</si>
  <si>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</si>
  <si>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</si>
  <si>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</si>
  <si>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</si>
  <si>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</si>
  <si>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</si>
  <si>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</si>
  <si>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</si>
  <si>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</si>
  <si>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</si>
  <si>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</si>
  <si>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</si>
  <si>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</si>
  <si>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</si>
  <si>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</si>
  <si>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</si>
  <si>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</si>
  <si>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</si>
  <si>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</si>
  <si>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</si>
  <si>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</si>
  <si>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</si>
  <si>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</si>
  <si>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</si>
  <si>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</si>
  <si>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</si>
  <si>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</si>
  <si>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</si>
  <si>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Finance</t>
  </si>
  <si>
    <t>Telecom</t>
  </si>
  <si>
    <t>Retail</t>
  </si>
  <si>
    <t>Healthcare</t>
  </si>
  <si>
    <t>Use Case Multiplier</t>
  </si>
  <si>
    <t>End of Period Processing</t>
  </si>
  <si>
    <t>Reduce Risk and Fraud</t>
  </si>
  <si>
    <t>Reveue form User Experience</t>
  </si>
  <si>
    <t>Revenue from Loyalty Programs</t>
  </si>
  <si>
    <t>Improve Claims Optimization</t>
  </si>
  <si>
    <t>Improve care and reduce cost</t>
  </si>
  <si>
    <t>Prevent Customer Churn</t>
  </si>
  <si>
    <t xml:space="preserve">Quality of Customer Experience </t>
  </si>
  <si>
    <t>Cost Multiplier</t>
  </si>
  <si>
    <t>Open Data Analytics</t>
  </si>
  <si>
    <t>IBM DB2 Analytics Accelerator</t>
  </si>
  <si>
    <t>IBM Machine Learning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</si>
  <si>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</si>
  <si>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</si>
  <si>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</si>
  <si>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</si>
  <si>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</si>
  <si>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</si>
  <si>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</si>
  <si>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</si>
  <si>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</si>
  <si>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</si>
  <si>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</si>
  <si>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</si>
  <si>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period</t>
  </si>
  <si>
    <t>Difference</t>
  </si>
  <si>
    <t>SA-Software Acquisition Cost</t>
  </si>
  <si>
    <t>SY - System Acquisition Cost</t>
  </si>
  <si>
    <t>OC-Operations cost</t>
  </si>
  <si>
    <t>CP - C-level executive productivity</t>
  </si>
  <si>
    <t>ITP IT personnel productivity</t>
  </si>
  <si>
    <t>OP - Organizational Productivity</t>
  </si>
  <si>
    <t>IR - Improved Revenue</t>
  </si>
  <si>
    <t>FTV - Faster-time-to-value</t>
  </si>
  <si>
    <t>TE - Trusted Experiences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</si>
  <si>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</si>
  <si>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</si>
  <si>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</si>
  <si>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</si>
  <si>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</si>
  <si>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Use Case</t>
  </si>
  <si>
    <t>Revenue from user experience</t>
  </si>
  <si>
    <t>IBM Machine learning</t>
  </si>
  <si>
    <t>Z14 Category</t>
  </si>
  <si>
    <t>If investment is betweeen 1 -3 million - small, 3 - 5 million medim; 5 - 10 million is Large; &gt; 10 million is very large</t>
  </si>
  <si>
    <t>X86 Category</t>
  </si>
  <si>
    <t xml:space="preserve">Use Case 1 </t>
  </si>
  <si>
    <t>Use Case 2</t>
  </si>
  <si>
    <t xml:space="preserve">Healthcare </t>
  </si>
  <si>
    <t>Small</t>
  </si>
  <si>
    <t>Medium</t>
  </si>
  <si>
    <t>Large</t>
  </si>
  <si>
    <t>IBM Z- ROI</t>
  </si>
  <si>
    <t>X-86 - ROI</t>
  </si>
  <si>
    <t>IBM Z- Payback</t>
  </si>
  <si>
    <t>X-86 - Payback</t>
  </si>
  <si>
    <t>IBM Z - Benefits</t>
  </si>
  <si>
    <t>IBM Z - Costs</t>
  </si>
  <si>
    <t>End of Period Process</t>
  </si>
  <si>
    <t>ODA</t>
  </si>
  <si>
    <t>IDAA</t>
  </si>
  <si>
    <t>ML</t>
  </si>
  <si>
    <t>……</t>
  </si>
  <si>
    <t>Question 1</t>
  </si>
  <si>
    <t>ROI for small should be less that medium and less that large</t>
  </si>
  <si>
    <t>Question 2</t>
  </si>
  <si>
    <t xml:space="preserve">ROI of finance &gt; telecom &gt; retail &gt; healthcare </t>
  </si>
  <si>
    <t>Question 3</t>
  </si>
  <si>
    <t xml:space="preserve">more to follow … 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</si>
  <si>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</si>
  <si>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</si>
  <si>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</si>
  <si>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</si>
  <si>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</si>
  <si>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</si>
  <si>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</si>
  <si>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</si>
  <si>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</si>
  <si>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</si>
  <si>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</si>
  <si>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</si>
  <si>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</si>
  <si>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</si>
  <si>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</si>
  <si>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</si>
  <si>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</si>
  <si>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</si>
  <si>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</si>
  <si>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</si>
  <si>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</si>
  <si>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</si>
  <si>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</si>
  <si>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</si>
  <si>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</si>
  <si>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</si>
  <si>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</si>
  <si>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</si>
  <si>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</si>
  <si>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</si>
  <si>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</si>
  <si>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</si>
  <si>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</si>
  <si>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</si>
  <si>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</si>
  <si>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</si>
  <si>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</si>
  <si>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</si>
  <si>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</si>
  <si>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</si>
  <si>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</si>
  <si>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</si>
  <si>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</rPr>
      <t xml:space="preserve"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</si>
  <si>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</si>
  <si>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</si>
  <si>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</si>
  <si>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</si>
  <si>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</si>
  <si>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</si>
  <si>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Data Movement Cost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</si>
  <si>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</si>
  <si>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</si>
  <si>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</si>
  <si>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</si>
  <si>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</si>
  <si>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</si>
  <si>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</si>
  <si>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</si>
  <si>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</si>
  <si>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</si>
  <si>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</si>
  <si>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</si>
  <si>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</si>
  <si>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</si>
  <si>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</si>
  <si>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</si>
  <si>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</si>
  <si>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</si>
  <si>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</si>
  <si>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</si>
  <si>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</si>
  <si>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</si>
  <si>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 xml:space="preserve"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</si>
  <si>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</si>
  <si>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</si>
  <si>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</si>
  <si>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</si>
  <si>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</si>
  <si>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</si>
  <si>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</si>
  <si>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</si>
  <si>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</si>
  <si>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</si>
  <si>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</si>
  <si>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</si>
  <si>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</si>
  <si>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Viruses cannot be readily introduced</t>
    </r>
  </si>
  <si>
    <t>Case 1: Software costs are adjusted to 3 years from 5 years (Given)</t>
  </si>
  <si>
    <t>5-Year Costs (Given)</t>
  </si>
  <si>
    <t>Energy and Cooling</t>
  </si>
  <si>
    <t>DC Space</t>
  </si>
  <si>
    <t>Networking</t>
  </si>
  <si>
    <t>Manpower</t>
  </si>
  <si>
    <t>Mainframe Software</t>
  </si>
  <si>
    <t>Software</t>
  </si>
  <si>
    <t>System Software</t>
  </si>
  <si>
    <t>Hardware</t>
  </si>
  <si>
    <t>1-Year Costs with Adjustments</t>
  </si>
  <si>
    <t>Results</t>
  </si>
  <si>
    <t>Payback Period (Months)</t>
  </si>
  <si>
    <t>Number of incidents</t>
  </si>
  <si>
    <t xml:space="preserve">Average time </t>
  </si>
  <si>
    <t xml:space="preserve">Size of the </t>
  </si>
  <si>
    <t>small</t>
  </si>
  <si>
    <t>medium</t>
  </si>
  <si>
    <t>large</t>
  </si>
  <si>
    <t>cost of breach</t>
  </si>
  <si>
    <t>Assumptions</t>
  </si>
  <si>
    <t>Underlying Assumptions to generate LinuxONE Cost Savings Estimator results:</t>
  </si>
  <si>
    <t>Server purchase cost (used for New Workload option). Hardware purchase cost based on publicly available vendor pricing</t>
  </si>
  <si>
    <t>New x86 hardware pricing is assumed to have a 30% discount*</t>
  </si>
  <si>
    <t>x86 hardware maintenance is assumed to be 15% of hardware purchase</t>
  </si>
  <si>
    <t>Depending on the server model, hardware maintenance will vary from 1 to 3 years</t>
  </si>
  <si>
    <t>Migration of x86 workloads to LinuxONE is assumed to be $10,000 per physical source server</t>
  </si>
  <si>
    <t>Oracle software pricing is calculated by cores with multi-core factor, with S&amp;S starting the 1st year</t>
  </si>
  <si>
    <t>Oracle SW OTC is assumed to have a discount of 40% and S&amp;S is assumed to be 22% of the discounted OTC*</t>
  </si>
  <si>
    <t>IBM software pricing is calculated by PVU, with 1st year S&amp;S included in OTC</t>
  </si>
  <si>
    <t>IBM SW OTC is assumed to have a discount of 25% and S&amp;S is assumed to be 20% of the discounted OTC*</t>
  </si>
  <si>
    <t>Other software pricing is calculated by cores, with 1st year S&amp;S included in OTC</t>
  </si>
  <si>
    <t>Other SW S&amp;S is assumed to be 15% of the full OTC</t>
  </si>
  <si>
    <t>Linux OS support pricing assumes some vendor discounting and is estimated to be $11,000 per year per IFL for 1 - 2 IFLs, $10,000 per year per IFL for 3 - 4 IFLs and $8,000 per year per IFL for 5 or more IFLs</t>
  </si>
  <si>
    <t>x86 Linux OS support pricing is estimated to be $2,387 (including an assumed discount of 50%) per year per two socket x86 server*</t>
  </si>
  <si>
    <t>Server utilization is based on industry averages, typically seen to be about 20% for Linux on x86 servers and 90% on LinuxONE.</t>
  </si>
  <si>
    <t>z/VM virtualization costs are included in LinuxONE hardware pricing</t>
  </si>
  <si>
    <t>If additional SW management tools are added to the LinuxONE TCO, SW management tools are also added to the x86 TCO</t>
  </si>
  <si>
    <t>For additional SW management the tool assumes a 30% discount on LinuxONE and 40% discount on x86.</t>
  </si>
  <si>
    <t>If IISz is selected for LinuxONE, vCenter Server Std + vSphere with Operations Management Enterprise Plus + HyTrust is added to x86</t>
  </si>
  <si>
    <t>If Wave is selected for LinuxONE, vCenter Server Std + HyTrust is added to x86</t>
  </si>
  <si>
    <t>Labor in x86 environments is assumed to be greater based on data from client studies that evaluate life cycle management corporate wide.</t>
  </si>
  <si>
    <t>Electricity cost used is $0.10/kWh for each server's specific energy consumption and cooling.</t>
  </si>
  <si>
    <t>Floor space cost is estimated to be $10,000 per rack</t>
  </si>
  <si>
    <t>Contact IT.Economics@us.ibm.com to modify these assumptions if you require a customized TCO</t>
  </si>
  <si>
    <t>* Discount rates will vary for actual transactions. The above percentages are used for illustrative purposes only.</t>
  </si>
  <si>
    <t>bbbbbb</t>
  </si>
  <si>
    <t>Purchase</t>
  </si>
  <si>
    <t xml:space="preserve">one </t>
  </si>
  <si>
    <t>Per Core</t>
  </si>
  <si>
    <t>X 86</t>
  </si>
  <si>
    <t>Number of cores</t>
  </si>
  <si>
    <t>Number of servers</t>
  </si>
  <si>
    <t>Core / Server</t>
  </si>
  <si>
    <t>Hardware Purchase</t>
  </si>
  <si>
    <t>g</t>
  </si>
  <si>
    <t>Software Oracle</t>
  </si>
  <si>
    <t>IBM Software</t>
  </si>
  <si>
    <t>Linux OS and Other Software</t>
  </si>
  <si>
    <t>Power</t>
  </si>
  <si>
    <t>Space</t>
  </si>
  <si>
    <t xml:space="preserve">Hardware cost  / core</t>
  </si>
  <si>
    <t>Hardware maintenace cost (22%)</t>
  </si>
  <si>
    <t>Software cost / core</t>
  </si>
  <si>
    <t>IBM Sofwtare cost</t>
  </si>
  <si>
    <t>Linux OS</t>
  </si>
  <si>
    <t>Electricity</t>
  </si>
  <si>
    <t>Sizing</t>
  </si>
  <si>
    <t>Metric</t>
  </si>
  <si>
    <t>Remarks</t>
  </si>
  <si>
    <t>GCP</t>
  </si>
  <si>
    <t>GCP Engine</t>
  </si>
  <si>
    <t>z13 605</t>
  </si>
  <si>
    <t>z14 605</t>
  </si>
  <si>
    <t>zIIPs</t>
  </si>
  <si>
    <t>z13 606</t>
  </si>
  <si>
    <t>z14 606</t>
  </si>
  <si>
    <t>Mem (GB)</t>
  </si>
  <si>
    <t>MIPS</t>
  </si>
  <si>
    <t>SE MIPS</t>
  </si>
  <si>
    <t>Capacity Setting (Dial Point 7 = 100%)</t>
  </si>
  <si>
    <t>GCP MIPS</t>
  </si>
  <si>
    <t>MIPS (z14 605 - 606)</t>
  </si>
  <si>
    <t>1 GCP per LPAR</t>
  </si>
  <si>
    <t>SE + GCP</t>
  </si>
  <si>
    <t>SE + GCP MIPS</t>
  </si>
  <si>
    <t>Less PEO</t>
  </si>
  <si>
    <t>Total MIPS (SE + GSP)</t>
  </si>
  <si>
    <t>ZIIP</t>
  </si>
  <si>
    <t xml:space="preserve">Special purpose porcesser added to central processor </t>
  </si>
  <si>
    <t xml:space="preserve">LPAR performance - partition within LPAR Configuring </t>
  </si>
  <si>
    <t xml:space="preserve">SE </t>
  </si>
  <si>
    <t>Total MIPS (SE Only)</t>
  </si>
  <si>
    <t>RPE/MIPS Method</t>
  </si>
  <si>
    <t>RPEs</t>
  </si>
  <si>
    <t>RPEs/MIPS</t>
  </si>
  <si>
    <t>Use 240 (without DR)</t>
  </si>
  <si>
    <t>cores</t>
  </si>
  <si>
    <t>RPEs/core</t>
  </si>
  <si>
    <t>HPE - ProLiant DL560 Gen10 (2U) Xeon Platinum 8168 2.7GHz: vSphere: (2ch/48co)</t>
  </si>
  <si>
    <t>servers</t>
  </si>
  <si>
    <t>ProLiant DL560 Gen10 (2U) Xeon Platinum 8168 24-Core 2.7GHz (2ch/48co)</t>
  </si>
  <si>
    <t>n+1</t>
  </si>
  <si>
    <t>GHz Method</t>
  </si>
  <si>
    <t>At 40% Util</t>
  </si>
  <si>
    <t>servers (n+1)</t>
  </si>
  <si>
    <t>Core Ratio (x86/z) - excludes n+1 addition</t>
  </si>
  <si>
    <t>Adding HA</t>
  </si>
  <si>
    <t>Main Frame (MIPS)</t>
  </si>
  <si>
    <t xml:space="preserve">Num of </t>
  </si>
  <si>
    <t>Servers</t>
  </si>
  <si>
    <t>Memory (GB)</t>
  </si>
  <si>
    <t>Cost of software</t>
  </si>
  <si>
    <t xml:space="preserve">maintenance </t>
  </si>
  <si>
    <t>Power and Cooling</t>
  </si>
  <si>
    <t>Cores</t>
  </si>
  <si>
    <t>HA server</t>
  </si>
  <si>
    <t>Total Server</t>
  </si>
  <si>
    <t>Core / server</t>
  </si>
  <si>
    <t>Memory (128*4)</t>
  </si>
  <si>
    <t>Mainframe vs X86</t>
  </si>
  <si>
    <t>Operating Cost</t>
  </si>
  <si>
    <t>Analyst Presentation</t>
  </si>
  <si>
    <t>Z- 14 System Value Proposition</t>
  </si>
  <si>
    <t>Productivity of C-level Executives</t>
  </si>
  <si>
    <t xml:space="preserve">Number of Primary C-level Executives </t>
  </si>
  <si>
    <t>Assumption</t>
  </si>
  <si>
    <t>Average salary of these C-level executives</t>
  </si>
  <si>
    <t>costs</t>
  </si>
  <si>
    <t>Percentage contribution of Primary C-level Executives</t>
  </si>
  <si>
    <t>Percentage Improvement in Productivity these C-level Executives</t>
  </si>
  <si>
    <t>Benefit</t>
  </si>
  <si>
    <t>Cost reduction of Primary C-level executive</t>
  </si>
  <si>
    <t>Number of other Secondary C-level business executives</t>
  </si>
  <si>
    <t>Average salary of these c-level business executives</t>
  </si>
  <si>
    <t>Percentage contribution of secondary C-Level executives</t>
  </si>
  <si>
    <t>Percentage improvement in productivity of these C-level executives</t>
  </si>
  <si>
    <t>Cost reduction of secondary c-level executives</t>
  </si>
  <si>
    <t>Total savings from productivity of C-level Executives</t>
  </si>
  <si>
    <t>Risk adjusted cost savings from productivity of C-Level Executives</t>
  </si>
  <si>
    <t>Productivity of IT Personnel</t>
  </si>
  <si>
    <t>Number of data scientists</t>
  </si>
  <si>
    <t>Average salary of data scientists</t>
  </si>
  <si>
    <t>Percentage improvement in productivity of data scientists</t>
  </si>
  <si>
    <t>Cost reduction of data scientists</t>
  </si>
  <si>
    <t>Number of Data engineers</t>
  </si>
  <si>
    <t>Average salary of data engineers</t>
  </si>
  <si>
    <t>Percentage improvement in productivity of data engineers</t>
  </si>
  <si>
    <t xml:space="preserve">Cost reduction of  data engineers</t>
  </si>
  <si>
    <t>Number of Application Developer</t>
  </si>
  <si>
    <t>Average salary of application developer</t>
  </si>
  <si>
    <t>Percentage improvement in productivity of application developer</t>
  </si>
  <si>
    <t>Cost reduction of application developers</t>
  </si>
  <si>
    <t>Total savings from productivity of IT personnel</t>
  </si>
  <si>
    <t>Risk adjusted cost savings from productivity of IT personnel</t>
  </si>
  <si>
    <t>Number of Business Analysts</t>
  </si>
  <si>
    <t>Average salary of business analysts</t>
  </si>
  <si>
    <t>Contribution to the chosen use case</t>
  </si>
  <si>
    <t>Percentage improvement in productivity of business analysts</t>
  </si>
  <si>
    <t>Cost reductions from productivity of business analysts</t>
  </si>
  <si>
    <t>Other business personnel who can leverage the service</t>
  </si>
  <si>
    <t>Average salary of other business personnel</t>
  </si>
  <si>
    <t>Percentage improvement in productivity of other business personnel</t>
  </si>
  <si>
    <t xml:space="preserve">Cost  reductions from productivity of other business personnel</t>
  </si>
  <si>
    <t>Total savings from improved organizational productivity</t>
  </si>
  <si>
    <t>Risk adjusted cost savings from organizational productivity</t>
  </si>
  <si>
    <t xml:space="preserve">Number of  insights generated </t>
  </si>
  <si>
    <t>Percentage improvement in number of insights (deeper or more current)</t>
  </si>
  <si>
    <t>Value of extra insight</t>
  </si>
  <si>
    <t>Average profit margin</t>
  </si>
  <si>
    <t>Increase net margin from the chosen use case</t>
  </si>
  <si>
    <t xml:space="preserve">Total  margin from the increase in revenue</t>
  </si>
  <si>
    <t>Risk adjusted savings from productivity of IT personnel</t>
  </si>
  <si>
    <t>Faster time to market</t>
  </si>
  <si>
    <t>Average Time to market</t>
  </si>
  <si>
    <t>Percentage improvement in the average time to market</t>
  </si>
  <si>
    <t>Number of projects in progress</t>
  </si>
  <si>
    <t>Average new services revenue</t>
  </si>
  <si>
    <t>Profit margin rate</t>
  </si>
  <si>
    <t>Faster time-to-value</t>
  </si>
  <si>
    <t xml:space="preserve">Total improvement in margin  from faster-time-to-value</t>
  </si>
  <si>
    <t xml:space="preserve">Risk adjusted improvement in margin  from faster-time-to-value</t>
  </si>
  <si>
    <t>Estimated cost of brand value due to organization trust</t>
  </si>
  <si>
    <t>Estimated % chance of not verifying information</t>
  </si>
  <si>
    <t>Percentage chance of trust avoided by System Z</t>
  </si>
  <si>
    <t xml:space="preserve">Reduced brand risk exposure  </t>
  </si>
  <si>
    <t>Number of legal people</t>
  </si>
  <si>
    <t>Percentage improvement in Legal Personnel time</t>
  </si>
  <si>
    <t xml:space="preserve">Contribution of legal people </t>
  </si>
  <si>
    <t>Hourly cost of the legal team</t>
  </si>
  <si>
    <t>Direct legal cost avoidance</t>
  </si>
  <si>
    <t>Total improvement from trusted experiences</t>
  </si>
  <si>
    <t>Risk adjusted improvement from trusted experiences</t>
  </si>
  <si>
    <t>Improved Security</t>
  </si>
  <si>
    <t>Average number of attacks / year</t>
  </si>
  <si>
    <t>Average number of days to identify a breach</t>
  </si>
  <si>
    <t>Number of days wasted in a year</t>
  </si>
  <si>
    <t>Reduction in number of attacks due to Z14</t>
  </si>
  <si>
    <t>Reduction on number of days to identify a breach</t>
  </si>
  <si>
    <t>Number of days saved due to reduction and really response</t>
  </si>
  <si>
    <t>Average cost of an attack</t>
  </si>
  <si>
    <t>Number of days in a year</t>
  </si>
  <si>
    <t>Cost of a day wasted for a breach</t>
  </si>
  <si>
    <t>Total benefit</t>
  </si>
  <si>
    <t>Number of security personnel involved</t>
  </si>
  <si>
    <t>Number of days saved due to improved security</t>
  </si>
  <si>
    <t>Average hourly annual salary of security personnel</t>
  </si>
  <si>
    <t>Savings from improved efficiency</t>
  </si>
  <si>
    <t xml:space="preserve">Total  from end-to-end security</t>
  </si>
  <si>
    <t>Risk Adjustment (down 10%)</t>
  </si>
  <si>
    <t>Risk adjusted savings from end-to-end security</t>
  </si>
  <si>
    <t>Reduced Compliance</t>
  </si>
  <si>
    <t xml:space="preserve">Number of compliance people involved </t>
  </si>
  <si>
    <t xml:space="preserve">% of  time spent with compliance related issues</t>
  </si>
  <si>
    <t>Average annual salary</t>
  </si>
  <si>
    <t xml:space="preserve">% reduction in time spent </t>
  </si>
  <si>
    <t>Savings in annual compliance implementation plan</t>
  </si>
  <si>
    <t>Average potential regulatory fine</t>
  </si>
  <si>
    <t xml:space="preserve">Security breach </t>
  </si>
  <si>
    <t>Probability of compliance fine</t>
  </si>
  <si>
    <t>Prob</t>
  </si>
  <si>
    <t>Reduced likelihood of compliance event happening with Z14</t>
  </si>
  <si>
    <t>10 times less for mainframe</t>
  </si>
  <si>
    <t>Reduced cost to recover from breach</t>
  </si>
  <si>
    <t>similar to same as downtime</t>
  </si>
  <si>
    <t>gg</t>
  </si>
  <si>
    <t xml:space="preserve">Total  from productivity of IT personnel</t>
  </si>
  <si>
    <t>Number of hours in a year</t>
  </si>
  <si>
    <t>% Availability of the baseline system</t>
  </si>
  <si>
    <t>Number of hours of downtime</t>
  </si>
  <si>
    <t>Percentage availability of Z14</t>
  </si>
  <si>
    <t>Number of hours of downtime with Z14</t>
  </si>
  <si>
    <t>Number of hours saved by Z14</t>
  </si>
  <si>
    <t xml:space="preserve">Average cost of downtime </t>
  </si>
  <si>
    <t>Percentage acceptable for the configuration</t>
  </si>
  <si>
    <t xml:space="preserve">Forrester </t>
  </si>
  <si>
    <t>Revenue loss prevented</t>
  </si>
  <si>
    <t>Number of Technical people for maintain uptime</t>
  </si>
  <si>
    <t>Percentage of time spent in keeping the system up</t>
  </si>
  <si>
    <t>Average salary of the technical personal</t>
  </si>
  <si>
    <t>% improvement in the productivity of the technical people</t>
  </si>
  <si>
    <t>Average productivity loss</t>
  </si>
  <si>
    <t>Total loss prevented by Z14</t>
  </si>
  <si>
    <t>Total Benefit</t>
  </si>
  <si>
    <t>Acquisition Costs</t>
  </si>
  <si>
    <t>Cost of system Z</t>
  </si>
  <si>
    <t>Total Acquisition cost</t>
  </si>
  <si>
    <t>Operations Costs</t>
  </si>
  <si>
    <t>Network Cost</t>
  </si>
  <si>
    <t>New software acquisition cost</t>
  </si>
  <si>
    <t>New Operations Cost</t>
  </si>
  <si>
    <t>PP</t>
  </si>
  <si>
    <t>Payback Period (Approx)</t>
  </si>
  <si>
    <t>I core of Z14 to cores of X86</t>
  </si>
  <si>
    <t>x86 cores</t>
  </si>
  <si>
    <t xml:space="preserve">z14 -  James</t>
  </si>
  <si>
    <t>Rounding</t>
  </si>
  <si>
    <t>core</t>
  </si>
  <si>
    <t>HW initial investment</t>
  </si>
  <si>
    <t>Hardware Cost</t>
  </si>
  <si>
    <t>Software IBM</t>
  </si>
  <si>
    <t>Linux and other software</t>
  </si>
  <si>
    <t>233K - 582K</t>
  </si>
  <si>
    <t>Big Data Hadoop Software / year</t>
  </si>
  <si>
    <t>5b3K - 1,295 k</t>
  </si>
  <si>
    <t>1.2M - 5M</t>
  </si>
  <si>
    <t>Average Mainframe</t>
  </si>
  <si>
    <t xml:space="preserve">People Cost </t>
  </si>
  <si>
    <t>Data Trabsfer Cost</t>
  </si>
  <si>
    <t>Per Year Cost - Assuming Hardware is bought in Year 0 and Software is yearly</t>
  </si>
  <si>
    <t>Hardware Cost/year / core</t>
  </si>
  <si>
    <t>Hardware Cost Maintenance / year</t>
  </si>
  <si>
    <t>Power and cooling</t>
  </si>
  <si>
    <t>Space / Core / year</t>
  </si>
  <si>
    <t>Total Investment for 5 years</t>
  </si>
  <si>
    <t>Yearly Expenses</t>
  </si>
  <si>
    <t>Expense of core / year</t>
  </si>
  <si>
    <t>Expense for 3 years</t>
  </si>
  <si>
    <t>If someone case invest 200,000</t>
  </si>
  <si>
    <t>invest 1,592,424</t>
  </si>
  <si>
    <t>Expense / core</t>
  </si>
  <si>
    <t>Hardware cost</t>
  </si>
  <si>
    <t>Maintenance</t>
  </si>
  <si>
    <t>Z14 Cores</t>
  </si>
  <si>
    <t>X86 Cores</t>
  </si>
  <si>
    <t>&lt;500000</t>
  </si>
  <si>
    <t>&gt;500000 &lt;3000000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</si>
  <si>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</si>
  <si>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</si>
  <si>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</si>
  <si>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</si>
  <si>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</si>
  <si>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</si>
  <si>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</si>
  <si>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5-Year Costs</t>
  </si>
  <si>
    <t>Acquisition Cost of Z14 - 38 Core</t>
  </si>
  <si>
    <t>Acquisition Cost of X86 - 400 Core</t>
  </si>
  <si>
    <t>Acquisition Cost of HW - 1 Core</t>
  </si>
  <si>
    <t xml:space="preserve">Acquisition Cost of X86  per Core</t>
  </si>
  <si>
    <t>Maintenance Z14 - 38 Core</t>
  </si>
  <si>
    <t>Maintenance Cost X86</t>
  </si>
  <si>
    <t xml:space="preserve">Maintenance Z14  / Core / year</t>
  </si>
  <si>
    <t>Software Cost Z14 - 38 Core</t>
  </si>
  <si>
    <t>Software Cost Z14 / Core / Year</t>
  </si>
  <si>
    <t>Software Cost Z14 / Core</t>
  </si>
  <si>
    <t>IBM Software Cost Z14 - 38 Core</t>
  </si>
  <si>
    <t>IBM Software Cost Z14 / Core</t>
  </si>
  <si>
    <t>System Software Cost Z14 - 38 Core</t>
  </si>
  <si>
    <t>System Software Cost Z14 / Core</t>
  </si>
  <si>
    <t>Electricity Costs Z14</t>
  </si>
  <si>
    <t>Electricity Costs Z14 / core / yearb</t>
  </si>
  <si>
    <t>Space / year / core</t>
  </si>
  <si>
    <t>Administrator Cost - 5 year</t>
  </si>
  <si>
    <t>From New Data</t>
  </si>
  <si>
    <t>Yearly</t>
  </si>
  <si>
    <t>Data Transfer Cost / TB</t>
  </si>
  <si>
    <t>From Avijit</t>
  </si>
  <si>
    <t>Acquition of HW Costs / Core</t>
  </si>
  <si>
    <t>Maintenance of HW costs/ Core/ Year</t>
  </si>
  <si>
    <t>Software Costs Z14 / core / year</t>
  </si>
  <si>
    <t>IBM software cost / core / year</t>
  </si>
  <si>
    <t>System software cost / core / year</t>
  </si>
  <si>
    <t>Electricity costs / core / year</t>
  </si>
  <si>
    <t>Floor space costs / core / year</t>
  </si>
  <si>
    <t>Administrator cost / year</t>
  </si>
  <si>
    <t>Data transfer cost / TB / year</t>
  </si>
  <si>
    <t>WL 86</t>
  </si>
  <si>
    <t xml:space="preserve">System Software Cost /  year</t>
  </si>
  <si>
    <t>Year 1 Investment</t>
  </si>
  <si>
    <t>yellow colored - RAVIKIRAN working area</t>
  </si>
  <si>
    <t>Med</t>
  </si>
  <si>
    <t>Base Case</t>
  </si>
  <si>
    <t>IBM Z14</t>
  </si>
  <si>
    <t>WL X86</t>
  </si>
  <si>
    <t>Number of Primary C-level Exec</t>
  </si>
  <si>
    <t>Percentage Contribution of Primary</t>
  </si>
  <si>
    <t>Salary of the Primary C-Level Executive</t>
  </si>
  <si>
    <t xml:space="preserve">Number of Secondary C-level  Exec</t>
  </si>
  <si>
    <t>Percentage Contribution of Secondary</t>
  </si>
  <si>
    <t>Salary of the Secondary C-level executive</t>
  </si>
  <si>
    <t>Number of data Scientists</t>
  </si>
  <si>
    <t>Salary of data Scientists</t>
  </si>
  <si>
    <t>Number of data Engineers</t>
  </si>
  <si>
    <t>Salary of data engineers</t>
  </si>
  <si>
    <t>Number of Application Developers</t>
  </si>
  <si>
    <t>Salary of application Developers</t>
  </si>
  <si>
    <t>Number of business analysts</t>
  </si>
  <si>
    <t>Percentage contribution of Business Analyst</t>
  </si>
  <si>
    <t>Salary of business analysts</t>
  </si>
  <si>
    <t>Number of business users</t>
  </si>
  <si>
    <t>Percentage contribution of Bus</t>
  </si>
  <si>
    <t>Salary of other business personnel</t>
  </si>
  <si>
    <t>Estimated cost of brand value due to org trust</t>
  </si>
  <si>
    <t>Average time legal spends on inquiry</t>
  </si>
  <si>
    <t>Average salary of the legal personal</t>
  </si>
  <si>
    <t>Number of legal personnel involved</t>
  </si>
  <si>
    <t>Number of security attacks / year</t>
  </si>
  <si>
    <t>Average time to identify a breach</t>
  </si>
  <si>
    <t xml:space="preserve">Average cost of  an atack</t>
  </si>
  <si>
    <t>Number of staff involved in security</t>
  </si>
  <si>
    <t>Average rate of security personnel</t>
  </si>
  <si>
    <t>Number of staff involved in compliance</t>
  </si>
  <si>
    <t>Percentage of their contribution</t>
  </si>
  <si>
    <t>Average potental reulatory fine</t>
  </si>
  <si>
    <t>Probability of compliance fne</t>
  </si>
  <si>
    <t>Average downtime</t>
  </si>
  <si>
    <t>Downtime with z</t>
  </si>
  <si>
    <t>Average cost of downtime</t>
  </si>
  <si>
    <t>Personnel</t>
  </si>
  <si>
    <t>Yearly Salary</t>
  </si>
  <si>
    <t>Number of hours spent by legal team</t>
  </si>
  <si>
    <t>Primary C-Level Executive</t>
  </si>
  <si>
    <t>Secondary C-Level Executive</t>
  </si>
  <si>
    <t>Average legal time saved (hours) /Person</t>
  </si>
  <si>
    <t>Application Engineer</t>
  </si>
  <si>
    <t>Business Analyst</t>
  </si>
  <si>
    <t>Other buisness Personnel</t>
  </si>
  <si>
    <t>Legal Personnel</t>
  </si>
  <si>
    <t xml:space="preserve">Technical  Personnel - Security</t>
  </si>
  <si>
    <t xml:space="preserve">Technical Personnel - Compliance </t>
  </si>
  <si>
    <t>Technical Personnel - Downtime</t>
  </si>
  <si>
    <t>ROI - Z14</t>
  </si>
  <si>
    <t>ROI - X86</t>
  </si>
  <si>
    <t>Payback Z14</t>
  </si>
  <si>
    <t>Payback X86</t>
  </si>
  <si>
    <t>SA- Z14</t>
  </si>
  <si>
    <t>SA-X86</t>
  </si>
  <si>
    <t>SY - Z14</t>
  </si>
  <si>
    <t>SY-X86</t>
  </si>
  <si>
    <t>OC-Z14</t>
  </si>
  <si>
    <t>OC-X86</t>
  </si>
  <si>
    <t>CP- Z14</t>
  </si>
  <si>
    <t>CP-X86</t>
  </si>
  <si>
    <t>ITP - Z14</t>
  </si>
  <si>
    <t>ITP -X86</t>
  </si>
  <si>
    <t>OP-Z14</t>
  </si>
  <si>
    <t>OP-X86</t>
  </si>
  <si>
    <t>IR - Z14</t>
  </si>
  <si>
    <t>IR -X86</t>
  </si>
  <si>
    <t>FTV - Z14</t>
  </si>
  <si>
    <t>FTV -X86</t>
  </si>
  <si>
    <t>TE -Z14</t>
  </si>
  <si>
    <t>TE -X86</t>
  </si>
  <si>
    <t>ES - Z14</t>
  </si>
  <si>
    <t>ES-X86</t>
  </si>
  <si>
    <t>GC - Z14</t>
  </si>
  <si>
    <t>GC -X86</t>
  </si>
  <si>
    <t>RD -Z14</t>
  </si>
  <si>
    <t>RD -X86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</si>
  <si>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</si>
  <si>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</si>
  <si>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</si>
  <si>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</si>
  <si>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</si>
  <si>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</si>
  <si>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</si>
  <si>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</si>
  <si>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</si>
  <si>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</si>
  <si>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</si>
  <si>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</si>
  <si>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Values</t>
  </si>
  <si>
    <t>Payback Period</t>
  </si>
  <si>
    <t>Mainframe Risk Adjustment</t>
  </si>
  <si>
    <t>Base Case Benefits</t>
  </si>
  <si>
    <t>Percentage Improvement in Productivity Primary C-level Executives</t>
  </si>
  <si>
    <t>Percentage improvement in productivity of secondary C-level business executive</t>
  </si>
  <si>
    <t>Percentage improvement in productivity Data Engineers</t>
  </si>
  <si>
    <t>Percentage improvement in productivity of Application developer</t>
  </si>
  <si>
    <t>Percentage improvement in productivity of busienss anaysts</t>
  </si>
  <si>
    <t>Percentage improvement in the productivity of the users</t>
  </si>
  <si>
    <t>Percentage improvement in number of insights</t>
  </si>
  <si>
    <t>Percentage chance of trust avoided by environment</t>
  </si>
  <si>
    <t>Percentage reduction in the number of security incidents</t>
  </si>
  <si>
    <t>Percenatge reduction in time spent to identify and fix a breach</t>
  </si>
  <si>
    <t>% reduction in time spent by compliance</t>
  </si>
  <si>
    <t>difference</t>
  </si>
  <si>
    <t>BENEFITS and COSTS SMALL</t>
  </si>
  <si>
    <t>Improvement</t>
  </si>
  <si>
    <t>BENEFITS and COSTS MEDIUM</t>
  </si>
  <si>
    <t>BENEFITS and COSTS LARGE</t>
  </si>
  <si>
    <t>Z Small</t>
  </si>
  <si>
    <t>Z Med</t>
  </si>
  <si>
    <t>Z Large</t>
  </si>
  <si>
    <t>End-t0-End Security</t>
  </si>
  <si>
    <t xml:space="preserve">Reduction in number of attacks </t>
  </si>
  <si>
    <t>% applicable of the attack value</t>
  </si>
  <si>
    <t>Number of hours saved due to improved security</t>
  </si>
  <si>
    <t>Beenfit</t>
  </si>
  <si>
    <t>Total savings from improved organzational productivity</t>
  </si>
  <si>
    <t>Number of secuirty personnel involved</t>
  </si>
  <si>
    <t>Average hourl annual salary of secuirty personnel</t>
  </si>
  <si>
    <t>Reduced likelihood of compliance event haenning with Z14</t>
  </si>
  <si>
    <t>Networkig Costs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</si>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</sst>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00%"/>
    <numFmt numFmtId="167" formatCode="0.0%"/>
    <numFmt numFmtId="168" formatCode="_(&quot;$&quot;* #,##0_);_(&quot;$&quot;* \(#,##0\);_(&quot;$&quot;* &quot;-&quot;??_);_(@_)"/>
    <numFmt numFmtId="169" formatCode="0.0"/>
    <numFmt numFmtId="170" formatCode="&quot;$&quot;#,##0.0"/>
    <numFmt numFmtId="171" formatCode="0.0000%"/>
    <numFmt numFmtId="172" formatCode="&quot;$&quot;#,##0.0_);[Red]\(&quot;$&quot;#,##0.0\)"/>
    <numFmt numFmtId="173" formatCode="0.000"/>
    <numFmt numFmtId="174" formatCode="0.0000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strike/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4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2"/>
      <color rgb="FF333333"/>
      <name val="Arial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4"/>
      <color theme="3"/>
      <name val="Calibri Light"/>
      <family val="2"/>
      <scheme val="maj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 Light"/>
      <family val="2"/>
      <scheme val="major"/>
    </font>
    <font>
      <sz val="13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04998931852168340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44" fontId="1" fillId="0" borderId="0"/>
    <xf numFmtId="44" fontId="7" fillId="0" borderId="0"/>
    <xf numFmtId="0" fontId="24" fillId="0" borderId="36"/>
    <xf numFmtId="0" fontId="17" fillId="0" borderId="0"/>
    <xf numFmtId="0" fontId="7" fillId="0" borderId="0"/>
    <xf numFmtId="9" fontId="1" fillId="0" borderId="0"/>
    <xf numFmtId="9" fontId="7" fillId="0" borderId="0"/>
    <xf numFmtId="0" fontId="23" fillId="0" borderId="0"/>
  </cellStyleXfs>
  <cellXfs count="655">
    <xf numFmtId="0" applyNumberFormat="1" fontId="0" applyFont="1" fillId="0" applyFill="1" borderId="0" applyBorder="1" xfId="0"/>
    <xf numFmtId="44" applyNumberFormat="1" fontId="1" applyFont="1" fillId="0" applyFill="1" borderId="0" applyBorder="1" xfId="1"/>
    <xf numFmtId="44" applyNumberFormat="1" fontId="7" applyFont="1" fillId="0" applyFill="1" borderId="0" applyBorder="1" xfId="2"/>
    <xf numFmtId="0" applyNumberFormat="1" fontId="24" applyFont="1" fillId="0" applyFill="1" borderId="36" applyBorder="1" xfId="3"/>
    <xf numFmtId="0" applyNumberFormat="1" fontId="17" applyFont="1" fillId="0" applyFill="1" borderId="0" applyBorder="1" xfId="4"/>
    <xf numFmtId="0" applyNumberFormat="1" fontId="7" applyFont="1" fillId="0" applyFill="1" borderId="0" applyBorder="1" xfId="5"/>
    <xf numFmtId="9" applyNumberFormat="1" fontId="1" applyFont="1" fillId="0" applyFill="1" borderId="0" applyBorder="1" xfId="6"/>
    <xf numFmtId="9" applyNumberFormat="1" fontId="7" applyFont="1" fillId="0" applyFill="1" borderId="0" applyBorder="1" xfId="7"/>
    <xf numFmtId="0" applyNumberFormat="1" fontId="23" applyFont="1" fillId="0" applyFill="1" borderId="0" applyBorder="1" xfId="8"/>
    <xf numFmtId="0" applyNumberFormat="1" fontId="0" applyFont="1" fillId="0" applyFill="1" borderId="0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165" applyNumberFormat="1" fontId="0" applyFont="1" fillId="0" applyFill="1" borderId="0" applyBorder="1" xfId="0"/>
    <xf numFmtId="0" applyNumberFormat="1" fontId="0" applyFont="1" fillId="0" applyFill="1" borderId="10" applyBorder="1" xfId="0"/>
    <xf numFmtId="2" applyNumberFormat="1" fontId="0" applyFont="1" fillId="0" applyFill="1" borderId="0" applyBorder="1" xfId="0"/>
    <xf numFmtId="6" applyNumberFormat="1" fontId="0" applyFont="1" fillId="0" applyFill="1" borderId="0" applyBorder="1" xfId="0"/>
    <xf numFmtId="0" applyNumberFormat="1" fontId="0" applyFont="1" fillId="0" applyFill="1" borderId="6" applyBorder="1" xfId="0"/>
    <xf numFmtId="9" applyNumberFormat="1" fontId="0" applyFont="1" fillId="0" applyFill="1" borderId="0" applyBorder="1" xfId="0"/>
    <xf numFmtId="0" applyNumberFormat="1" fontId="2" applyFont="1" fillId="2" applyFill="1" borderId="1" applyBorder="1" xfId="0">
      <alignment horizontal="left" vertical="center"/>
    </xf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0" applyFill="1" borderId="9" applyBorder="1" xfId="0"/>
    <xf numFmtId="0" applyNumberFormat="1" fontId="0" applyFont="1" fillId="0" applyFill="1" borderId="11" applyBorder="1" xfId="0"/>
    <xf numFmtId="0" applyNumberFormat="1" fontId="2" applyFont="1" fillId="0" applyFill="1" borderId="0" applyBorder="1" xfId="0">
      <alignment horizontal="center" vertical="center"/>
    </xf>
    <xf numFmtId="0" applyNumberFormat="1" fontId="2" applyFont="1" fillId="0" applyFill="1" borderId="5" applyBorder="1" xfId="0">
      <alignment horizontal="center" vertical="center"/>
    </xf>
    <xf numFmtId="0" applyNumberFormat="1" fontId="0" applyFont="1" fillId="0" applyFill="1" borderId="4" applyBorder="1" xfId="0">
      <alignment horizontal="left" vertical="center"/>
    </xf>
    <xf numFmtId="0" applyNumberFormat="1" fontId="3" applyFont="1" fillId="2" applyFill="1" borderId="0" applyBorder="1" xfId="0"/>
    <xf numFmtId="0" applyNumberFormat="1" fontId="4" applyFont="1" fillId="0" applyFill="1" borderId="4" applyBorder="1" xfId="0">
      <alignment horizontal="left" vertical="center"/>
    </xf>
    <xf numFmtId="0" applyNumberFormat="1" fontId="5" applyFont="1" fillId="0" applyFill="1" borderId="0" applyBorder="1" xfId="0">
      <alignment horizontal="center" vertical="center"/>
    </xf>
    <xf numFmtId="0" applyNumberFormat="1" fontId="4" applyFont="1" fillId="0" applyFill="1" borderId="0" applyBorder="1" xfId="0"/>
    <xf numFmtId="0" applyNumberFormat="1" fontId="5" applyFont="1" fillId="2" applyFill="1" borderId="2" applyBorder="1" xfId="0">
      <alignment horizontal="center" vertical="center"/>
    </xf>
    <xf numFmtId="0" applyNumberFormat="1" fontId="4" applyFont="1" fillId="0" applyFill="1" borderId="0" applyBorder="1" xfId="0"/>
    <xf numFmtId="0" applyNumberFormat="1" fontId="4" applyFont="1" fillId="0" applyFill="1" borderId="10" applyBorder="1" xfId="0"/>
    <xf numFmtId="165" applyNumberFormat="1" fontId="5" applyFont="1" fillId="0" applyFill="1" borderId="0" applyBorder="1" xfId="0">
      <alignment horizontal="center" vertical="center"/>
    </xf>
    <xf numFmtId="165" applyNumberFormat="1" fontId="4" applyFont="1" fillId="0" applyFill="1" borderId="0" applyBorder="1" xfId="0"/>
    <xf numFmtId="0" applyNumberFormat="1" fontId="4" applyFont="1" fillId="0" applyFill="1" borderId="0" applyBorder="1" xfId="0">
      <alignment horizontal="center" vertical="center"/>
    </xf>
    <xf numFmtId="166" applyNumberFormat="1" fontId="4" applyFont="1" fillId="0" applyFill="1" borderId="0" applyBorder="1" xfId="0">
      <alignment horizontal="center" vertical="center"/>
    </xf>
    <xf numFmtId="2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0" applyBorder="1" xfId="0">
      <alignment horizontal="center" vertical="center"/>
    </xf>
    <xf numFmtId="0" applyNumberFormat="1" fontId="4" applyFont="1" fillId="0" applyFill="1" borderId="6" applyBorder="1" xfId="0">
      <alignment horizontal="left" vertical="center"/>
    </xf>
    <xf numFmtId="165" applyNumberFormat="1" fontId="4" applyFont="1" fillId="0" applyFill="1" borderId="7" applyBorder="1" xfId="0">
      <alignment horizontal="center" vertical="center"/>
    </xf>
    <xf numFmtId="9" applyNumberFormat="1" fontId="4" applyFont="1" fillId="0" applyFill="1" borderId="0" applyBorder="1" xfId="0">
      <alignment horizontal="center" vertical="center"/>
    </xf>
    <xf numFmtId="6" applyNumberFormat="1" fontId="4" applyFont="1" fillId="0" applyFill="1" borderId="0" applyBorder="1" xfId="0">
      <alignment horizontal="center" vertical="center"/>
    </xf>
    <xf numFmtId="9" applyNumberFormat="1" fontId="4" applyFont="1" fillId="0" applyFill="1" borderId="0" applyBorder="1" xfId="6">
      <alignment horizontal="center" vertical="center"/>
    </xf>
    <xf numFmtId="2" applyNumberFormat="1" fontId="4" applyFont="1" fillId="0" applyFill="1" borderId="0" applyBorder="1" xfId="6">
      <alignment horizontal="center" vertical="center"/>
    </xf>
    <xf numFmtId="0" applyNumberFormat="1" fontId="0" applyFont="1" fillId="0" applyFill="1" borderId="0" applyBorder="1" xfId="0"/>
    <xf numFmtId="165" applyNumberFormat="1" fontId="0" applyFont="1" fillId="0" applyFill="1" borderId="0" applyBorder="1" xfId="0"/>
    <xf numFmtId="164" applyNumberFormat="1" fontId="4" applyFont="1" fillId="0" applyFill="1" borderId="0" applyBorder="1" xfId="0">
      <alignment horizontal="center" vertical="center"/>
    </xf>
    <xf numFmtId="10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10" applyBorder="1" xfId="0">
      <alignment horizontal="center" vertical="center"/>
    </xf>
    <xf numFmtId="10" applyNumberFormat="1" fontId="0" applyFont="1" fillId="0" applyFill="1" borderId="0" applyBorder="1" xfId="6"/>
    <xf numFmtId="165" applyNumberFormat="1" fontId="4" applyFont="1" fillId="0" applyFill="1" borderId="0" applyBorder="1" xfId="6">
      <alignment horizontal="center" vertical="center"/>
    </xf>
    <xf numFmtId="165" applyNumberFormat="1" fontId="5" applyFont="1" fillId="0" applyFill="1" borderId="5" applyBorder="1" xfId="0">
      <alignment horizontal="center" vertical="center"/>
    </xf>
    <xf numFmtId="164" applyNumberFormat="1" fontId="5" applyFont="1" fillId="0" applyFill="1" borderId="5" applyBorder="1" xfId="0">
      <alignment horizontal="center" vertical="center"/>
    </xf>
    <xf numFmtId="0" applyNumberFormat="1" fontId="4" applyFont="1" fillId="0" applyFill="1" borderId="11" applyBorder="1" xfId="0"/>
    <xf numFmtId="165" applyNumberFormat="1" fontId="4" applyFont="1" fillId="0" applyFill="1" borderId="0" applyBorder="1" xfId="0"/>
    <xf numFmtId="0" applyNumberFormat="1" fontId="0" applyFont="1" fillId="0" applyFill="1" borderId="1" applyBorder="1" xfId="0"/>
    <xf numFmtId="0" applyNumberFormat="1" fontId="2" applyFont="1" fillId="2" applyFill="1" borderId="1" applyBorder="1" xfId="0">
      <alignment horizontal="center" vertical="center"/>
    </xf>
    <xf numFmtId="165" applyNumberFormat="1" fontId="4" applyFont="1" fillId="0" applyFill="1" borderId="7" applyBorder="1" xfId="0"/>
    <xf numFmtId="0" applyNumberFormat="1" fontId="0" applyFont="1" fillId="4" applyFill="1" borderId="14" applyBorder="1" xfId="0"/>
    <xf numFmtId="9" applyNumberFormat="1" fontId="4" applyFont="1" fillId="4" applyFill="1" borderId="15" applyBorder="1" xfId="6"/>
    <xf numFmtId="0" applyNumberFormat="1" fontId="0" applyFont="1" fillId="4" applyFill="1" borderId="16" applyBorder="1" xfId="0"/>
    <xf numFmtId="165" applyNumberFormat="1" fontId="4" applyFont="1" fillId="4" applyFill="1" borderId="17" applyBorder="1" xfId="0"/>
    <xf numFmtId="0" applyNumberFormat="1" fontId="0" applyFont="1" fillId="4" applyFill="1" borderId="18" applyBorder="1" xfId="0"/>
    <xf numFmtId="165" applyNumberFormat="1" fontId="4" applyFont="1" fillId="4" applyFill="1" borderId="19" applyBorder="1" xfId="0">
      <alignment horizontal="right"/>
    </xf>
    <xf numFmtId="164" applyNumberFormat="1" fontId="4" applyFont="1" fillId="0" applyFill="1" borderId="2" applyBorder="1" xfId="6"/>
    <xf numFmtId="165" applyNumberFormat="1" fontId="0" applyFont="1" fillId="0" applyFill="1" borderId="2" applyBorder="1" xfId="0"/>
    <xf numFmtId="165" applyNumberFormat="1" fontId="0" applyFont="1" fillId="0" applyFill="1" borderId="3" applyBorder="1" xfId="0"/>
    <xf numFmtId="165" applyNumberFormat="1" fontId="4" applyFont="1" fillId="0" applyFill="1" borderId="5" applyBorder="1" xfId="0"/>
    <xf numFmtId="0" applyNumberFormat="1" fontId="0" applyFont="1" fillId="4" applyFill="1" borderId="0" applyBorder="1" xfId="0"/>
    <xf numFmtId="0" applyNumberFormat="1" fontId="6" applyFont="1" fillId="4" applyFill="1" borderId="0" applyBorder="1" xfId="0"/>
    <xf numFmtId="0" applyNumberFormat="1" fontId="4" applyFont="1" fillId="4" applyFill="1" borderId="0" applyBorder="1" xfId="0"/>
    <xf numFmtId="0" applyNumberFormat="1" fontId="0" applyFont="1" fillId="5" applyFill="1" borderId="20" applyBorder="1" xfId="0"/>
    <xf numFmtId="0" applyNumberFormat="1" fontId="4" applyFont="1" fillId="5" applyFill="1" borderId="21" applyBorder="1" xfId="0"/>
    <xf numFmtId="0" applyNumberFormat="1" fontId="0" applyFont="1" fillId="5" applyFill="1" borderId="21" applyBorder="1" xfId="0"/>
    <xf numFmtId="0" applyNumberFormat="1" fontId="0" applyFont="1" fillId="5" applyFill="1" borderId="22" applyBorder="1" xfId="0"/>
    <xf numFmtId="0" applyNumberFormat="1" fontId="0" applyFont="1" fillId="6" applyFill="1" borderId="20" applyBorder="1" xfId="0"/>
    <xf numFmtId="0" applyNumberFormat="1" fontId="4" applyFont="1" fillId="6" applyFill="1" borderId="21" applyBorder="1" xfId="0"/>
    <xf numFmtId="0" applyNumberFormat="1" fontId="0" applyFont="1" fillId="6" applyFill="1" borderId="21" applyBorder="1" xfId="0"/>
    <xf numFmtId="0" applyNumberFormat="1" fontId="0" applyFont="1" fillId="6" applyFill="1" borderId="22" applyBorder="1" xfId="0"/>
    <xf numFmtId="0" applyNumberFormat="1" fontId="0" applyFont="1" fillId="7" applyFill="1" borderId="20" applyBorder="1" xfId="0"/>
    <xf numFmtId="0" applyNumberFormat="1" fontId="4" applyFont="1" fillId="7" applyFill="1" borderId="21" applyBorder="1" xfId="0"/>
    <xf numFmtId="6" applyNumberFormat="1" fontId="0" applyFont="1" fillId="7" applyFill="1" borderId="21" applyBorder="1" xfId="0"/>
    <xf numFmtId="0" applyNumberFormat="1" fontId="0" applyFont="1" fillId="7" applyFill="1" borderId="21" applyBorder="1" xfId="0"/>
    <xf numFmtId="0" applyNumberFormat="1" fontId="0" applyFont="1" fillId="7" applyFill="1" borderId="22" applyBorder="1" xfId="0"/>
    <xf numFmtId="165" applyNumberFormat="1" fontId="0" applyFont="1" fillId="5" applyFill="1" borderId="21" applyBorder="1" xfId="0"/>
    <xf numFmtId="165" applyNumberFormat="1" fontId="0" applyFont="1" fillId="6" applyFill="1" borderId="21" applyBorder="1" xfId="0"/>
    <xf numFmtId="165" applyNumberFormat="1" fontId="0" applyFont="1" fillId="7" applyFill="1" borderId="21" applyBorder="1" xfId="0"/>
    <xf numFmtId="0" applyNumberFormat="1" fontId="0" applyFont="1" fillId="7" applyFill="1" borderId="4" applyBorder="1" xfId="0"/>
    <xf numFmtId="0" applyNumberFormat="1" fontId="4" applyFont="1" fillId="7" applyFill="1" borderId="0" applyBorder="1" xfId="0"/>
    <xf numFmtId="165" applyNumberFormat="1" fontId="0" applyFont="1" fillId="7" applyFill="1" borderId="0" applyBorder="1" xfId="0"/>
    <xf numFmtId="0" applyNumberFormat="1" fontId="0" applyFont="1" fillId="7" applyFill="1" borderId="0" applyBorder="1" xfId="0"/>
    <xf numFmtId="0" applyNumberFormat="1" fontId="0" applyFont="1" fillId="7" applyFill="1" borderId="5" applyBorder="1" xfId="0"/>
    <xf numFmtId="164" applyNumberFormat="1" fontId="0" applyFont="1" fillId="5" applyFill="1" borderId="21" applyBorder="1" xfId="0"/>
    <xf numFmtId="164" applyNumberFormat="1" fontId="4" applyFont="1" fillId="6" applyFill="1" borderId="21" applyBorder="1" xfId="0"/>
    <xf numFmtId="165" applyNumberFormat="1" fontId="4" applyFont="1" fillId="0" applyFill="1" borderId="0" applyBorder="1" xfId="0">
      <alignment horizontal="center"/>
    </xf>
    <xf numFmtId="165" applyNumberFormat="1" fontId="4" applyFont="1" fillId="6" applyFill="1" borderId="21" applyBorder="1" xfId="0"/>
    <xf numFmtId="165" applyNumberFormat="1" fontId="4" applyFont="1" fillId="6" applyFill="1" borderId="21" applyBorder="1" xfId="0">
      <alignment horizontal="center"/>
    </xf>
    <xf numFmtId="165" applyNumberFormat="1" fontId="4" applyFont="1" fillId="6" applyFill="1" borderId="21" applyBorder="1" xfId="0">
      <alignment horizontal="center" vertical="center"/>
    </xf>
    <xf numFmtId="0" applyNumberFormat="1" fontId="4" applyFont="1" fillId="7" applyFill="1" borderId="4" applyBorder="1" xfId="0">
      <alignment horizontal="left" vertical="center"/>
    </xf>
    <xf numFmtId="0" applyNumberFormat="1" fontId="2" applyFont="1" fillId="7" applyFill="1" borderId="0" applyBorder="1" xfId="0">
      <alignment horizontal="center" vertical="center"/>
    </xf>
    <xf numFmtId="0" applyNumberFormat="1" fontId="2" applyFont="1" fillId="7" applyFill="1" borderId="5" applyBorder="1" xfId="0">
      <alignment horizontal="center" vertical="center"/>
    </xf>
    <xf numFmtId="0" applyNumberFormat="1" fontId="4" applyFont="1" fillId="7" applyFill="1" borderId="9" applyBorder="1" xfId="0">
      <alignment horizontal="left" vertical="center"/>
    </xf>
    <xf numFmtId="0" applyNumberFormat="1" fontId="5" applyFont="1" fillId="7" applyFill="1" borderId="10" applyBorder="1" xfId="0">
      <alignment horizontal="center" vertical="center"/>
    </xf>
    <xf numFmtId="164" applyNumberFormat="1" fontId="4" applyFont="1" fillId="7" applyFill="1" borderId="10" applyBorder="1" xfId="0">
      <alignment horizontal="center" vertical="center"/>
    </xf>
    <xf numFmtId="0" applyNumberFormat="1" fontId="2" applyFont="1" fillId="7" applyFill="1" borderId="10" applyBorder="1" xfId="0">
      <alignment horizontal="center" vertical="center"/>
    </xf>
    <xf numFmtId="0" applyNumberFormat="1" fontId="2" applyFont="1" fillId="7" applyFill="1" borderId="11" applyBorder="1" xfId="0">
      <alignment horizontal="center" vertical="center"/>
    </xf>
    <xf numFmtId="0" applyNumberFormat="1" fontId="5" applyFont="1" fillId="0" applyFill="1" borderId="7" applyBorder="1" xfId="0">
      <alignment horizontal="center" vertical="center"/>
    </xf>
    <xf numFmtId="9" applyNumberFormat="1" fontId="4" applyFont="1" fillId="0" applyFill="1" borderId="7" applyBorder="1" xfId="0">
      <alignment horizontal="center" vertical="center"/>
    </xf>
    <xf numFmtId="0" applyNumberFormat="1" fontId="2" applyFont="1" fillId="0" applyFill="1" borderId="7" applyBorder="1" xfId="0">
      <alignment horizontal="center" vertical="center"/>
    </xf>
    <xf numFmtId="0" applyNumberFormat="1" fontId="2" applyFont="1" fillId="0" applyFill="1" borderId="8" applyBorder="1" xfId="0">
      <alignment horizontal="center" vertical="center"/>
    </xf>
    <xf numFmtId="6" applyNumberFormat="1" fontId="4" applyFont="1" fillId="0" applyFill="1" borderId="7" applyBorder="1" xfId="0">
      <alignment horizontal="center" vertical="center"/>
    </xf>
    <xf numFmtId="165" applyNumberFormat="1" fontId="4" applyFont="1" fillId="7" applyFill="1" borderId="0" applyBorder="1" xfId="0">
      <alignment horizontal="center" vertical="center"/>
    </xf>
    <xf numFmtId="0" applyNumberFormat="1" fontId="4" applyFont="1" fillId="7" applyFill="1" borderId="20" applyBorder="1" xfId="0">
      <alignment horizontal="left" vertical="center"/>
    </xf>
    <xf numFmtId="165" applyNumberFormat="1" fontId="4" applyFont="1" fillId="7" applyFill="1" borderId="21" applyBorder="1" xfId="0">
      <alignment horizontal="center" vertical="center"/>
    </xf>
    <xf numFmtId="0" applyNumberFormat="1" fontId="2" applyFont="1" fillId="7" applyFill="1" borderId="21" applyBorder="1" xfId="0">
      <alignment horizontal="center" vertical="center"/>
    </xf>
    <xf numFmtId="0" applyNumberFormat="1" fontId="2" applyFont="1" fillId="7" applyFill="1" borderId="22" applyBorder="1" xfId="0">
      <alignment horizontal="center" vertical="center"/>
    </xf>
    <xf numFmtId="165" applyNumberFormat="1" fontId="4" applyFont="1" fillId="5" applyFill="1" borderId="21" applyBorder="1" xfId="0"/>
    <xf numFmtId="165" applyNumberFormat="1" fontId="4" applyFont="1" fillId="5" applyFill="1" borderId="21" applyBorder="1" xfId="0">
      <alignment horizontal="center" vertical="center"/>
    </xf>
    <xf numFmtId="9" applyNumberFormat="1" fontId="4" applyFont="1" fillId="0" applyFill="1" borderId="7" applyBorder="1" xfId="6">
      <alignment horizontal="center" vertical="center"/>
    </xf>
    <xf numFmtId="165" applyNumberFormat="1" fontId="4" applyFont="1" fillId="5" applyFill="1" borderId="21" applyBorder="1" xfId="1"/>
    <xf numFmtId="0" applyNumberFormat="1" fontId="4" applyFont="1" fillId="0" applyFill="1" borderId="0" applyBorder="1" xfId="0">
      <alignment horizontal="left" vertical="center"/>
    </xf>
    <xf numFmtId="0" applyNumberFormat="1" fontId="0" applyFont="1" fillId="5" applyFill="1" borderId="12" applyBorder="1" xfId="0"/>
    <xf numFmtId="165" applyNumberFormat="1" fontId="4" applyFont="1" fillId="5" applyFill="1" borderId="13" applyBorder="1" xfId="0"/>
    <xf numFmtId="0" applyNumberFormat="1" fontId="0" applyFont="1" fillId="5" applyFill="1" borderId="13" applyBorder="1" xfId="0"/>
    <xf numFmtId="0" applyNumberFormat="1" fontId="0" applyFont="1" fillId="5" applyFill="1" borderId="23" applyBorder="1" xfId="0"/>
    <xf numFmtId="165" applyNumberFormat="1" fontId="4" applyFont="1" fillId="5" applyFill="1" borderId="13" applyBorder="1" xfId="0">
      <alignment horizontal="center" vertical="center"/>
    </xf>
    <xf numFmtId="0" applyNumberFormat="1" fontId="4" applyFont="1" fillId="5" applyFill="1" borderId="9" applyBorder="1" xfId="0">
      <alignment horizontal="left" vertical="center"/>
    </xf>
    <xf numFmtId="165" applyNumberFormat="1" fontId="4" applyFont="1" fillId="5" applyFill="1" borderId="10" applyBorder="1" xfId="0">
      <alignment horizontal="center" vertical="center"/>
    </xf>
    <xf numFmtId="164" applyNumberFormat="1" fontId="5" applyFont="1" fillId="5" applyFill="1" borderId="23" applyBorder="1" xfId="0">
      <alignment horizontal="center" vertical="center"/>
    </xf>
    <xf numFmtId="0" applyNumberFormat="1" fontId="0" applyFont="1" fillId="5" applyFill="1" borderId="9" applyBorder="1" xfId="0">
      <alignment horizontal="left" vertical="center"/>
    </xf>
    <xf numFmtId="165" applyNumberFormat="1" fontId="4" applyFont="1" fillId="0" applyFill="1" borderId="5" applyBorder="1" xfId="0">
      <alignment horizontal="center" vertical="center"/>
    </xf>
    <xf numFmtId="0" applyNumberFormat="1" fontId="4" applyFont="1" fillId="0" applyFill="1" borderId="5" applyBorder="1" xfId="0">
      <alignment horizontal="center" vertical="center"/>
    </xf>
    <xf numFmtId="0" applyNumberFormat="1" fontId="4" applyFont="1" fillId="0" applyFill="1" borderId="7" applyBorder="1" xfId="0">
      <alignment horizontal="center" vertical="center"/>
    </xf>
    <xf numFmtId="0" applyNumberFormat="1" fontId="4" applyFont="1" fillId="5" applyFill="1" borderId="24" applyBorder="1" xfId="0">
      <alignment horizontal="left" vertical="center"/>
    </xf>
    <xf numFmtId="165" applyNumberFormat="1" fontId="4" applyFont="1" fillId="5" applyFill="1" borderId="25" applyBorder="1" xfId="6">
      <alignment horizontal="center" vertical="center"/>
    </xf>
    <xf numFmtId="165" applyNumberFormat="1" fontId="4" applyFont="1" fillId="5" applyFill="1" borderId="26" applyBorder="1" xfId="6">
      <alignment horizontal="center" vertical="center"/>
    </xf>
    <xf numFmtId="9" applyNumberFormat="1" fontId="4" applyFont="1" fillId="0" applyFill="1" borderId="8" applyBorder="1" xfId="6">
      <alignment horizontal="center" vertical="center"/>
    </xf>
    <xf numFmtId="165" applyNumberFormat="1" fontId="4" applyFont="1" fillId="5" applyFill="1" borderId="10" applyBorder="1" xfId="0"/>
    <xf numFmtId="165" applyNumberFormat="1" fontId="4" applyFont="1" fillId="5" applyFill="1" borderId="11" applyBorder="1" xfId="0"/>
    <xf numFmtId="165" applyNumberFormat="1" fontId="4" applyFont="1" fillId="5" applyFill="1" borderId="11" applyBorder="1" xfId="0">
      <alignment horizontal="center" vertical="center"/>
    </xf>
    <xf numFmtId="3" applyNumberFormat="1" fontId="0" applyFont="1" fillId="0" applyFill="1" borderId="0" applyBorder="1" xfId="0"/>
    <xf numFmtId="9" applyNumberFormat="1" fontId="0" applyFont="1" fillId="0" applyFill="1" borderId="0" applyBorder="1" xfId="0"/>
    <xf numFmtId="164" applyNumberFormat="1" fontId="0" applyFont="1" fillId="0" applyFill="1" borderId="0" applyBorder="1" xfId="0"/>
    <xf numFmtId="0" applyNumberFormat="1" fontId="0" applyFont="1" fillId="3" applyFill="1" borderId="6" applyBorder="1" xfId="0"/>
    <xf numFmtId="0" applyNumberFormat="1" fontId="4" applyFont="1" fillId="3" applyFill="1" borderId="7" applyBorder="1" xfId="0"/>
    <xf numFmtId="9" applyNumberFormat="1" fontId="0" applyFont="1" fillId="3" applyFill="1" borderId="7" applyBorder="1" xfId="0"/>
    <xf numFmtId="0" applyNumberFormat="1" fontId="0" applyFont="1" fillId="3" applyFill="1" borderId="7" applyBorder="1" xfId="0"/>
    <xf numFmtId="0" applyNumberFormat="1" fontId="0" applyFont="1" fillId="3" applyFill="1" borderId="8" applyBorder="1" xfId="0"/>
    <xf numFmtId="0" applyNumberFormat="1" fontId="4" applyFont="1" fillId="3" applyFill="1" borderId="4" applyBorder="1" xfId="0">
      <alignment horizontal="left" vertical="center"/>
    </xf>
    <xf numFmtId="9" applyNumberFormat="1" fontId="4" applyFont="1" fillId="3" applyFill="1" borderId="0" applyBorder="1" xfId="0">
      <alignment horizontal="center" vertical="center"/>
    </xf>
    <xf numFmtId="0" applyNumberFormat="1" fontId="2" applyFont="1" fillId="3" applyFill="1" borderId="0" applyBorder="1" xfId="0">
      <alignment horizontal="center" vertical="center"/>
    </xf>
    <xf numFmtId="0" applyNumberFormat="1" fontId="2" applyFont="1" fillId="3" applyFill="1" borderId="5" applyBorder="1" xfId="0">
      <alignment horizontal="center" vertical="center"/>
    </xf>
    <xf numFmtId="0" applyNumberFormat="1" fontId="4" applyFont="1" fillId="3" applyFill="1" borderId="6" applyBorder="1" xfId="0">
      <alignment horizontal="left" vertical="center"/>
    </xf>
    <xf numFmtId="0" applyNumberFormat="1" fontId="5" applyFont="1" fillId="3" applyFill="1" borderId="7" applyBorder="1" xfId="0">
      <alignment horizontal="center" vertical="center"/>
    </xf>
    <xf numFmtId="9" applyNumberFormat="1" fontId="4" applyFont="1" fillId="3" applyFill="1" borderId="7" applyBorder="1" xfId="0">
      <alignment horizontal="center" vertical="center"/>
    </xf>
    <xf numFmtId="0" applyNumberFormat="1" fontId="2" applyFont="1" fillId="3" applyFill="1" borderId="7" applyBorder="1" xfId="0">
      <alignment horizontal="center" vertical="center"/>
    </xf>
    <xf numFmtId="0" applyNumberFormat="1" fontId="2" applyFont="1" fillId="3" applyFill="1" borderId="8" applyBorder="1" xfId="0">
      <alignment horizontal="center" vertical="center"/>
    </xf>
    <xf numFmtId="0" applyNumberFormat="1" fontId="5" applyFont="1" fillId="7" applyFill="1" borderId="0" applyBorder="1" xfId="0">
      <alignment horizontal="center" vertical="center"/>
    </xf>
    <xf numFmtId="165" applyNumberFormat="1" fontId="4" applyFont="1" fillId="7" applyFill="1" borderId="10" applyBorder="1" xfId="0">
      <alignment horizontal="center" vertical="center"/>
    </xf>
    <xf numFmtId="9" applyNumberFormat="1" fontId="4" applyFont="1" fillId="3" applyFill="1" borderId="0" applyBorder="1" xfId="6">
      <alignment horizontal="center" vertical="center"/>
    </xf>
    <xf numFmtId="9" applyNumberFormat="1" fontId="4" applyFont="1" fillId="3" applyFill="1" borderId="7" applyBorder="1" xfId="6">
      <alignment horizontal="center" vertical="center"/>
    </xf>
    <xf numFmtId="9" applyNumberFormat="1" fontId="0" applyFont="1" fillId="0" applyFill="1" borderId="0" applyBorder="1" xfId="6"/>
    <xf numFmtId="0" applyNumberFormat="1" fontId="0" applyFont="1" fillId="0" applyFill="1" borderId="0" applyBorder="1" xfId="0"/>
    <xf numFmtId="0" applyNumberFormat="1" fontId="0" applyFont="1" fillId="5" applyFill="1" borderId="0" applyBorder="1" xfId="0"/>
    <xf numFmtId="165" applyNumberFormat="1" fontId="0" applyFont="1" fillId="0" applyFill="1" borderId="0" applyBorder="1" xfId="0"/>
    <xf numFmtId="0" applyNumberFormat="1" fontId="0" applyFont="1" fillId="3" applyFill="1" borderId="4" applyBorder="1" xfId="0">
      <alignment horizontal="left" vertical="center"/>
    </xf>
    <xf numFmtId="0" applyNumberFormat="1" fontId="5" applyFont="1" fillId="3" applyFill="1" borderId="0" applyBorder="1" xfId="0">
      <alignment horizontal="center" vertical="center"/>
    </xf>
    <xf numFmtId="0" applyNumberFormat="1" fontId="0" applyFont="1" fillId="4" applyFill="1" borderId="6" applyBorder="1" xfId="0"/>
    <xf numFmtId="0" applyNumberFormat="1" fontId="4" applyFont="1" fillId="4" applyFill="1" borderId="7" applyBorder="1" xfId="0"/>
    <xf numFmtId="9" applyNumberFormat="1" fontId="0" applyFont="1" fillId="4" applyFill="1" borderId="7" applyBorder="1" xfId="0"/>
    <xf numFmtId="0" applyNumberFormat="1" fontId="0" applyFont="1" fillId="4" applyFill="1" borderId="7" applyBorder="1" xfId="0"/>
    <xf numFmtId="0" applyNumberFormat="1" fontId="0" applyFont="1" fillId="4" applyFill="1" borderId="8" applyBorder="1" xfId="0"/>
    <xf numFmtId="9" applyNumberFormat="1" fontId="4" applyFont="1" fillId="4" applyFill="1" borderId="7" applyBorder="1" xfId="0">
      <alignment horizontal="center"/>
    </xf>
    <xf numFmtId="9" applyNumberFormat="1" fontId="4" applyFont="1" fillId="4" applyFill="1" borderId="7" applyBorder="1" xfId="0"/>
    <xf numFmtId="9" applyNumberFormat="1" fontId="4" applyFont="1" fillId="4" applyFill="1" borderId="7" applyBorder="1" xfId="0">
      <alignment horizontal="center" vertical="center"/>
    </xf>
    <xf numFmtId="0" applyNumberFormat="1" fontId="0" applyFont="1" fillId="4" applyFill="1" borderId="4" applyBorder="1" xfId="0"/>
    <xf numFmtId="9" applyNumberFormat="1" fontId="4" applyFont="1" fillId="4" applyFill="1" borderId="0" applyBorder="1" xfId="0"/>
    <xf numFmtId="9" applyNumberFormat="1" fontId="4" applyFont="1" fillId="4" applyFill="1" borderId="0" applyBorder="1" xfId="0">
      <alignment horizontal="center" vertical="center"/>
    </xf>
    <xf numFmtId="0" applyNumberFormat="1" fontId="0" applyFont="1" fillId="4" applyFill="1" borderId="0" applyBorder="1" xfId="0"/>
    <xf numFmtId="0" applyNumberFormat="1" fontId="0" applyFont="1" fillId="4" applyFill="1" borderId="5" applyBorder="1" xfId="0"/>
    <xf numFmtId="0" applyNumberFormat="1" fontId="7" applyFont="1" fillId="0" applyFill="1" borderId="1" applyBorder="1" xfId="5"/>
    <xf numFmtId="0" applyNumberFormat="1" fontId="7" applyFont="1" fillId="0" applyFill="1" borderId="2" applyBorder="1" xfId="5"/>
    <xf numFmtId="0" applyNumberFormat="1" fontId="7" applyFont="1" fillId="0" applyFill="1" borderId="2" applyBorder="1" xfId="5">
      <alignment horizontal="right"/>
    </xf>
    <xf numFmtId="0" applyNumberFormat="1" fontId="7" applyFont="1" fillId="0" applyFill="1" borderId="2" applyBorder="1" xfId="5"/>
    <xf numFmtId="0" applyNumberFormat="1" fontId="7" applyFont="1" fillId="0" applyFill="1" borderId="3" applyBorder="1" xfId="5"/>
    <xf numFmtId="0" applyNumberFormat="1" fontId="7" applyFont="1" fillId="0" applyFill="1" borderId="4" applyBorder="1" xfId="5"/>
    <xf numFmtId="0" applyNumberFormat="1" fontId="7" applyFont="1" fillId="0" applyFill="1" borderId="0" applyBorder="1" xfId="5"/>
    <xf numFmtId="0" applyNumberFormat="1" fontId="7" applyFont="1" fillId="0" applyFill="1" borderId="0" applyBorder="1" xfId="5"/>
    <xf numFmtId="0" applyNumberFormat="1" fontId="7" applyFont="1" fillId="0" applyFill="1" borderId="5" applyBorder="1" xfId="5"/>
    <xf numFmtId="0" applyNumberFormat="1" fontId="7" applyFont="1" fillId="0" applyFill="1" borderId="0" applyBorder="1" xfId="5"/>
    <xf numFmtId="0" applyNumberFormat="1" fontId="7" applyFont="1" fillId="0" applyFill="1" borderId="9" applyBorder="1" xfId="5"/>
    <xf numFmtId="0" applyNumberFormat="1" fontId="7" applyFont="1" fillId="0" applyFill="1" borderId="10" applyBorder="1" xfId="5"/>
    <xf numFmtId="0" applyNumberFormat="1" fontId="7" applyFont="1" fillId="0" applyFill="1" borderId="11" applyBorder="1" xfId="5"/>
    <xf numFmtId="0" applyNumberFormat="1" fontId="8" applyFont="1" fillId="0" applyFill="1" borderId="0" applyBorder="1" xfId="5"/>
    <xf numFmtId="1" applyNumberFormat="1" fontId="7" applyFont="1" fillId="0" applyFill="1" borderId="0" applyBorder="1" xfId="5"/>
    <xf numFmtId="9" applyNumberFormat="1" fontId="7" applyFont="1" fillId="0" applyFill="1" borderId="0" applyBorder="1" xfId="5"/>
    <xf numFmtId="167" applyNumberFormat="1" fontId="0" applyFont="1" fillId="0" applyFill="1" borderId="0" applyBorder="1" xfId="7"/>
    <xf numFmtId="1" applyNumberFormat="1" fontId="9" applyFont="1" fillId="8" applyFill="1" borderId="0" applyBorder="1" xfId="5"/>
    <xf numFmtId="0" applyNumberFormat="1" fontId="9" applyFont="1" fillId="8" applyFill="1" borderId="0" applyBorder="1" xfId="5"/>
    <xf numFmtId="0" applyNumberFormat="1" fontId="7" applyFont="1" fillId="8" applyFill="1" borderId="0" applyBorder="1" xfId="5"/>
    <xf numFmtId="0" applyNumberFormat="1" fontId="10" applyFont="1" fillId="0" applyFill="1" borderId="0" applyBorder="1" xfId="5"/>
    <xf numFmtId="1" applyNumberFormat="1" fontId="9" applyFont="1" fillId="0" applyFill="1" borderId="0" applyBorder="1" xfId="5"/>
    <xf numFmtId="0" applyNumberFormat="1" fontId="9" applyFont="1" fillId="0" applyFill="1" borderId="0" applyBorder="1" xfId="5"/>
    <xf numFmtId="3" applyNumberFormat="1" fontId="7" applyFont="1" fillId="0" applyFill="1" borderId="0" applyBorder="1" xfId="5"/>
    <xf numFmtId="3" applyNumberFormat="1" fontId="9" applyFont="1" fillId="8" applyFill="1" borderId="0" applyBorder="1" xfId="5"/>
    <xf numFmtId="3" applyNumberFormat="1" fontId="9" applyFont="1" fillId="0" applyFill="1" borderId="0" applyBorder="1" xfId="5"/>
    <xf numFmtId="0" applyNumberFormat="1" fontId="7" applyFont="1" fillId="5" applyFill="1" borderId="0" applyBorder="1" xfId="5"/>
    <xf numFmtId="0" applyNumberFormat="1" fontId="7" applyFont="1" fillId="5" applyFill="1" borderId="0" applyBorder="1" xfId="5"/>
    <xf numFmtId="1" applyNumberFormat="1" fontId="11" applyFont="1" fillId="0" applyFill="1" borderId="0" applyBorder="1" xfId="5"/>
    <xf numFmtId="0" applyNumberFormat="1" fontId="11" applyFont="1" fillId="0" applyFill="1" borderId="0" applyBorder="1" xfId="5"/>
    <xf numFmtId="0" applyNumberFormat="1" fontId="7" applyFont="1" fillId="0" applyFill="1" borderId="4" applyBorder="1" xfId="5"/>
    <xf numFmtId="0" applyNumberFormat="1" fontId="9" applyFont="1" fillId="0" applyFill="1" borderId="0" applyBorder="1" xfId="5"/>
    <xf numFmtId="1" applyNumberFormat="1" fontId="11" applyFont="1" fillId="0" applyFill="1" borderId="0" applyBorder="1" xfId="5"/>
    <xf numFmtId="0" applyNumberFormat="1" fontId="11" applyFont="1" fillId="0" applyFill="1" borderId="0" applyBorder="1" xfId="5"/>
    <xf numFmtId="168" applyNumberFormat="1" fontId="0" applyFont="1" fillId="0" applyFill="1" borderId="0" applyBorder="1" xfId="2"/>
    <xf numFmtId="165" applyNumberFormat="1" fontId="7" applyFont="1" fillId="0" applyFill="1" borderId="0" applyBorder="1" xfId="5"/>
    <xf numFmtId="1" applyNumberFormat="1" fontId="7" applyFont="1" fillId="0" applyFill="1" borderId="7" applyBorder="1" xfId="5"/>
    <xf numFmtId="9" applyNumberFormat="1" fontId="0" applyFont="1" fillId="0" applyFill="1" borderId="0" applyBorder="1" xfId="7"/>
    <xf numFmtId="165" applyNumberFormat="1" fontId="7" applyFont="1" fillId="0" applyFill="1" borderId="7" applyBorder="1" xfId="5"/>
    <xf numFmtId="165" applyNumberFormat="1" fontId="7" applyFont="1" fillId="0" applyFill="1" borderId="0" applyBorder="1" xfId="5"/>
    <xf numFmtId="164" applyNumberFormat="1" fontId="7" applyFont="1" fillId="0" applyFill="1" borderId="0" applyBorder="1" xfId="5"/>
    <xf numFmtId="0" applyNumberFormat="1" fontId="0" applyFont="1" fillId="0" applyFill="1" borderId="0" applyBorder="1" xfId="0">
      <alignment horizontal="left" vertical="center" readingOrder="1" indent="1"/>
    </xf>
    <xf numFmtId="0" applyNumberFormat="1" fontId="13" applyFont="1" fillId="0" applyFill="1" borderId="0" applyBorder="1" xfId="0"/>
    <xf numFmtId="0" applyNumberFormat="1" fontId="12" applyFont="1" fillId="4" applyFill="1" borderId="0" applyBorder="1" xfId="0">
      <alignment horizontal="left" vertical="center" readingOrder="1" indent="1"/>
    </xf>
    <xf numFmtId="0" applyNumberFormat="1" fontId="14" applyFont="1" fillId="4" applyFill="1" borderId="0" applyBorder="1" xfId="0">
      <alignment horizontal="left" vertical="center" readingOrder="1" indent="1"/>
    </xf>
    <xf numFmtId="0" applyNumberFormat="1" fontId="15" applyFont="1" fillId="0" applyFill="1" borderId="27" applyBorder="1" xfId="0">
      <alignment horizontal="left" vertical="center" wrapText="1" readingOrder="1" indent="3"/>
    </xf>
    <xf numFmtId="0" applyNumberFormat="1" fontId="15" applyFont="1" fillId="0" applyFill="1" borderId="28" applyBorder="1" xfId="0">
      <alignment horizontal="left" vertical="center" wrapText="1" readingOrder="1" indent="3"/>
    </xf>
    <xf numFmtId="0" applyNumberFormat="1" fontId="15" applyFont="1" fillId="0" applyFill="1" borderId="29" applyBorder="1" xfId="0">
      <alignment horizontal="left" vertical="center" wrapText="1" readingOrder="1" indent="3"/>
    </xf>
    <xf numFmtId="0" applyNumberFormat="1" fontId="15" applyFont="1" fillId="0" applyFill="1" borderId="30" applyBorder="1" xfId="0">
      <alignment horizontal="left" vertical="center" wrapText="1" readingOrder="1" indent="3"/>
    </xf>
    <xf numFmtId="0" applyNumberFormat="1" fontId="15" applyFont="1" fillId="0" applyFill="1" borderId="31" applyBorder="1" xfId="0">
      <alignment horizontal="left" vertical="center" wrapText="1" readingOrder="1" indent="3"/>
    </xf>
    <xf numFmtId="0" applyNumberFormat="1" fontId="15" applyFont="1" fillId="0" applyFill="1" borderId="32" applyBorder="1" xfId="0">
      <alignment horizontal="left" vertical="center" wrapText="1" readingOrder="1" indent="3"/>
    </xf>
    <xf numFmtId="2" applyNumberFormat="1" fontId="0" applyFont="1" fillId="0" applyFill="1" borderId="0" applyBorder="1" xfId="0"/>
    <xf numFmtId="6" applyNumberFormat="1" fontId="0" applyFont="1" fillId="0" applyFill="1" borderId="0" applyBorder="1" xfId="0"/>
    <xf numFmtId="9" applyNumberFormat="1" fontId="0" applyFont="1" fillId="0" applyFill="1" borderId="0" applyBorder="1" xfId="6"/>
    <xf numFmtId="2" applyNumberFormat="1" fontId="7" applyFont="1" fillId="0" applyFill="1" borderId="0" applyBorder="1" xfId="5"/>
    <xf numFmtId="0" applyNumberFormat="1" fontId="16" applyFont="1" fillId="2" applyFill="1" borderId="0" applyBorder="1" xfId="5">
      <alignment horizontal="center" vertical="center"/>
    </xf>
    <xf numFmtId="169" applyNumberFormat="1" fontId="7" applyFont="1" fillId="0" applyFill="1" borderId="0" applyBorder="1" xfId="5"/>
    <xf numFmtId="0" applyNumberFormat="1" fontId="7" applyFont="1" fillId="0" applyFill="1" borderId="1" applyBorder="1" xfId="5"/>
    <xf numFmtId="165" applyNumberFormat="1" fontId="7" applyFont="1" fillId="0" applyFill="1" borderId="5" applyBorder="1" xfId="5"/>
    <xf numFmtId="44" applyNumberFormat="1" fontId="7" applyFont="1" fillId="0" applyFill="1" borderId="0" applyBorder="1" xfId="1"/>
    <xf numFmtId="170" applyNumberFormat="1" fontId="7" applyFont="1" fillId="0" applyFill="1" borderId="0" applyBorder="1" xfId="5"/>
    <xf numFmtId="0" applyNumberFormat="1" fontId="18" applyFont="1" fillId="0" applyFill="1" borderId="0" applyBorder="1" xfId="0">
      <alignment vertical="center" wrapText="1"/>
    </xf>
    <xf numFmtId="0" applyNumberFormat="1" fontId="19" applyFont="1" fillId="0" applyFill="1" borderId="0" applyBorder="1" xfId="0"/>
    <xf numFmtId="0" applyNumberFormat="1" fontId="18" applyFont="1" fillId="0" applyFill="1" borderId="0" applyBorder="1" xfId="0">
      <alignment horizontal="left" vertical="center" wrapText="1" indent="1"/>
    </xf>
    <xf numFmtId="0" applyNumberFormat="1" fontId="20" applyFont="1" fillId="0" applyFill="1" borderId="0" applyBorder="1" xfId="4">
      <alignment vertical="center" wrapText="1"/>
    </xf>
    <xf numFmtId="9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center" vertical="center"/>
    </xf>
    <xf numFmtId="0" applyNumberFormat="1" fontId="2" applyFont="1" fillId="2" applyFill="1" borderId="0" applyBorder="1" xfId="0">
      <alignment horizontal="center" vertical="center"/>
    </xf>
    <xf numFmtId="0" applyNumberFormat="1" fontId="0" applyFont="1" fillId="2" applyFill="1" borderId="1" applyBorder="1" xfId="0"/>
    <xf numFmtId="0" applyNumberFormat="1" fontId="0" applyFont="1" fillId="2" applyFill="1" borderId="4" applyBorder="1" xfId="0"/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10" applyNumberFormat="1" fontId="0" applyFont="1" fillId="0" applyFill="1" borderId="0" applyBorder="1" xfId="0"/>
    <xf numFmtId="6" applyNumberFormat="1" fontId="4" applyFont="1" fillId="0" applyFill="1" borderId="0" applyBorder="1" xfId="6">
      <alignment horizontal="center" vertical="center"/>
    </xf>
    <xf numFmtId="165" applyNumberFormat="1" fontId="4" applyFont="1" fillId="3" applyFill="1" borderId="7" applyBorder="1" xfId="0">
      <alignment horizontal="center" vertical="center"/>
    </xf>
    <xf numFmtId="165" applyNumberFormat="1" fontId="4" applyFont="1" fillId="7" applyFill="1" borderId="0" applyBorder="1" xfId="6">
      <alignment horizontal="center" vertical="center"/>
    </xf>
    <xf numFmtId="0" applyNumberFormat="1" fontId="4" applyFont="1" fillId="0" applyFill="1" borderId="10" applyBorder="1" xfId="0">
      <alignment horizontal="center" vertical="center"/>
    </xf>
    <xf numFmtId="0" applyNumberFormat="1" fontId="4" applyFont="1" fillId="0" applyFill="1" borderId="11" applyBorder="1" xfId="0">
      <alignment horizontal="center" vertical="center"/>
    </xf>
    <xf numFmtId="0" applyNumberFormat="1" fontId="4" applyFont="1" fillId="0" applyFill="1" borderId="8" applyBorder="1" xfId="0">
      <alignment horizontal="center" vertical="center"/>
    </xf>
    <xf numFmtId="0" applyNumberFormat="1" fontId="0" applyFont="1" fillId="0" applyFill="1" borderId="9" applyBorder="1" xfId="0"/>
    <xf numFmtId="172" applyNumberFormat="1" fontId="4" applyFont="1" fillId="0" applyFill="1" borderId="0" applyBorder="1" xfId="0">
      <alignment horizontal="center" vertical="center"/>
    </xf>
    <xf numFmtId="165" applyNumberFormat="1" fontId="0" applyFont="1" fillId="0" applyFill="1" borderId="5" applyBorder="1" xfId="0"/>
    <xf numFmtId="0" applyNumberFormat="1" fontId="2" applyFont="1" fillId="2" applyFill="1" borderId="3" applyBorder="1" xfId="0"/>
    <xf numFmtId="6" applyNumberFormat="1" fontId="0" applyFont="1" fillId="0" applyFill="1" borderId="5" applyBorder="1" xfId="0"/>
    <xf numFmtId="0" applyNumberFormat="1" fontId="4" applyFont="1" fillId="0" applyFill="1" borderId="0" applyBorder="1" xfId="0"/>
    <xf numFmtId="6" applyNumberFormat="1" fontId="0" applyFont="1" fillId="0" applyFill="1" borderId="0" applyBorder="1" xfId="0"/>
    <xf numFmtId="0" applyNumberFormat="1" fontId="0" applyFont="1" fillId="0" applyFill="1" borderId="5" applyBorder="1" xfId="0"/>
    <xf numFmtId="9" applyNumberFormat="1" fontId="0" applyFont="1" fillId="0" applyFill="1" borderId="0" applyBorder="1" xfId="0"/>
    <xf numFmtId="1" applyNumberFormat="1" fontId="4" applyFont="1" fillId="0" applyFill="1" borderId="0" applyBorder="1" xfId="0"/>
    <xf numFmtId="1" applyNumberFormat="1" fontId="4" applyFont="1" fillId="0" applyFill="1" borderId="5" applyBorder="1" xfId="0"/>
    <xf numFmtId="2" applyNumberFormat="1" fontId="4" applyFont="1" fillId="4" applyFill="1" borderId="17" applyBorder="1" xfId="0">
      <alignment horizontal="right"/>
    </xf>
    <xf numFmtId="2" applyNumberFormat="1" fontId="0" applyFont="1" fillId="0" applyFill="1" borderId="0" applyBorder="1" xfId="0"/>
    <xf numFmtId="165" applyNumberFormat="1" fontId="4" applyFont="1" fillId="0" applyFill="1" borderId="8" applyBorder="1" xfId="0"/>
    <xf numFmtId="0" applyNumberFormat="1" fontId="4" applyFont="1" fillId="0" applyFill="1" borderId="9" applyBorder="1" xfId="0">
      <alignment horizontal="left" vertical="center"/>
    </xf>
    <xf numFmtId="9" applyNumberFormat="1" fontId="0" applyFont="1" fillId="0" applyFill="1" borderId="10" applyBorder="1" xfId="6"/>
    <xf numFmtId="0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/>
    <xf numFmtId="0" applyNumberFormat="1" fontId="22" applyFont="1" fillId="0" applyFill="1" borderId="0" applyBorder="1" xfId="0">
      <alignment horizontal="center" vertical="center"/>
    </xf>
    <xf numFmtId="0" applyNumberFormat="1" fontId="22" applyFont="1" fillId="0" applyFill="1" borderId="5" applyBorder="1" xfId="0">
      <alignment horizontal="center" vertical="center"/>
    </xf>
    <xf numFmtId="0" applyNumberFormat="1" fontId="4" applyFont="1" fillId="3" applyFill="1" borderId="0" applyBorder="1" xfId="0">
      <alignment horizontal="center" vertical="center"/>
    </xf>
    <xf numFmtId="0" applyNumberFormat="1" fontId="2" applyFont="1" fillId="2" applyFill="1" borderId="0" applyBorder="1" xfId="0"/>
    <xf numFmtId="2" applyNumberFormat="1" fontId="4" applyFont="1" fillId="7" applyFill="1" borderId="0" applyBorder="1" xfId="6">
      <alignment horizontal="center" vertical="center"/>
    </xf>
    <xf numFmtId="0" applyNumberFormat="1" fontId="4" applyFont="1" fillId="7" applyFill="1" borderId="6" applyBorder="1" xfId="0">
      <alignment horizontal="left" vertical="center"/>
    </xf>
    <xf numFmtId="6" applyNumberFormat="1" fontId="4" applyFont="1" fillId="7" applyFill="1" borderId="7" applyBorder="1" xfId="6">
      <alignment horizontal="center" vertical="center"/>
    </xf>
    <xf numFmtId="0" applyNumberFormat="1" fontId="2" applyFont="1" fillId="7" applyFill="1" borderId="7" applyBorder="1" xfId="0">
      <alignment horizontal="center" vertical="center"/>
    </xf>
    <xf numFmtId="0" applyNumberFormat="1" fontId="2" applyFont="1" fillId="7" applyFill="1" borderId="8" applyBorder="1" xfId="0">
      <alignment horizontal="center" vertical="center"/>
    </xf>
    <xf numFmtId="9" applyNumberFormat="1" fontId="4" applyFont="1" fillId="7" applyFill="1" borderId="0" applyBorder="1" xfId="0">
      <alignment horizontal="center" vertical="center"/>
    </xf>
    <xf numFmtId="2" applyNumberFormat="1" fontId="4" applyFont="1" fillId="7" applyFill="1" borderId="0" applyBorder="1" xfId="0">
      <alignment horizontal="center" vertical="center"/>
    </xf>
    <xf numFmtId="165" applyNumberFormat="1" fontId="4" applyFont="1" fillId="7" applyFill="1" borderId="0" applyBorder="1" xfId="0"/>
    <xf numFmtId="9" applyNumberFormat="1" fontId="4" applyFont="1" fillId="3" applyFill="1" borderId="7" applyBorder="1" xfId="6">
      <alignment horizontal="center" vertical="center"/>
    </xf>
    <xf numFmtId="0" applyNumberFormat="1" fontId="0" applyFont="1" fillId="0" applyFill="1" borderId="2" applyBorder="1" xfId="0"/>
    <xf numFmtId="9" applyNumberFormat="1" fontId="0" applyFont="1" fillId="0" applyFill="1" borderId="5" applyBorder="1" xfId="0"/>
    <xf numFmtId="6" applyNumberFormat="1" fontId="0" applyFont="1" fillId="0" applyFill="1" borderId="5" applyBorder="1" xfId="0"/>
    <xf numFmtId="6" applyNumberFormat="1" fontId="0" applyFont="1" fillId="0" applyFill="1" borderId="10" applyBorder="1" xfId="0"/>
    <xf numFmtId="6" applyNumberFormat="1" fontId="0" applyFont="1" fillId="0" applyFill="1" borderId="11" applyBorder="1" xfId="0"/>
    <xf numFmtId="2" applyNumberFormat="1" fontId="0" applyFont="1" fillId="0" applyFill="1" borderId="2" applyBorder="1" xfId="0"/>
    <xf numFmtId="2" applyNumberFormat="1" fontId="0" applyFont="1" fillId="0" applyFill="1" borderId="2" applyBorder="1" xfId="0"/>
    <xf numFmtId="2" applyNumberFormat="1" fontId="0" applyFont="1" fillId="0" applyFill="1" borderId="3" applyBorder="1" xfId="0"/>
    <xf numFmtId="165" applyNumberFormat="1" fontId="0" applyFont="1" fillId="0" applyFill="1" borderId="5" applyBorder="1" xfId="0"/>
    <xf numFmtId="2" applyNumberFormat="1" fontId="0" applyFont="1" fillId="0" applyFill="1" borderId="5" applyBorder="1" xfId="0"/>
    <xf numFmtId="165" applyNumberFormat="1" fontId="0" applyFont="1" fillId="0" applyFill="1" borderId="10" applyBorder="1" xfId="0"/>
    <xf numFmtId="165" applyNumberFormat="1" fontId="0" applyFont="1" fillId="0" applyFill="1" borderId="11" applyBorder="1" xfId="0"/>
    <xf numFmtId="2" applyNumberFormat="1" fontId="0" applyFont="1" fillId="0" applyFill="1" borderId="3" applyBorder="1" xfId="0"/>
    <xf numFmtId="9" applyNumberFormat="1" fontId="0" applyFont="1" fillId="0" applyFill="1" borderId="5" applyBorder="1" xfId="0"/>
    <xf numFmtId="2" applyNumberFormat="1" fontId="0" applyFont="1" fillId="0" applyFill="1" borderId="5" applyBorder="1" xfId="0"/>
    <xf numFmtId="0" applyNumberFormat="1" fontId="0" applyFont="1" fillId="0" applyFill="1" borderId="1" applyBorder="1" xfId="0">
      <alignment horizontal="left" vertical="center"/>
    </xf>
    <xf numFmtId="0" applyNumberFormat="1" fontId="0" applyFont="1" fillId="0" applyFill="1" borderId="10" applyBorder="1" xfId="0"/>
    <xf numFmtId="9" applyNumberFormat="1" fontId="0" applyFont="1" fillId="0" applyFill="1" borderId="10" applyBorder="1" xfId="0"/>
    <xf numFmtId="9" applyNumberFormat="1" fontId="0" applyFont="1" fillId="0" applyFill="1" borderId="11" applyBorder="1" xfId="0"/>
    <xf numFmtId="6" applyNumberFormat="1" fontId="0" applyFont="1" fillId="0" applyFill="1" borderId="2" applyBorder="1" xfId="0"/>
    <xf numFmtId="6" applyNumberFormat="1" fontId="0" applyFont="1" fillId="0" applyFill="1" borderId="2" applyBorder="1" xfId="0"/>
    <xf numFmtId="8" applyNumberFormat="1" fontId="0" applyFont="1" fillId="0" applyFill="1" borderId="2" applyBorder="1" xfId="0"/>
    <xf numFmtId="6" applyNumberFormat="1" fontId="0" applyFont="1" fillId="0" applyFill="1" borderId="3" applyBorder="1" xfId="0"/>
    <xf numFmtId="10" applyNumberFormat="1" fontId="0" applyFont="1" fillId="0" applyFill="1" borderId="0" applyBorder="1" xfId="0"/>
    <xf numFmtId="10" applyNumberFormat="1" fontId="0" applyFont="1" fillId="0" applyFill="1" borderId="0" applyBorder="1" xfId="6"/>
    <xf numFmtId="10" applyNumberFormat="1" fontId="0" applyFont="1" fillId="0" applyFill="1" borderId="5" applyBorder="1" xfId="6"/>
    <xf numFmtId="170" applyNumberFormat="1" fontId="0" applyFont="1" fillId="0" applyFill="1" borderId="0" applyBorder="1" xfId="0"/>
    <xf numFmtId="6" applyNumberFormat="1" fontId="0" applyFont="1" fillId="0" applyFill="1" borderId="10" applyBorder="1" xfId="0"/>
    <xf numFmtId="9" applyNumberFormat="1" fontId="0" applyFont="1" fillId="0" applyFill="1" borderId="10" applyBorder="1" xfId="0"/>
    <xf numFmtId="10" applyNumberFormat="1" fontId="0" applyFont="1" fillId="0" applyFill="1" borderId="10" applyBorder="1" xfId="0"/>
    <xf numFmtId="167" applyNumberFormat="1" fontId="0" applyFont="1" fillId="0" applyFill="1" borderId="10" applyBorder="1" xfId="6"/>
    <xf numFmtId="167" applyNumberFormat="1" fontId="0" applyFont="1" fillId="0" applyFill="1" borderId="11" applyBorder="1" xfId="6"/>
    <xf numFmtId="171" applyNumberFormat="1" fontId="0" applyFont="1" fillId="0" applyFill="1" borderId="2" applyBorder="1" xfId="0"/>
    <xf numFmtId="171" applyNumberFormat="1" fontId="0" applyFont="1" fillId="0" applyFill="1" borderId="2" applyBorder="1" xfId="0"/>
    <xf numFmtId="171" applyNumberFormat="1" fontId="0" applyFont="1" fillId="0" applyFill="1" borderId="3" applyBorder="1" xfId="0"/>
    <xf numFmtId="171" applyNumberFormat="1" fontId="0" applyFont="1" fillId="0" applyFill="1" borderId="0" applyBorder="1" xfId="0"/>
    <xf numFmtId="171" applyNumberFormat="1" fontId="0" applyFont="1" fillId="0" applyFill="1" borderId="5" applyBorder="1" xfId="0"/>
    <xf numFmtId="9" applyNumberFormat="1" fontId="0" applyFont="1" fillId="0" applyFill="1" borderId="2" applyBorder="1" xfId="0"/>
    <xf numFmtId="9" applyNumberFormat="1" fontId="0" applyFont="1" fillId="0" applyFill="1" borderId="3" applyBorder="1" xfId="0"/>
    <xf numFmtId="9" applyNumberFormat="1" fontId="0" applyFont="1" fillId="0" applyFill="1" borderId="11" applyBorder="1" xfId="0"/>
    <xf numFmtId="0" applyNumberFormat="1" fontId="0" applyFont="1" fillId="0" applyFill="1" borderId="33" applyBorder="1" xfId="0"/>
    <xf numFmtId="9" applyNumberFormat="1" fontId="0" applyFont="1" fillId="0" applyFill="1" borderId="34" applyBorder="1" xfId="0"/>
    <xf numFmtId="9" applyNumberFormat="1" fontId="0" applyFont="1" fillId="0" applyFill="1" borderId="35" applyBorder="1" xfId="0"/>
    <xf numFmtId="0" applyNumberFormat="1" fontId="0" applyFont="1" fillId="0" applyFill="1" borderId="33" applyBorder="1" xfId="0">
      <alignment horizontal="left" vertical="center"/>
    </xf>
    <xf numFmtId="9" applyNumberFormat="1" fontId="0" applyFont="1" fillId="0" applyFill="1" borderId="34" applyBorder="1" xfId="6"/>
    <xf numFmtId="9" applyNumberFormat="1" fontId="0" applyFont="1" fillId="0" applyFill="1" borderId="35" applyBorder="1" xfId="6"/>
    <xf numFmtId="0" applyNumberFormat="1" fontId="0" applyFont="1" fillId="0" applyFill="1" borderId="1" applyBorder="1" xfId="0"/>
    <xf numFmtId="9" applyNumberFormat="1" fontId="0" applyFont="1" fillId="0" applyFill="1" borderId="2" applyBorder="1" xfId="6"/>
    <xf numFmtId="9" applyNumberFormat="1" fontId="0" applyFont="1" fillId="0" applyFill="1" borderId="3" applyBorder="1" xfId="6"/>
    <xf numFmtId="9" applyNumberFormat="1" fontId="0" applyFont="1" fillId="0" applyFill="1" borderId="11" applyBorder="1" xfId="6"/>
    <xf numFmtId="0" applyNumberFormat="1" fontId="4" applyFont="1" fillId="0" applyFill="1" borderId="1" applyBorder="1" xfId="0">
      <alignment horizontal="left" vertical="center"/>
    </xf>
    <xf numFmtId="0" applyNumberFormat="1" fontId="3" applyFont="1" fillId="0" applyFill="1" borderId="0" applyBorder="1" xfId="0"/>
    <xf numFmtId="0" applyNumberFormat="1" fontId="25" applyFont="1" fillId="0" applyFill="1" borderId="0" applyBorder="1" xfId="8">
      <alignment horizontal="right"/>
    </xf>
    <xf numFmtId="0" applyNumberFormat="1" fontId="26" applyFont="1" fillId="0" applyFill="1" borderId="0" applyBorder="1" xfId="0">
      <alignment horizontal="left"/>
    </xf>
    <xf numFmtId="0" applyNumberFormat="1" fontId="28" applyFont="1" fillId="0" applyFill="1" borderId="0" applyBorder="1" xfId="8">
      <alignment horizontal="right"/>
    </xf>
    <xf numFmtId="0" applyNumberFormat="1" fontId="0" applyFont="1" fillId="8" applyFill="1" borderId="0" applyBorder="1" xfId="0"/>
    <xf numFmtId="9" applyNumberFormat="1" fontId="0" applyFont="1" fillId="0" applyFill="1" borderId="0" applyBorder="1" xfId="6"/>
    <xf numFmtId="166" applyNumberFormat="1" fontId="0" applyFont="1" fillId="8" applyFill="1" borderId="0" applyBorder="1" xfId="6"/>
    <xf numFmtId="9" applyNumberFormat="1" fontId="0" applyFont="1" fillId="0" applyFill="1" borderId="0" applyBorder="1" xfId="6"/>
    <xf numFmtId="9" applyNumberFormat="1" fontId="4" applyFont="1" fillId="7" applyFill="1" borderId="0" applyBorder="1" xfId="6">
      <alignment horizontal="center" vertical="center"/>
    </xf>
    <xf numFmtId="9" applyNumberFormat="1" fontId="0" applyFont="1" fillId="8" applyFill="1" borderId="0" applyBorder="1" xfId="0"/>
    <xf numFmtId="0" applyNumberFormat="1" fontId="0" applyFont="1" fillId="0" applyFill="1" borderId="7" applyBorder="1" xfId="0"/>
    <xf numFmtId="165" applyNumberFormat="1" fontId="0" applyFont="1" fillId="0" applyFill="1" borderId="7" applyBorder="1" xfId="0"/>
    <xf numFmtId="0" applyNumberFormat="1" fontId="2" applyFont="1" fillId="2" applyFill="1" borderId="2" applyBorder="1" xfId="0"/>
    <xf numFmtId="0" applyNumberFormat="1" fontId="2" applyFont="1" fillId="2" applyFill="1" borderId="5" applyBorder="1" xfId="0">
      <alignment horizontal="center" vertical="center"/>
    </xf>
    <xf numFmtId="165" applyNumberFormat="1" fontId="0" applyFont="1" fillId="0" applyFill="1" borderId="8" applyBorder="1" xfId="0"/>
    <xf numFmtId="0" applyNumberFormat="1" fontId="2" applyFont="1" fillId="0" applyFill="1" borderId="0" applyBorder="1" xfId="0"/>
    <xf numFmtId="0" applyNumberFormat="1" fontId="2" applyFont="1" fillId="0" applyFill="1" borderId="5" applyBorder="1" xfId="0"/>
    <xf numFmtId="0" applyNumberFormat="1" fontId="0" applyFont="1" fillId="5" applyFill="1" borderId="4" applyBorder="1" xfId="0"/>
    <xf numFmtId="0" applyNumberFormat="1" fontId="0" applyFont="1" fillId="5" applyFill="1" borderId="0" applyBorder="1" xfId="0"/>
    <xf numFmtId="165" applyNumberFormat="1" fontId="0" applyFont="1" fillId="5" applyFill="1" borderId="0" applyBorder="1" xfId="0"/>
    <xf numFmtId="165" applyNumberFormat="1" fontId="0" applyFont="1" fillId="5" applyFill="1" borderId="5" applyBorder="1" xfId="0"/>
    <xf numFmtId="9" applyNumberFormat="1" fontId="0" applyFont="1" fillId="5" applyFill="1" borderId="0" applyBorder="1" xfId="6"/>
    <xf numFmtId="165" applyNumberFormat="1" fontId="0" applyFont="1" fillId="0" applyFill="1" borderId="38" applyBorder="1" xfId="0"/>
    <xf numFmtId="165" applyNumberFormat="1" fontId="0" applyFont="1" fillId="0" applyFill="1" borderId="10" applyBorder="1" xfId="0"/>
    <xf numFmtId="0" applyNumberFormat="1" fontId="3" applyFont="1" fillId="2" applyFill="1" borderId="1" applyBorder="1" xfId="0"/>
    <xf numFmtId="0" applyNumberFormat="1" fontId="3" applyFont="1" fillId="2" applyFill="1" borderId="4" applyBorder="1" xfId="0"/>
    <xf numFmtId="0" applyNumberFormat="1" fontId="0" applyFont="1" fillId="4" applyFill="1" borderId="39" applyBorder="1" xfId="0"/>
    <xf numFmtId="0" applyNumberFormat="1" fontId="0" applyFont="1" fillId="4" applyFill="1" borderId="40" applyBorder="1" xfId="0"/>
    <xf numFmtId="0" applyNumberFormat="1" fontId="0" applyFont="1" fillId="4" applyFill="1" borderId="12" applyBorder="1" xfId="0"/>
    <xf numFmtId="0" applyNumberFormat="1" fontId="3" applyFont="1" fillId="2" applyFill="1" borderId="4" applyBorder="1" xfId="0">
      <alignment horizontal="center" vertical="top"/>
    </xf>
    <xf numFmtId="0" applyNumberFormat="1" fontId="3" applyFont="1" fillId="2" applyFill="1" borderId="5" applyBorder="1" xfId="0">
      <alignment horizontal="center" vertical="top"/>
    </xf>
    <xf numFmtId="0" applyNumberFormat="1" fontId="3" applyFont="1" fillId="2" applyFill="1" borderId="0" applyBorder="1" xfId="0">
      <alignment horizontal="center" vertical="top"/>
    </xf>
    <xf numFmtId="9" applyNumberFormat="1" fontId="0" applyFont="1" fillId="0" applyFill="1" borderId="4" applyBorder="1" xfId="0">
      <alignment horizontal="center" vertical="top"/>
    </xf>
    <xf numFmtId="9" applyNumberFormat="1" fontId="0" applyFont="1" fillId="0" applyFill="1" borderId="5" applyBorder="1" xfId="0">
      <alignment horizontal="center" vertical="top"/>
    </xf>
    <xf numFmtId="9" applyNumberFormat="1" fontId="0" applyFont="1" fillId="0" applyFill="1" borderId="0" applyBorder="1" xfId="0">
      <alignment horizontal="center" vertical="top"/>
    </xf>
    <xf numFmtId="165" applyNumberFormat="1" fontId="0" applyFont="1" fillId="0" applyFill="1" borderId="4" applyBorder="1" xfId="0">
      <alignment horizontal="center" vertical="top"/>
    </xf>
    <xf numFmtId="165" applyNumberFormat="1" fontId="0" applyFont="1" fillId="0" applyFill="1" borderId="5" applyBorder="1" xfId="0">
      <alignment horizontal="center" vertical="top"/>
    </xf>
    <xf numFmtId="165" applyNumberFormat="1" fontId="0" applyFont="1" fillId="0" applyFill="1" borderId="0" applyBorder="1" xfId="0">
      <alignment horizontal="center" vertical="top"/>
    </xf>
    <xf numFmtId="2" applyNumberFormat="1" fontId="0" applyFont="1" fillId="0" applyFill="1" borderId="4" applyBorder="1" xfId="0">
      <alignment horizontal="center" vertical="top"/>
    </xf>
    <xf numFmtId="2" applyNumberFormat="1" fontId="0" applyFont="1" fillId="0" applyFill="1" borderId="5" applyBorder="1" xfId="0">
      <alignment horizontal="center" vertical="top"/>
    </xf>
    <xf numFmtId="2" applyNumberFormat="1" fontId="0" applyFont="1" fillId="0" applyFill="1" borderId="0" applyBorder="1" xfId="0">
      <alignment horizontal="center" vertical="top"/>
    </xf>
    <xf numFmtId="165" applyNumberFormat="1" fontId="0" applyFont="1" fillId="0" applyFill="1" borderId="9" applyBorder="1" xfId="0">
      <alignment horizontal="center" vertical="top"/>
    </xf>
    <xf numFmtId="165" applyNumberFormat="1" fontId="0" applyFont="1" fillId="0" applyFill="1" borderId="11" applyBorder="1" xfId="0">
      <alignment horizontal="center" vertical="top"/>
    </xf>
    <xf numFmtId="165" applyNumberFormat="1" fontId="0" applyFont="1" fillId="0" applyFill="1" borderId="10" applyBorder="1" xfId="0">
      <alignment horizontal="center" vertical="top"/>
    </xf>
    <xf numFmtId="0" applyNumberFormat="1" fontId="0" applyFont="1" fillId="0" applyFill="1" borderId="0" applyBorder="1" xfId="0"/>
    <xf numFmtId="2" applyNumberFormat="1" fontId="4" applyFont="1" fillId="0" applyFill="1" borderId="0" applyBorder="1" xfId="0"/>
    <xf numFmtId="9" applyNumberFormat="1" fontId="0" applyFont="1" fillId="0" applyFill="1" borderId="5" applyBorder="1" xfId="6"/>
    <xf numFmtId="165" applyNumberFormat="1" fontId="0" applyFont="1" fillId="0" applyFill="1" borderId="11" applyBorder="1" xfId="0"/>
    <xf numFmtId="0" applyNumberFormat="1" fontId="2" applyFont="1" fillId="2" applyFill="1" borderId="4" applyBorder="1" xfId="0">
      <alignment horizontal="center" vertical="center"/>
    </xf>
    <xf numFmtId="0" applyNumberFormat="1" fontId="2" applyFont="1" fillId="2" applyFill="1" borderId="0" applyBorder="1" xfId="0">
      <alignment horizontal="left" vertical="center"/>
    </xf>
    <xf numFmtId="0" applyNumberFormat="1" fontId="0" applyFont="1" fillId="0" applyFill="1" borderId="4" applyBorder="1" xfId="0">
      <alignment horizontal="center" vertical="center"/>
    </xf>
    <xf numFmtId="0" applyNumberFormat="1" fontId="0" applyFont="1" fillId="0" applyFill="1" borderId="6" applyBorder="1" xfId="0">
      <alignment horizontal="center" vertical="center"/>
    </xf>
    <xf numFmtId="0" applyNumberFormat="1" fontId="0" applyFont="1" fillId="0" applyFill="1" borderId="9" applyBorder="1" xfId="0">
      <alignment horizontal="center" vertical="center"/>
    </xf>
    <xf numFmtId="0" applyNumberFormat="1" fontId="0" applyFont="1" fillId="5" applyFill="1" borderId="4" applyBorder="1" xfId="0">
      <alignment horizontal="center" vertical="center"/>
    </xf>
    <xf numFmtId="0" applyNumberFormat="1" fontId="3" applyFont="1" fillId="2" applyFill="1" borderId="1" applyBorder="1" xfId="0">
      <alignment horizontal="center" vertical="center"/>
    </xf>
    <xf numFmtId="0" applyNumberFormat="1" fontId="3" applyFont="1" fillId="2" applyFill="1" borderId="4" applyBorder="1" xfId="0">
      <alignment horizontal="center" vertical="center"/>
    </xf>
    <xf numFmtId="165" applyNumberFormat="1" fontId="2" applyFont="1" fillId="2" applyFill="1" borderId="0" applyBorder="1" xfId="0">
      <alignment horizontal="center" vertical="center"/>
    </xf>
    <xf numFmtId="165" applyNumberFormat="1" fontId="2" applyFont="1" fillId="2" applyFill="1" borderId="5" applyBorder="1" xfId="0">
      <alignment horizontal="center" vertical="center"/>
    </xf>
    <xf numFmtId="0" applyNumberFormat="1" fontId="2" applyFont="1" fillId="2" applyFill="1" borderId="0" applyBorder="1" xfId="0">
      <alignment horizontal="left" vertical="top"/>
    </xf>
    <xf numFmtId="165" applyNumberFormat="1" fontId="0" applyFont="1" fillId="0" applyFill="1" borderId="0" applyBorder="1" xfId="0"/>
    <xf numFmtId="0" applyNumberFormat="1" fontId="29" applyFont="1" fillId="0" applyFill="1" borderId="0" applyBorder="1" xfId="0">
      <alignment textRotation="255"/>
    </xf>
    <xf numFmtId="165" applyNumberFormat="1" fontId="0" applyFont="1" fillId="8" applyFill="1" borderId="0" applyBorder="1" xfId="0"/>
    <xf numFmtId="165" applyNumberFormat="1" fontId="0" applyFont="1" fillId="9" applyFill="1" borderId="0" applyBorder="1" xfId="0"/>
    <xf numFmtId="165" applyNumberFormat="1" fontId="0" applyFont="1" fillId="0" applyFill="1" borderId="0" applyBorder="1" xfId="6"/>
    <xf numFmtId="0" applyNumberFormat="1" fontId="0" applyFont="1" fillId="10" applyFill="1" borderId="0" applyBorder="1" xfId="0"/>
    <xf numFmtId="165" applyNumberFormat="1" fontId="0" applyFont="1" fillId="10" applyFill="1" borderId="0" applyBorder="1" xfId="0"/>
    <xf numFmtId="9" applyNumberFormat="1" fontId="0" applyFont="1" fillId="10" applyFill="1" borderId="0" applyBorder="1" xfId="6"/>
    <xf numFmtId="164" applyNumberFormat="1" fontId="0" applyFont="1" fillId="10" applyFill="1" borderId="0" applyBorder="1" xfId="0"/>
    <xf numFmtId="0" applyNumberFormat="1" fontId="21" applyFont="1" fillId="10" applyFill="1" borderId="0" applyBorder="1" xfId="0"/>
    <xf numFmtId="0" applyNumberFormat="1" fontId="0" applyFont="1" fillId="10" applyFill="1" borderId="1" applyBorder="1" xfId="0"/>
    <xf numFmtId="0" applyNumberFormat="1" fontId="0" applyFont="1" fillId="10" applyFill="1" borderId="2" applyBorder="1" xfId="0"/>
    <xf numFmtId="0" applyNumberFormat="1" fontId="0" applyFont="1" fillId="10" applyFill="1" borderId="3" applyBorder="1" xfId="0"/>
    <xf numFmtId="0" applyNumberFormat="1" fontId="0" applyFont="1" fillId="10" applyFill="1" borderId="4" applyBorder="1" xfId="0"/>
    <xf numFmtId="0" applyNumberFormat="1" fontId="0" applyFont="1" fillId="10" applyFill="1" borderId="0" applyBorder="1" xfId="0"/>
    <xf numFmtId="0" applyNumberFormat="1" fontId="0" applyFont="1" fillId="10" applyFill="1" borderId="5" applyBorder="1" xfId="0"/>
    <xf numFmtId="165" applyNumberFormat="1" fontId="0" applyFont="1" fillId="10" applyFill="1" borderId="0" applyBorder="1" xfId="0"/>
    <xf numFmtId="165" applyNumberFormat="1" fontId="0" applyFont="1" fillId="10" applyFill="1" borderId="5" applyBorder="1" xfId="0"/>
    <xf numFmtId="0" applyNumberFormat="1" fontId="0" applyFont="1" fillId="10" applyFill="1" borderId="9" applyBorder="1" xfId="0"/>
    <xf numFmtId="0" applyNumberFormat="1" fontId="0" applyFont="1" fillId="10" applyFill="1" borderId="10" applyBorder="1" xfId="0"/>
    <xf numFmtId="0" applyNumberFormat="1" fontId="0" applyFont="1" fillId="10" applyFill="1" borderId="11" applyBorder="1" xfId="0"/>
    <xf numFmtId="0" applyNumberFormat="1" fontId="3" applyFont="1" fillId="11" applyFill="1" borderId="0" applyBorder="1" xfId="0">
      <alignment horizontal="center" vertical="top"/>
    </xf>
    <xf numFmtId="0" applyNumberFormat="1" fontId="4" applyFont="1" fillId="12" applyFill="1" borderId="4" applyBorder="1" xfId="0">
      <alignment horizontal="left" vertical="center"/>
    </xf>
    <xf numFmtId="0" applyNumberFormat="1" fontId="0" applyFont="1" fillId="12" applyFill="1" borderId="0" applyBorder="1" xfId="0"/>
    <xf numFmtId="0" applyNumberFormat="1" fontId="0" applyFont="1" fillId="12" applyFill="1" borderId="4" applyBorder="1" xfId="0"/>
    <xf numFmtId="0" applyNumberFormat="1" fontId="0" applyFont="1" fillId="12" applyFill="1" borderId="5" applyBorder="1" xfId="0"/>
    <xf numFmtId="0" applyNumberFormat="1" fontId="0" applyFont="1" fillId="12" applyFill="1" borderId="9" applyBorder="1" xfId="0"/>
    <xf numFmtId="0" applyNumberFormat="1" fontId="0" applyFont="1" fillId="12" applyFill="1" borderId="10" applyBorder="1" xfId="0"/>
    <xf numFmtId="0" applyNumberFormat="1" fontId="0" applyFont="1" fillId="12" applyFill="1" borderId="11" applyBorder="1" xfId="0"/>
    <xf numFmtId="165" applyNumberFormat="1" fontId="0" applyFont="1" fillId="0" applyFill="1" borderId="4" applyBorder="1" xfId="0">
      <alignment horizontal="center" vertical="center"/>
    </xf>
    <xf numFmtId="0" applyNumberFormat="1" fontId="0" applyFont="1" fillId="4" applyFill="1" borderId="9" applyBorder="1" xfId="0"/>
    <xf numFmtId="165" applyNumberFormat="1" fontId="0" applyFont="1" fillId="0" applyFill="1" borderId="5" applyBorder="1" xfId="0">
      <alignment horizontal="center" vertical="center"/>
    </xf>
    <xf numFmtId="165" applyNumberFormat="1" fontId="0" applyFont="1" fillId="0" applyFill="1" borderId="0" applyBorder="1" xfId="0">
      <alignment horizontal="center" vertical="center"/>
    </xf>
    <xf numFmtId="165" applyNumberFormat="1" fontId="0" applyFont="1" fillId="0" applyFill="1" borderId="9" applyBorder="1" xfId="0">
      <alignment horizontal="center" vertical="center"/>
    </xf>
    <xf numFmtId="0" applyNumberFormat="1" fontId="0" applyFont="1" fillId="4" applyFill="1" borderId="41" applyBorder="1" xfId="0"/>
    <xf numFmtId="165" applyNumberFormat="1" fontId="0" applyFont="1" fillId="0" applyFill="1" borderId="6" applyBorder="1" xfId="0">
      <alignment horizontal="center" vertical="center"/>
    </xf>
    <xf numFmtId="165" applyNumberFormat="1" fontId="0" applyFont="1" fillId="0" applyFill="1" borderId="8" applyBorder="1" xfId="0">
      <alignment horizontal="center" vertical="center"/>
    </xf>
    <xf numFmtId="165" applyNumberFormat="1" fontId="0" applyFont="1" fillId="0" applyFill="1" borderId="7" applyBorder="1" xfId="0">
      <alignment horizontal="center" vertical="center"/>
    </xf>
    <xf numFmtId="10" applyNumberFormat="1" fontId="0" applyFont="1" fillId="0" applyFill="1" borderId="0" applyBorder="1" xfId="0"/>
    <xf numFmtId="167" applyNumberFormat="1" fontId="0" applyFont="1" fillId="0" applyFill="1" borderId="0" applyBorder="1" xfId="0"/>
    <xf numFmtId="9" applyNumberFormat="1" fontId="0" applyFont="1" fillId="0" applyFill="1" borderId="0" applyBorder="1" xfId="6"/>
    <xf numFmtId="0" applyNumberFormat="1" fontId="3" applyFont="1" fillId="11" applyFill="1" borderId="4" applyBorder="1" xfId="0"/>
    <xf numFmtId="0" applyNumberFormat="1" fontId="3" applyFont="1" fillId="11" applyFill="1" borderId="5" applyBorder="1" xfId="0">
      <alignment horizontal="center" vertical="top"/>
    </xf>
    <xf numFmtId="0" applyNumberFormat="1" fontId="3" applyFont="1" fillId="12" applyFill="1" borderId="0" applyBorder="1" xfId="0">
      <alignment horizontal="center" vertical="top"/>
    </xf>
    <xf numFmtId="9" applyNumberFormat="1" fontId="0" applyFont="1" fillId="12" applyFill="1" borderId="0" applyBorder="1" xfId="0"/>
    <xf numFmtId="2" applyNumberFormat="1" fontId="0" applyFont="1" fillId="12" applyFill="1" borderId="0" applyBorder="1" xfId="0"/>
    <xf numFmtId="165" applyNumberFormat="1" fontId="0" applyFont="1" fillId="12" applyFill="1" borderId="0" applyBorder="1" xfId="0"/>
    <xf numFmtId="165" applyNumberFormat="1" fontId="0" applyFont="1" fillId="12" applyFill="1" borderId="10" applyBorder="1" xfId="0"/>
    <xf numFmtId="0" applyNumberFormat="1" fontId="26" applyFont="1" fillId="0" applyFill="1" borderId="0" applyBorder="1" xfId="0"/>
    <xf numFmtId="9" applyNumberFormat="1" fontId="0" applyFont="1" fillId="0" applyFill="1" borderId="0" applyBorder="1" xfId="6">
      <alignment vertical="center"/>
    </xf>
    <xf numFmtId="2" applyNumberFormat="1" fontId="0" applyFont="1" fillId="0" applyFill="1" borderId="0" applyBorder="1" xfId="6">
      <alignment vertical="center"/>
    </xf>
    <xf numFmtId="0" applyNumberFormat="1" fontId="2" applyFont="1" fillId="2" applyFill="1" borderId="1" applyBorder="1" xfId="0"/>
    <xf numFmtId="167" applyNumberFormat="1" fontId="2" applyFont="1" fillId="2" applyFill="1" borderId="3" applyBorder="1" xfId="0">
      <alignment horizontal="center" vertical="center"/>
    </xf>
    <xf numFmtId="167" applyNumberFormat="1" fontId="3" applyFont="1" fillId="2" applyFill="1" borderId="3" applyBorder="1" xfId="0">
      <alignment horizontal="center" vertical="center"/>
    </xf>
    <xf numFmtId="167" applyNumberFormat="1" fontId="0" applyFont="1" fillId="0" applyFill="1" borderId="4" applyBorder="1" xfId="0"/>
    <xf numFmtId="167" applyNumberFormat="1" fontId="0" applyFont="1" fillId="0" applyFill="1" borderId="9" applyBorder="1" xfId="0"/>
    <xf numFmtId="167" applyNumberFormat="1" fontId="3" applyFont="1" fillId="2" applyFill="1" borderId="1" applyBorder="1" xfId="0"/>
    <xf numFmtId="167" applyNumberFormat="1" fontId="3" applyFont="1" fillId="2" applyFill="1" borderId="2" applyBorder="1" xfId="0"/>
    <xf numFmtId="167" applyNumberFormat="1" fontId="3" applyFont="1" fillId="2" applyFill="1" borderId="3" applyBorder="1" xfId="0"/>
    <xf numFmtId="167" applyNumberFormat="1" fontId="0" applyFont="1" fillId="0" applyFill="1" borderId="0" applyBorder="1" xfId="0"/>
    <xf numFmtId="167" applyNumberFormat="1" fontId="0" applyFont="1" fillId="0" applyFill="1" borderId="10" applyBorder="1" xfId="0"/>
    <xf numFmtId="167" applyNumberFormat="1" fontId="0" applyFont="1" fillId="0" applyFill="1" borderId="11" applyBorder="1" xfId="0"/>
    <xf numFmtId="165" applyNumberFormat="1" fontId="0" applyFont="1" fillId="13" applyFill="1" borderId="0" applyBorder="1" xfId="0"/>
    <xf numFmtId="165" applyNumberFormat="1" fontId="0" applyFont="1" fillId="13" applyFill="1" borderId="5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7" applyFill="1" borderId="0" applyBorder="1" xfId="0"/>
    <xf numFmtId="0" applyNumberFormat="1" fontId="3" applyFont="1" fillId="14" applyFill="1" borderId="2" applyBorder="1" xfId="0"/>
    <xf numFmtId="167" applyNumberFormat="1" fontId="3" applyFont="1" fillId="14" applyFill="1" borderId="3" applyBorder="1" xfId="0"/>
    <xf numFmtId="0" applyNumberFormat="1" fontId="5" applyFont="1" fillId="14" applyFill="1" borderId="1" applyBorder="1" xfId="0"/>
    <xf numFmtId="164" applyNumberFormat="1" fontId="0" applyFont="1" fillId="0" applyFill="1" borderId="0" applyBorder="1" xfId="6"/>
    <xf numFmtId="165" applyNumberFormat="1" fontId="0" applyFont="1" fillId="0" applyFill="1" borderId="0" applyBorder="1" xfId="6"/>
    <xf numFmtId="165" applyNumberFormat="1" fontId="0" applyFont="1" fillId="0" applyFill="1" borderId="5" applyBorder="1" xfId="6"/>
    <xf numFmtId="0" applyNumberFormat="1" fontId="3" applyFont="1" fillId="11" applyFill="1" borderId="0" applyBorder="1" xfId="0"/>
    <xf numFmtId="0" applyNumberFormat="1" fontId="2" applyFont="1" fillId="2" applyFill="1" borderId="2" applyBorder="1" xfId="0">
      <alignment horizontal="left" vertical="center"/>
    </xf>
    <xf numFmtId="0" applyNumberFormat="1" fontId="4" applyFont="1" fillId="5" applyFill="1" borderId="25" applyBorder="1" xfId="0">
      <alignment horizontal="left" vertical="center"/>
    </xf>
    <xf numFmtId="0" applyNumberFormat="1" fontId="4" applyFont="1" fillId="0" applyFill="1" borderId="7" applyBorder="1" xfId="0">
      <alignment horizontal="left" vertical="center"/>
    </xf>
    <xf numFmtId="0" applyNumberFormat="1" fontId="4" applyFont="1" fillId="5" applyFill="1" borderId="10" applyBorder="1" xfId="0">
      <alignment horizontal="left" vertical="center"/>
    </xf>
    <xf numFmtId="0" applyNumberFormat="1" fontId="0" applyFont="1" fillId="4" applyFill="1" borderId="42" applyBorder="1" xfId="0"/>
    <xf numFmtId="0" applyNumberFormat="1" fontId="0" applyFont="1" fillId="4" applyFill="1" borderId="43" applyBorder="1" xfId="0"/>
    <xf numFmtId="0" applyNumberFormat="1" fontId="0" applyFont="1" fillId="4" applyFill="1" borderId="13" applyBorder="1" xfId="0"/>
    <xf numFmtId="0" applyNumberFormat="1" fontId="3" applyFont="1" fillId="2" applyFill="1" borderId="2" applyBorder="1" xfId="0"/>
    <xf numFmtId="0" applyNumberFormat="1" fontId="5" applyFont="1" fillId="14" applyFill="1" borderId="2" applyBorder="1" xfId="0"/>
    <xf numFmtId="0" applyNumberFormat="1" fontId="0" applyFont="1" fillId="13" applyFill="1" borderId="0" applyBorder="1" xfId="0"/>
    <xf numFmtId="165" applyNumberFormat="1" fontId="0" applyFont="1" fillId="13" applyFill="1" borderId="0" applyBorder="1" xfId="6"/>
    <xf numFmtId="165" applyNumberFormat="1" fontId="0" applyFont="1" fillId="13" applyFill="1" borderId="5" applyBorder="1" xfId="6"/>
    <xf numFmtId="2" applyNumberFormat="1" fontId="4" applyFont="1" fillId="0" applyFill="1" borderId="0" applyBorder="1" xfId="0"/>
    <xf numFmtId="174" applyNumberFormat="1" fontId="4" applyFont="1" fillId="0" applyFill="1" borderId="0" applyBorder="1" xfId="0"/>
    <xf numFmtId="1" applyNumberFormat="1" fontId="0" applyFont="1" fillId="0" applyFill="1" borderId="10" applyBorder="1" xfId="0"/>
    <xf numFmtId="9" applyNumberFormat="1" fontId="4" applyFont="1" fillId="0" applyFill="1" borderId="5" applyBorder="1" xfId="6"/>
    <xf numFmtId="164" applyNumberFormat="1" fontId="0" applyFont="1" fillId="0" applyFill="1" borderId="2" applyBorder="1" xfId="0"/>
    <xf numFmtId="164" applyNumberFormat="1" fontId="0" applyFont="1" fillId="13" applyFill="1" borderId="0" applyBorder="1" xfId="6"/>
    <xf numFmtId="0" applyNumberFormat="1" fontId="3" applyFont="1" fillId="13" applyFill="1" borderId="4" applyBorder="1" xfId="0">
      <alignment horizontal="center" vertical="top"/>
    </xf>
    <xf numFmtId="9" applyNumberFormat="1" fontId="0" applyFont="1" fillId="13" applyFill="1" borderId="4" applyBorder="1" xfId="0"/>
    <xf numFmtId="2" applyNumberFormat="1" fontId="0" applyFont="1" fillId="13" applyFill="1" borderId="4" applyBorder="1" xfId="0"/>
    <xf numFmtId="165" applyNumberFormat="1" fontId="0" applyFont="1" fillId="13" applyFill="1" borderId="4" applyBorder="1" xfId="0"/>
    <xf numFmtId="165" applyNumberFormat="1" fontId="0" applyFont="1" fillId="13" applyFill="1" borderId="9" applyBorder="1" xfId="0"/>
    <xf numFmtId="0" applyNumberFormat="1" fontId="0" applyFont="1" fillId="13" applyFill="1" borderId="10" applyBorder="1" xfId="0"/>
    <xf numFmtId="0" applyNumberFormat="1" fontId="0" applyFont="1" fillId="8" applyFill="1" borderId="7" applyBorder="1" xfId="0"/>
    <xf numFmtId="165" applyNumberFormat="1" fontId="0" applyFont="1" fillId="8" applyFill="1" borderId="7" applyBorder="1" xfId="0"/>
    <xf numFmtId="165" applyNumberFormat="1" fontId="0" applyFont="1" fillId="8" applyFill="1" borderId="8" applyBorder="1" xfId="0"/>
    <xf numFmtId="165" applyNumberFormat="1" fontId="0" applyFont="1" fillId="7" applyFill="1" borderId="44" applyBorder="1" xfId="0"/>
    <xf numFmtId="165" applyNumberFormat="1" fontId="0" applyFont="1" fillId="7" applyFill="1" borderId="45" applyBorder="1" xfId="0"/>
    <xf numFmtId="9" applyNumberFormat="1" fontId="0" applyFont="1" fillId="7" applyFill="1" borderId="45" applyBorder="1" xfId="6"/>
    <xf numFmtId="0" applyNumberFormat="1" fontId="0" applyFont="1" fillId="7" applyFill="1" borderId="45" applyBorder="1" xfId="0"/>
    <xf numFmtId="164" applyNumberFormat="1" fontId="0" applyFont="1" fillId="7" applyFill="1" borderId="46" applyBorder="1" xfId="0"/>
    <xf numFmtId="165" applyNumberFormat="1" fontId="0" applyFont="1" fillId="8" applyFill="1" borderId="33" applyBorder="1" xfId="0"/>
    <xf numFmtId="165" applyNumberFormat="1" fontId="0" applyFont="1" fillId="8" applyFill="1" borderId="35" applyBorder="1" xfId="0"/>
    <xf numFmtId="165" applyNumberFormat="1" fontId="0" applyFont="1" fillId="7" applyFill="1" borderId="0" applyBorder="1" xfId="0"/>
    <xf numFmtId="165" applyNumberFormat="1" fontId="0" applyFont="1" fillId="13" applyFill="1" borderId="4" applyBorder="1" xfId="6"/>
    <xf numFmtId="9" applyNumberFormat="1" fontId="4" applyFont="1" fillId="0" applyFill="1" borderId="0" applyBorder="1" xfId="6"/>
    <xf numFmtId="165" applyNumberFormat="1" fontId="4" applyFont="1" fillId="0" applyFill="1" borderId="45" applyBorder="1" xfId="0"/>
    <xf numFmtId="165" applyNumberFormat="1" fontId="4" applyFont="1" fillId="0" applyFill="1" borderId="46" applyBorder="1" xfId="0"/>
    <xf numFmtId="2" applyNumberFormat="1" fontId="4" applyFont="1" fillId="16" applyFill="1" borderId="38" applyBorder="1" xfId="0"/>
    <xf numFmtId="9" applyNumberFormat="1" fontId="4" applyFont="1" fillId="16" applyFill="1" borderId="44" applyBorder="1" xfId="6"/>
    <xf numFmtId="173" applyNumberFormat="1" fontId="4" applyFont="1" fillId="16" applyFill="1" borderId="38" applyBorder="1" xfId="0"/>
    <xf numFmtId="9" applyNumberFormat="1" fontId="4" applyFont="1" fillId="16" applyFill="1" borderId="44" applyBorder="1" xfId="6"/>
    <xf numFmtId="0" applyNumberFormat="1" fontId="0" applyFont="1" fillId="16" applyFill="1" borderId="33" applyBorder="1" xfId="0"/>
    <xf numFmtId="165" applyNumberFormat="1" fontId="0" applyFont="1" fillId="16" applyFill="1" borderId="35" applyBorder="1" xfId="0"/>
    <xf numFmtId="0" applyNumberFormat="1" fontId="3" applyFont="1" fillId="15" applyFill="1" borderId="4" applyBorder="1" xfId="0">
      <alignment horizontal="center" vertical="center"/>
    </xf>
    <xf numFmtId="0" applyNumberFormat="1" fontId="3" applyFont="1" fillId="15" applyFill="1" borderId="0" applyBorder="1" xfId="0">
      <alignment horizontal="center" vertical="center"/>
    </xf>
    <xf numFmtId="0" applyNumberFormat="1" fontId="3" applyFont="1" fillId="15" applyFill="1" borderId="5" applyBorder="1" xfId="0">
      <alignment horizontal="center" vertical="center"/>
    </xf>
    <xf numFmtId="165" applyNumberFormat="1" fontId="0" applyFont="1" fillId="0" applyFill="1" borderId="4" applyBorder="1" xfId="0"/>
    <xf numFmtId="165" applyNumberFormat="1" fontId="0" applyFont="1" fillId="12" applyFill="1" borderId="4" applyBorder="1" xfId="0"/>
    <xf numFmtId="165" applyNumberFormat="1" fontId="0" applyFont="1" fillId="17" applyFill="1" borderId="4" applyBorder="1" xfId="0"/>
    <xf numFmtId="165" applyNumberFormat="1" fontId="0" applyFont="1" fillId="17" applyFill="1" borderId="0" applyBorder="1" xfId="0"/>
    <xf numFmtId="0" applyNumberFormat="1" fontId="0" applyFont="1" fillId="17" applyFill="1" borderId="0" applyBorder="1" xfId="0"/>
    <xf numFmtId="0" applyNumberFormat="1" fontId="0" applyFont="1" fillId="17" applyFill="1" borderId="5" applyBorder="1" xfId="0"/>
    <xf numFmtId="165" applyNumberFormat="1" fontId="0" applyFont="1" fillId="17" applyFill="1" borderId="5" applyBorder="1" xfId="0"/>
    <xf numFmtId="165" applyNumberFormat="1" fontId="0" applyFont="1" fillId="17" applyFill="1" borderId="9" applyBorder="1" xfId="0"/>
    <xf numFmtId="165" applyNumberFormat="1" fontId="0" applyFont="1" fillId="17" applyFill="1" borderId="10" applyBorder="1" xfId="0"/>
    <xf numFmtId="165" applyNumberFormat="1" fontId="0" applyFont="1" fillId="17" applyFill="1" borderId="11" applyBorder="1" xfId="0"/>
    <xf numFmtId="164" applyNumberFormat="1" fontId="0" applyFont="1" fillId="7" applyFill="1" borderId="0" applyBorder="1" xfId="0"/>
    <xf numFmtId="0" applyNumberFormat="1" fontId="3" applyFont="1" fillId="2" applyFill="1" borderId="44" applyBorder="1" xfId="0"/>
    <xf numFmtId="0" applyNumberFormat="1" fontId="3" applyFont="1" fillId="2" applyFill="1" borderId="45" applyBorder="1" xfId="0"/>
    <xf numFmtId="0" applyNumberFormat="1" fontId="3" applyFont="1" fillId="2" applyFill="1" borderId="3" applyBorder="1" xfId="0"/>
    <xf numFmtId="0" applyNumberFormat="1" fontId="3" applyFont="1" fillId="2" applyFill="1" borderId="5" applyBorder="1" xfId="0"/>
    <xf numFmtId="0" applyNumberFormat="1" fontId="0" applyFont="1" fillId="0" applyFill="1" borderId="45" applyBorder="1" xfId="0"/>
    <xf numFmtId="0" applyNumberFormat="1" fontId="0" applyFont="1" fillId="12" applyFill="1" borderId="45" applyBorder="1" xfId="0"/>
    <xf numFmtId="165" applyNumberFormat="1" fontId="0" applyFont="1" fillId="0" applyFill="1" borderId="45" applyBorder="1" xfId="0"/>
    <xf numFmtId="165" applyNumberFormat="1" fontId="0" applyFont="1" fillId="13" applyFill="1" borderId="45" applyBorder="1" xfId="0"/>
    <xf numFmtId="165" applyNumberFormat="1" fontId="0" applyFont="1" fillId="13" applyFill="1" borderId="46" applyBorder="1" xfId="0"/>
    <xf numFmtId="165" applyNumberFormat="1" fontId="0" applyFont="1" fillId="13" applyFill="1" borderId="11" applyBorder="1" xfId="0"/>
    <xf numFmtId="0" applyNumberFormat="1" fontId="0" applyFont="1" fillId="18" applyFill="1" borderId="0" applyBorder="1" xfId="0"/>
    <xf numFmtId="164" applyNumberFormat="1" fontId="0" applyFont="1" fillId="18" applyFill="1" borderId="0" applyBorder="1" xfId="0"/>
    <xf numFmtId="164" applyNumberFormat="1" fontId="0" applyFont="1" fillId="0" applyFill="1" borderId="0" applyBorder="1" xfId="0"/>
    <xf numFmtId="0" applyNumberFormat="1" fontId="0" applyFont="1" fillId="13" applyFill="1" borderId="0" applyBorder="1" xfId="0">
      <alignment horizontal="center" vertical="center"/>
    </xf>
    <xf numFmtId="0" applyNumberFormat="1" fontId="0" applyFont="1" fillId="13" applyFill="1" borderId="5" applyBorder="1" xfId="0">
      <alignment horizontal="center" vertical="center"/>
    </xf>
    <xf numFmtId="2" applyNumberFormat="1" fontId="0" applyFont="1" fillId="0" applyFill="1" borderId="5" applyBorder="1" xfId="6"/>
    <xf numFmtId="2" applyNumberFormat="1" fontId="0" applyFont="1" fillId="0" applyFill="1" borderId="10" applyBorder="1" xfId="0"/>
    <xf numFmtId="2" applyNumberFormat="1" fontId="0" applyFont="1" fillId="0" applyFill="1" borderId="11" applyBorder="1" xfId="6"/>
    <xf numFmtId="2" applyNumberFormat="1" fontId="0" applyFont="1" fillId="0" applyFill="1" borderId="0" applyBorder="1" xfId="6"/>
    <xf numFmtId="2" applyNumberFormat="1" fontId="0" applyFont="1" fillId="0" applyFill="1" borderId="10" applyBorder="1" xfId="6"/>
    <xf numFmtId="167" applyNumberFormat="1" fontId="0" applyFont="1" fillId="0" applyFill="1" borderId="0" applyBorder="1" xfId="0"/>
    <xf numFmtId="0" applyNumberFormat="1" fontId="0" applyFont="1" fillId="7" applyFill="1" borderId="9" applyBorder="1" xfId="0"/>
    <xf numFmtId="0" applyNumberFormat="1" fontId="0" applyFont="1" fillId="7" applyFill="1" borderId="10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13" applyFill="1" borderId="4" applyBorder="1" xfId="0"/>
    <xf numFmtId="0" applyNumberFormat="1" fontId="0" applyFont="1" fillId="13" applyFill="1" borderId="5" applyBorder="1" xfId="0"/>
    <xf numFmtId="165" applyNumberFormat="1" fontId="0" applyFont="1" fillId="4" applyFill="1" borderId="0" applyBorder="1" xfId="0"/>
    <xf numFmtId="165" applyNumberFormat="1" fontId="0" applyFont="1" fillId="4" applyFill="1" borderId="5" applyBorder="1" xfId="0"/>
    <xf numFmtId="165" applyNumberFormat="1" fontId="0" applyFont="1" fillId="7" applyFill="1" borderId="5" applyBorder="1" xfId="0"/>
    <xf numFmtId="173" applyNumberFormat="1" fontId="0" applyFont="1" fillId="0" applyFill="1" borderId="5" applyBorder="1" xfId="0"/>
    <xf numFmtId="0" applyNumberFormat="1" fontId="3" applyFont="1" fillId="0" applyFill="1" borderId="0" applyBorder="1" xfId="0"/>
    <xf numFmtId="167" applyNumberFormat="1" fontId="2" applyFont="1" fillId="2" applyFill="1" borderId="2" applyBorder="1" xfId="0"/>
    <xf numFmtId="167" applyNumberFormat="1" fontId="2" applyFont="1" fillId="2" applyFill="1" borderId="3" applyBorder="1" xfId="0"/>
    <xf numFmtId="164" applyNumberFormat="1" fontId="0" applyFont="1" fillId="13" applyFill="1" borderId="10" applyBorder="1" xfId="0"/>
    <xf numFmtId="164" applyNumberFormat="1" fontId="0" applyFont="1" fillId="13" applyFill="1" borderId="11" applyBorder="1" xfId="0"/>
    <xf numFmtId="0" applyNumberFormat="1" fontId="0" applyFont="1" fillId="0" applyFill="1" borderId="6" applyBorder="1" xfId="0"/>
    <xf numFmtId="0" applyNumberFormat="1" fontId="0" applyFont="1" fillId="12" applyFill="1" borderId="48" applyBorder="1" xfId="0"/>
    <xf numFmtId="0" applyNumberFormat="1" fontId="0" applyFont="1" fillId="12" applyFill="1" borderId="49" applyBorder="1" xfId="0"/>
    <xf numFmtId="165" applyNumberFormat="1" fontId="0" applyFont="1" fillId="0" applyFill="1" borderId="48" applyBorder="1" xfId="0"/>
    <xf numFmtId="165" applyNumberFormat="1" fontId="0" applyFont="1" fillId="0" applyFill="1" borderId="49" applyBorder="1" xfId="0"/>
    <xf numFmtId="165" applyNumberFormat="1" fontId="0" applyFont="1" fillId="0" applyFill="1" borderId="50" applyBorder="1" xfId="0"/>
    <xf numFmtId="165" applyNumberFormat="1" fontId="0" applyFont="1" fillId="0" applyFill="1" borderId="51" applyBorder="1" xfId="0"/>
    <xf numFmtId="165" applyNumberFormat="1" fontId="0" applyFont="1" fillId="13" applyFill="1" borderId="48" applyBorder="1" xfId="0"/>
    <xf numFmtId="165" applyNumberFormat="1" fontId="0" applyFont="1" fillId="13" applyFill="1" borderId="49" applyBorder="1" xfId="0"/>
    <xf numFmtId="0" applyNumberFormat="1" fontId="2" applyFont="1" fillId="2" applyFill="1" borderId="52" applyBorder="1" xfId="0">
      <alignment horizontal="center" vertical="center"/>
    </xf>
    <xf numFmtId="0" applyNumberFormat="1" fontId="2" applyFont="1" fillId="2" applyFill="1" borderId="53" applyBorder="1" xfId="0">
      <alignment horizontal="center" vertical="center"/>
    </xf>
    <xf numFmtId="165" applyNumberFormat="1" fontId="0" applyFont="1" fillId="13" applyFill="1" borderId="54" applyBorder="1" xfId="0"/>
    <xf numFmtId="165" applyNumberFormat="1" fontId="0" applyFont="1" fillId="13" applyFill="1" borderId="55" applyBorder="1" xfId="0"/>
    <xf numFmtId="2" applyNumberFormat="1" fontId="0" applyFont="1" fillId="0" applyFill="1" borderId="2" applyBorder="1" xfId="6"/>
    <xf numFmtId="2" applyNumberFormat="1" fontId="0" applyFont="1" fillId="0" applyFill="1" borderId="3" applyBorder="1" xfId="6"/>
    <xf numFmtId="2" applyNumberFormat="1" fontId="0" applyFont="1" fillId="0" applyFill="1" borderId="0" applyBorder="1" xfId="6"/>
    <xf numFmtId="2" applyNumberFormat="1" fontId="0" applyFont="1" fillId="0" applyFill="1" borderId="5" applyBorder="1" xfId="6"/>
    <xf numFmtId="0" applyNumberFormat="1" fontId="0" applyFont="1" fillId="0" applyFill="1" borderId="7" applyBorder="1" xfId="0"/>
    <xf numFmtId="2" applyNumberFormat="1" fontId="0" applyFont="1" fillId="0" applyFill="1" borderId="7" applyBorder="1" xfId="6"/>
    <xf numFmtId="2" applyNumberFormat="1" fontId="0" applyFont="1" fillId="0" applyFill="1" borderId="8" applyBorder="1" xfId="6"/>
    <xf numFmtId="0" applyNumberFormat="1" fontId="2" applyFont="1" fillId="2" applyFill="1" borderId="44" applyBorder="1" xfId="0">
      <alignment horizontal="center" vertical="center"/>
    </xf>
    <xf numFmtId="0" applyNumberFormat="1" fontId="0" applyFont="1" fillId="13" applyFill="1" borderId="45" applyBorder="1" xfId="0"/>
    <xf numFmtId="9" applyNumberFormat="1" fontId="0" applyFont="1" fillId="4" applyFill="1" borderId="45" applyBorder="1" xfId="6"/>
    <xf numFmtId="0" applyNumberFormat="1" fontId="0" applyFont="1" fillId="13" applyFill="1" borderId="46" applyBorder="1" xfId="0"/>
    <xf numFmtId="9" applyNumberFormat="1" fontId="0" applyFont="1" fillId="4" applyFill="1" borderId="47" applyBorder="1" xfId="6"/>
    <xf numFmtId="0" applyNumberFormat="1" fontId="0" applyFont="1" fillId="19" applyFill="1" borderId="0" applyBorder="1" xfId="0"/>
    <xf numFmtId="0" applyNumberFormat="1" fontId="4" applyFont="1" fillId="12" applyFill="1" borderId="0" applyBorder="1" xfId="0">
      <alignment horizontal="left" vertical="center"/>
    </xf>
    <xf numFmtId="0" applyNumberFormat="1" fontId="0" applyFont="1" fillId="19" applyFill="1" borderId="1" applyBorder="1" xfId="0"/>
    <xf numFmtId="0" applyNumberFormat="1" fontId="0" applyFont="1" fillId="19" applyFill="1" borderId="2" applyBorder="1" xfId="0"/>
    <xf numFmtId="0" applyNumberFormat="1" fontId="0" applyFont="1" fillId="19" applyFill="1" borderId="3" applyBorder="1" xfId="0"/>
    <xf numFmtId="2" applyNumberFormat="1" fontId="0" applyFont="1" fillId="7" applyFill="1" borderId="11" applyBorder="1" xfId="0"/>
    <xf numFmtId="0" applyNumberFormat="1" fontId="0" applyFont="1" fillId="0" applyFill="1" borderId="0" applyBorder="1" xfId="0">
      <alignment wrapText="1"/>
    </xf>
    <xf numFmtId="9" applyNumberFormat="1" fontId="4" applyFont="1" fillId="7" applyFill="1" borderId="7" applyBorder="1" xfId="6">
      <alignment horizontal="center" vertical="center"/>
    </xf>
    <xf numFmtId="164" applyNumberFormat="1" fontId="4" applyFont="1" fillId="7" applyFill="1" borderId="0" applyBorder="1" xfId="0">
      <alignment horizontal="center" vertical="center"/>
    </xf>
    <xf numFmtId="0" applyNumberFormat="1" fontId="0" applyFont="1" fillId="7" applyFill="1" borderId="0" applyBorder="1" xfId="0">
      <alignment wrapText="1"/>
    </xf>
    <xf numFmtId="0" applyNumberFormat="1" fontId="0" applyFont="1" fillId="6" applyFill="1" borderId="0" applyBorder="1" xfId="0"/>
    <xf numFmtId="165" applyNumberFormat="1" fontId="0" applyFont="1" fillId="6" applyFill="1" borderId="0" applyBorder="1" xfId="0"/>
    <xf numFmtId="165" applyNumberFormat="1" fontId="0" applyFont="1" fillId="6" applyFill="1" borderId="5" applyBorder="1" xfId="0"/>
    <xf numFmtId="165" applyNumberFormat="1" fontId="0" applyFont="1" fillId="6" applyFill="1" borderId="7" applyBorder="1" xfId="0"/>
    <xf numFmtId="165" applyNumberFormat="1" fontId="0" applyFont="1" fillId="6" applyFill="1" borderId="8" applyBorder="1" xfId="0"/>
    <xf numFmtId="164" applyNumberFormat="1" fontId="0" applyFont="1" fillId="6" applyFill="1" borderId="0" applyBorder="1" xfId="0"/>
    <xf numFmtId="164" applyNumberFormat="1" fontId="0" applyFont="1" fillId="6" applyFill="1" borderId="5" applyBorder="1" xfId="0"/>
    <xf numFmtId="164" applyNumberFormat="1" fontId="0" applyFont="1" fillId="6" applyFill="1" borderId="7" applyBorder="1" xfId="0"/>
    <xf numFmtId="164" applyNumberFormat="1" fontId="0" applyFont="1" fillId="6" applyFill="1" borderId="8" applyBorder="1" xfId="0"/>
    <xf numFmtId="9" applyNumberFormat="1" fontId="0" applyFont="1" fillId="3" applyFill="1" borderId="0" applyBorder="1" xfId="6"/>
    <xf numFmtId="9" applyNumberFormat="1" fontId="0" applyFont="1" fillId="3" applyFill="1" borderId="5" applyBorder="1" xfId="6"/>
    <xf numFmtId="2" applyNumberFormat="1" fontId="0" applyFont="1" fillId="3" applyFill="1" borderId="0" applyBorder="1" xfId="0"/>
    <xf numFmtId="2" applyNumberFormat="1" fontId="0" applyFont="1" fillId="3" applyFill="1" borderId="5" applyBorder="1" xfId="0"/>
    <xf numFmtId="0" applyNumberFormat="1" fontId="27" applyFont="1" fillId="7" applyFill="1" borderId="37" applyBorder="1" xfId="0"/>
    <xf numFmtId="0" applyNumberFormat="1" fontId="27" applyFont="1" fillId="7" applyFill="1" borderId="0" applyBorder="1" xfId="0"/>
    <xf numFmtId="165" applyNumberFormat="1" fontId="27" applyFont="1" fillId="7" applyFill="1" borderId="0" applyBorder="1" xfId="0">
      <alignment horizontal="left" vertical="top"/>
    </xf>
    <xf numFmtId="7" applyNumberFormat="1" fontId="0" applyFont="1" fillId="0" applyFill="1" borderId="0" applyBorder="1" xfId="0"/>
    <xf numFmtId="2" applyNumberFormat="1" fontId="0" applyFont="1" fillId="0" applyFill="1" borderId="0" applyBorder="1" xfId="0">
      <alignment horizontal="center"/>
    </xf>
    <xf numFmtId="9" applyNumberFormat="1" fontId="0" applyFont="1" fillId="0" applyFill="1" borderId="0" applyBorder="1" xfId="6">
      <alignment horizontal="center"/>
    </xf>
    <xf numFmtId="1" applyNumberFormat="1" fontId="0" applyFont="1" fillId="0" applyFill="1" borderId="0" applyBorder="1" xfId="0">
      <alignment horizontal="center"/>
    </xf>
    <xf numFmtId="0" applyNumberFormat="1" fontId="24" applyFont="1" fillId="0" applyFill="1" borderId="36" applyBorder="1" xfId="3">
      <alignment horizontal="left"/>
    </xf>
    <xf numFmtId="167" applyNumberFormat="1" fontId="0" applyFont="1" fillId="0" applyFill="1" borderId="0" applyBorder="1" xfId="0">
      <alignment horizontal="left" vertical="center"/>
    </xf>
    <xf numFmtId="167" applyNumberFormat="1" fontId="0" applyFont="1" fillId="0" applyFill="1" borderId="5" applyBorder="1" xfId="0">
      <alignment horizontal="left" vertical="center"/>
    </xf>
    <xf numFmtId="165" applyNumberFormat="1" fontId="0" applyFont="1" fillId="0" applyFill="1" borderId="0" applyBorder="1" xfId="0">
      <alignment horizontal="left" vertical="center" wrapText="1"/>
    </xf>
    <xf numFmtId="165" applyNumberFormat="1" fontId="0" applyFont="1" fillId="0" applyFill="1" borderId="5" applyBorder="1" xfId="0">
      <alignment horizontal="left" vertical="center" wrapText="1"/>
    </xf>
    <xf numFmtId="6" applyNumberFormat="1" fontId="3" applyFont="1" fillId="2" applyFill="1" borderId="1" applyBorder="1" xfId="0">
      <alignment horizontal="center" vertical="top"/>
    </xf>
    <xf numFmtId="6" applyNumberFormat="1" fontId="3" applyFont="1" fillId="2" applyFill="1" borderId="3" applyBorder="1" xfId="0">
      <alignment horizontal="center" vertical="top"/>
    </xf>
    <xf numFmtId="6" applyNumberFormat="1" fontId="3" applyFont="1" fillId="2" applyFill="1" borderId="0" applyBorder="1" xfId="0">
      <alignment horizontal="center" vertical="top" wrapText="1"/>
    </xf>
    <xf numFmtId="0" applyNumberFormat="1" fontId="2" applyFont="1" fillId="15" applyFill="1" borderId="1" applyBorder="1" xfId="0">
      <alignment horizontal="center"/>
    </xf>
    <xf numFmtId="0" applyNumberFormat="1" fontId="2" applyFont="1" fillId="15" applyFill="1" borderId="3" applyBorder="1" xfId="0">
      <alignment horizontal="center"/>
    </xf>
    <xf numFmtId="0" applyNumberFormat="1" fontId="3" applyFont="1" fillId="2" applyFill="1" borderId="1" applyBorder="1" xfId="0">
      <alignment horizontal="center" wrapText="1"/>
    </xf>
    <xf numFmtId="0" applyNumberFormat="1" fontId="3" applyFont="1" fillId="2" applyFill="1" borderId="3" applyBorder="1" xfId="0">
      <alignment horizontal="center" wrapText="1"/>
    </xf>
    <xf numFmtId="6" applyNumberFormat="1" fontId="3" applyFont="1" fillId="2" applyFill="1" borderId="1" applyBorder="1" xfId="0">
      <alignment horizontal="center" vertical="center"/>
    </xf>
    <xf numFmtId="6" applyNumberFormat="1" fontId="3" applyFont="1" fillId="2" applyFill="1" borderId="3" applyBorder="1" xfId="0">
      <alignment horizontal="center" vertical="center"/>
    </xf>
    <xf numFmtId="0" applyNumberFormat="1" fontId="2" applyFont="1" fillId="15" applyFill="1" borderId="2" applyBorder="1" xfId="0">
      <alignment horizontal="center"/>
    </xf>
    <xf numFmtId="0" applyNumberFormat="1" fontId="3" applyFont="1" fillId="2" applyFill="1" borderId="2" applyBorder="1" xfId="0">
      <alignment horizontal="center" wrapText="1"/>
    </xf>
    <xf numFmtId="6" applyNumberFormat="1" fontId="3" applyFont="1" fillId="2" applyFill="1" borderId="2" applyBorder="1" xfId="0">
      <alignment horizontal="center" vertical="top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2" applyFont="1" fillId="2" applyFill="1" borderId="2" applyBorder="1" xfId="0">
      <alignment horizontal="center"/>
    </xf>
    <xf numFmtId="0" applyNumberFormat="1" fontId="2" applyFont="1" fillId="2" applyFill="1" borderId="3" applyBorder="1" xfId="0">
      <alignment horizontal="center"/>
    </xf>
    <xf numFmtId="0" applyNumberFormat="1" fontId="21" applyFont="1" fillId="10" applyFill="1" borderId="0" applyBorder="1" xfId="0">
      <alignment horizontal="center"/>
    </xf>
    <xf numFmtId="0" applyNumberFormat="1" fontId="0" applyFont="1" fillId="10" applyFill="1" borderId="0" applyBorder="1" xfId="0">
      <alignment horizontal="center"/>
    </xf>
    <xf numFmtId="0" applyNumberFormat="1" fontId="29" applyFont="1" fillId="0" applyFill="1" borderId="0" applyBorder="1" xfId="0">
      <alignment horizontal="center" textRotation="255"/>
    </xf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165" applyNumberFormat="1" fontId="2" applyFont="1" fillId="2" applyFill="1" borderId="2" applyBorder="1" xfId="0">
      <alignment horizontal="center" vertical="center"/>
    </xf>
    <xf numFmtId="165" applyNumberFormat="1" fontId="2" applyFont="1" fillId="2" applyFill="1" borderId="3" applyBorder="1" xfId="0">
      <alignment horizontal="center" vertical="center"/>
    </xf>
  </cellXfs>
  <cellStyles count="9">
    <cellStyle name="Currency" xfId="1" builtinId="4"/>
    <cellStyle name="Currency 2" xfId="2"/>
    <cellStyle name="Heading 1" xfId="3" builtinId="16"/>
    <cellStyle name="Hyperlink" xfId="4" builtinId="8"/>
    <cellStyle name="Normal" xfId="0" builtinId="0"/>
    <cellStyle name="Normal 2" xfId="5"/>
    <cellStyle name="Percent" xfId="6" builtinId="5"/>
    <cellStyle name="Percent 2" xfId="7"/>
    <cellStyle name="Title" xfId="8" builtinId="15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2" Type="http://schemas.openxmlformats.org/officeDocument/2006/relationships/sharedStrings" Target="sharedStrings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between Z14 and X86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Calculator!$I$191:$I$207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68A-9C73-6ACB99752EB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Calculator!$L$191:$L$207</c:f>
              <c:numCache>
                <c:formatCode>"$"#,##0</c:formatCode>
                <c:ptCount val="17"/>
                <c:pt idx="1">
                  <c:v>1040000</c:v>
                </c:pt>
                <c:pt idx="2">
                  <c:v>582022.16026490065</c:v>
                </c:pt>
                <c:pt idx="3">
                  <c:v>267028.06000000006</c:v>
                </c:pt>
                <c:pt idx="5" formatCode="&quot;$&quot;#,##0.00">
                  <c:v>343103.58687722881</c:v>
                </c:pt>
                <c:pt idx="6" formatCode="&quot;$&quot;#,##0.00">
                  <c:v>1574606.8517575143</c:v>
                </c:pt>
                <c:pt idx="7" formatCode="&quot;$&quot;#,##0.00">
                  <c:v>1633672.4808965875</c:v>
                </c:pt>
                <c:pt idx="9" formatCode="&quot;$&quot;#,##0.00">
                  <c:v>2587661.2939378517</c:v>
                </c:pt>
                <c:pt idx="10" formatCode="&quot;$&quot;#,##0.00">
                  <c:v>1892849.8208863991</c:v>
                </c:pt>
                <c:pt idx="11" formatCode="&quot;$&quot;#,##0.00">
                  <c:v>344881.25480056624</c:v>
                </c:pt>
                <c:pt idx="13" formatCode="&quot;$&quot;#,##0.00">
                  <c:v>1676318.4735440149</c:v>
                </c:pt>
                <c:pt idx="14" formatCode="&quot;$&quot;#,##0.00">
                  <c:v>1412896.5550178301</c:v>
                </c:pt>
                <c:pt idx="15" formatCode="&quot;$&quot;#,##0.00">
                  <c:v>1238003.0037109191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68A-9C73-6ACB99752EB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Calculator!$M$191:$M$207</c:f>
              <c:numCache>
                <c:formatCode>"$"#,##0</c:formatCode>
                <c:ptCount val="17"/>
                <c:pt idx="1">
                  <c:v>1287371.157615894</c:v>
                </c:pt>
                <c:pt idx="2">
                  <c:v>2451646.2238410595</c:v>
                </c:pt>
                <c:pt idx="3">
                  <c:v>713418.06543046352</c:v>
                </c:pt>
                <c:pt idx="5" formatCode="&quot;$&quot;#,##0.00">
                  <c:v>279805.99066734593</c:v>
                </c:pt>
                <c:pt idx="6" formatCode="&quot;$&quot;#,##0.00">
                  <c:v>1279019.4400407542</c:v>
                </c:pt>
                <c:pt idx="7" formatCode="&quot;$&quot;#,##0.00">
                  <c:v>1471876.9271523182</c:v>
                </c:pt>
                <c:pt idx="9" formatCode="&quot;$&quot;#,##0.00">
                  <c:v>2313344.2869077954</c:v>
                </c:pt>
                <c:pt idx="10" formatCode="&quot;$&quot;#,##0.00">
                  <c:v>1527093.8115129911</c:v>
                </c:pt>
                <c:pt idx="11" formatCode="&quot;$&quot;#,##0.00">
                  <c:v>311499.25501314324</c:v>
                </c:pt>
                <c:pt idx="13" formatCode="&quot;$&quot;#,##0.00">
                  <c:v>1436552.4850151211</c:v>
                </c:pt>
                <c:pt idx="14" formatCode="&quot;$&quot;#,##0.00">
                  <c:v>1268471.7187977589</c:v>
                </c:pt>
                <c:pt idx="15" formatCode="&quot;$&quot;#,##0.00">
                  <c:v>880916.26982245664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68A-9C73-6ACB99752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241336"/>
        <c:axId val="170016240"/>
      </c:barChart>
      <c:catAx>
        <c:axId val="119241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16240"/>
        <c:crosses val="autoZero"/>
        <c:auto val="1"/>
        <c:lblAlgn val="ctr"/>
        <c:lblOffset val="100"/>
        <c:noMultiLvlLbl val="0"/>
      </c:catAx>
      <c:valAx>
        <c:axId val="1700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Investment</a:t>
            </a:r>
            <a:r>
              <a:rPr lang="en-US" baseline="0"/>
              <a:t> (</a:t>
            </a:r>
            <a:r>
              <a:rPr lang="en-US"/>
              <a:t>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8-4BC6-808E-9D5A9AC10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0%</c:formatCode>
                <c:ptCount val="2"/>
                <c:pt idx="0">
                  <c:v>5.8821863713775109</c:v>
                </c:pt>
                <c:pt idx="1">
                  <c:v>1.0410616023381216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8-4BC6-808E-9D5A9AC1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57016"/>
        <c:axId val="272383304"/>
      </c:barChart>
      <c:catAx>
        <c:axId val="271357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383304"/>
        <c:crosses val="autoZero"/>
        <c:auto val="1"/>
        <c:lblAlgn val="ctr"/>
        <c:lblOffset val="100"/>
        <c:noMultiLvlLbl val="0"/>
      </c:catAx>
      <c:valAx>
        <c:axId val="27238330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7135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Period (Months)</a:t>
            </a:r>
          </a:p>
        </c:rich>
      </c:tx>
      <c:layout>
        <c:manualLayout>
          <c:xMode val="edge"/>
          <c:yMode val="edge"/>
          <c:x val="0.39617140248773253"/>
          <c:y val="2.3612750885478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5B-4D13-8E3C-7D0D629D2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0.00</c:formatCode>
                <c:ptCount val="2"/>
                <c:pt idx="0">
                  <c:v>8.5694107949668616</c:v>
                </c:pt>
                <c:pt idx="1">
                  <c:v>23.827962099494158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B-4D13-8E3C-7D0D629D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1678848"/>
        <c:axId val="269573720"/>
      </c:barChart>
      <c:catAx>
        <c:axId val="27167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573720"/>
        <c:crosses val="autoZero"/>
        <c:auto val="1"/>
        <c:lblAlgn val="ctr"/>
        <c:lblOffset val="100"/>
        <c:noMultiLvlLbl val="0"/>
      </c:catAx>
      <c:valAx>
        <c:axId val="269573720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716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  <a:r>
              <a:rPr lang="en-US" baseline="0"/>
              <a:t> Four Quadrants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Results!$D$13:$D$29</c:f>
              <c:numCache>
                <c:formatCode>"$"#,##0</c:formatCode>
                <c:ptCount val="17"/>
                <c:pt idx="1">
                  <c:v>1040000</c:v>
                </c:pt>
                <c:pt idx="2">
                  <c:v>582022.16026490065</c:v>
                </c:pt>
                <c:pt idx="3">
                  <c:v>267028.06000000006</c:v>
                </c:pt>
                <c:pt idx="5">
                  <c:v>343103.58687722881</c:v>
                </c:pt>
                <c:pt idx="6">
                  <c:v>1574606.8517575143</c:v>
                </c:pt>
                <c:pt idx="7">
                  <c:v>1633672.4808965875</c:v>
                </c:pt>
                <c:pt idx="9">
                  <c:v>2587661.2939378517</c:v>
                </c:pt>
                <c:pt idx="10">
                  <c:v>1892849.8208863991</c:v>
                </c:pt>
                <c:pt idx="11">
                  <c:v>344881.25480056624</c:v>
                </c:pt>
                <c:pt idx="13">
                  <c:v>1676318.4735440149</c:v>
                </c:pt>
                <c:pt idx="14">
                  <c:v>1412896.5550178301</c:v>
                </c:pt>
                <c:pt idx="15">
                  <c:v>1238003.0037109191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C-438C-8487-D121874A4CF3}"/>
            </c:ext>
          </c:extLst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Results!$E$13:$E$29</c:f>
              <c:numCache>
                <c:formatCode>"$"#,##0</c:formatCode>
                <c:ptCount val="17"/>
                <c:pt idx="1">
                  <c:v>1287371.157615894</c:v>
                </c:pt>
                <c:pt idx="2">
                  <c:v>2451646.2238410595</c:v>
                </c:pt>
                <c:pt idx="3">
                  <c:v>713418.06543046352</c:v>
                </c:pt>
                <c:pt idx="5">
                  <c:v>279805.99066734593</c:v>
                </c:pt>
                <c:pt idx="6">
                  <c:v>1279019.4400407542</c:v>
                </c:pt>
                <c:pt idx="7">
                  <c:v>1471876.9271523182</c:v>
                </c:pt>
                <c:pt idx="9">
                  <c:v>2313344.2869077954</c:v>
                </c:pt>
                <c:pt idx="10">
                  <c:v>1527093.8115129911</c:v>
                </c:pt>
                <c:pt idx="11">
                  <c:v>311499.25501314324</c:v>
                </c:pt>
                <c:pt idx="13">
                  <c:v>1436552.4850151211</c:v>
                </c:pt>
                <c:pt idx="14">
                  <c:v>1268471.7187977589</c:v>
                </c:pt>
                <c:pt idx="15">
                  <c:v>880916.26982245664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C-438C-8487-D121874A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6688"/>
        <c:axId val="169567472"/>
      </c:barChart>
      <c:catAx>
        <c:axId val="16956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7472"/>
        <c:crosses val="autoZero"/>
        <c:auto val="1"/>
        <c:lblAlgn val="ctr"/>
        <c:lblOffset val="100"/>
        <c:noMultiLvlLbl val="0"/>
      </c:catAx>
      <c:valAx>
        <c:axId val="16956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841802251037968"/>
          <c:y val="0.92187445319335082"/>
          <c:w val="6.346156578194978E-2"/>
          <c:h val="4.3436597452345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Small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756340721381618E-2"/>
          <c:y val="0.15610518708921692"/>
          <c:w val="0.87661337113969007"/>
          <c:h val="0.630030324780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Comparision - Results'!$B$21</c:f>
              <c:strCache>
                <c:ptCount val="1"/>
                <c:pt idx="0">
                  <c:v>BENEFITS and COSTS SMALL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Results'!$B$22:$B$38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2-4735-BB15-1BE3D1FB3DF7}"/>
            </c:ext>
          </c:extLst>
        </c:ser>
        <c:ser>
          <c:idx val="1"/>
          <c:order val="1"/>
          <c:tx>
            <c:strRef>
              <c:f>' Comparision - Results'!$C$21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 Comparision - Results'!$C$22:$C$38</c:f>
              <c:numCache>
                <c:formatCode>"$"#,##0</c:formatCode>
                <c:ptCount val="17"/>
                <c:pt idx="1">
                  <c:v>668900</c:v>
                </c:pt>
                <c:pt idx="2">
                  <c:v>399378</c:v>
                </c:pt>
                <c:pt idx="3">
                  <c:v>616218.60000000009</c:v>
                </c:pt>
                <c:pt idx="5">
                  <c:v>216000</c:v>
                </c:pt>
                <c:pt idx="6">
                  <c:v>997500</c:v>
                </c:pt>
                <c:pt idx="7">
                  <c:v>975000</c:v>
                </c:pt>
                <c:pt idx="9">
                  <c:v>1680000.0000000005</c:v>
                </c:pt>
                <c:pt idx="10">
                  <c:v>1064000.0000000002</c:v>
                </c:pt>
                <c:pt idx="11">
                  <c:v>207162.51750000002</c:v>
                </c:pt>
                <c:pt idx="13">
                  <c:v>1004462.64</c:v>
                </c:pt>
                <c:pt idx="14">
                  <c:v>885000</c:v>
                </c:pt>
                <c:pt idx="15">
                  <c:v>764992.80000012112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F2-4735-BB15-1BE3D1FB3DF7}"/>
            </c:ext>
          </c:extLst>
        </c:ser>
        <c:ser>
          <c:idx val="2"/>
          <c:order val="2"/>
          <c:tx>
            <c:strRef>
              <c:f>' Comparision - Results'!$D$21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Results'!$D$22:$D$38</c:f>
              <c:numCache>
                <c:formatCode>"$"#,##0</c:formatCode>
                <c:ptCount val="17"/>
                <c:pt idx="1">
                  <c:v>957039</c:v>
                </c:pt>
                <c:pt idx="2">
                  <c:v>1682215</c:v>
                </c:pt>
                <c:pt idx="3">
                  <c:v>1638081.5999999999</c:v>
                </c:pt>
                <c:pt idx="5">
                  <c:v>179280</c:v>
                </c:pt>
                <c:pt idx="6">
                  <c:v>877800</c:v>
                </c:pt>
                <c:pt idx="7">
                  <c:v>897000</c:v>
                </c:pt>
                <c:pt idx="9">
                  <c:v>1512000.0000000002</c:v>
                </c:pt>
                <c:pt idx="10">
                  <c:v>840000</c:v>
                </c:pt>
                <c:pt idx="11">
                  <c:v>186446.26574999999</c:v>
                </c:pt>
                <c:pt idx="13">
                  <c:v>846797.30073184927</c:v>
                </c:pt>
                <c:pt idx="14">
                  <c:v>801000</c:v>
                </c:pt>
                <c:pt idx="15">
                  <c:v>546423.83999995771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F2-4735-BB15-1BE3D1FB3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8648"/>
        <c:axId val="169903728"/>
      </c:barChart>
      <c:catAx>
        <c:axId val="16956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3728"/>
        <c:crosses val="autoZero"/>
        <c:auto val="1"/>
        <c:lblAlgn val="ctr"/>
        <c:lblOffset val="100"/>
        <c:noMultiLvlLbl val="0"/>
      </c:catAx>
      <c:valAx>
        <c:axId val="1699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Medium</a:t>
            </a:r>
          </a:p>
        </c:rich>
      </c:tx>
      <c:layout>
        <c:manualLayout>
          <c:xMode val="edge"/>
          <c:yMode val="edge"/>
          <c:x val="0.42646924887125093"/>
          <c:y val="2.2298008138246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Results'!$B$41:$B$57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7-4A97-8CEF-73293971F24F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 Comparision - Results'!$C$41:$C$57</c:f>
              <c:numCache>
                <c:formatCode>"$"#,##0</c:formatCode>
                <c:ptCount val="17"/>
                <c:pt idx="1">
                  <c:v>1257800</c:v>
                </c:pt>
                <c:pt idx="2">
                  <c:v>616482</c:v>
                </c:pt>
                <c:pt idx="3">
                  <c:v>616218.60000000009</c:v>
                </c:pt>
                <c:pt idx="5">
                  <c:v>357720</c:v>
                </c:pt>
                <c:pt idx="6">
                  <c:v>1620000</c:v>
                </c:pt>
                <c:pt idx="7">
                  <c:v>1890000</c:v>
                </c:pt>
                <c:pt idx="9">
                  <c:v>2520000.0000000005</c:v>
                </c:pt>
                <c:pt idx="10">
                  <c:v>2419200.0000000005</c:v>
                </c:pt>
                <c:pt idx="11">
                  <c:v>394341.78464999999</c:v>
                </c:pt>
                <c:pt idx="13">
                  <c:v>1925331.3113347606</c:v>
                </c:pt>
                <c:pt idx="14">
                  <c:v>1488750</c:v>
                </c:pt>
                <c:pt idx="15">
                  <c:v>1340988.4800001937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7-4A97-8CEF-73293971F24F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Results'!$D$41:$D$57</c:f>
              <c:numCache>
                <c:formatCode>"$"#,##0</c:formatCode>
                <c:ptCount val="17"/>
                <c:pt idx="1">
                  <c:v>1106382</c:v>
                </c:pt>
                <c:pt idx="2">
                  <c:v>2597084</c:v>
                </c:pt>
                <c:pt idx="3">
                  <c:v>1675220.4</c:v>
                </c:pt>
                <c:pt idx="5">
                  <c:v>280800</c:v>
                </c:pt>
                <c:pt idx="6">
                  <c:v>1080000</c:v>
                </c:pt>
                <c:pt idx="7">
                  <c:v>1638000</c:v>
                </c:pt>
                <c:pt idx="9">
                  <c:v>2217600.0000000005</c:v>
                </c:pt>
                <c:pt idx="10">
                  <c:v>2016000.0000000007</c:v>
                </c:pt>
                <c:pt idx="11">
                  <c:v>358492.53150000004</c:v>
                </c:pt>
                <c:pt idx="13">
                  <c:v>1698821.7452953765</c:v>
                </c:pt>
                <c:pt idx="14">
                  <c:v>1314000</c:v>
                </c:pt>
                <c:pt idx="15">
                  <c:v>946920.23999942432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7-4A97-8CEF-73293971F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01768"/>
        <c:axId val="169901376"/>
      </c:barChart>
      <c:catAx>
        <c:axId val="169901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1376"/>
        <c:crosses val="autoZero"/>
        <c:auto val="1"/>
        <c:lblAlgn val="ctr"/>
        <c:lblOffset val="100"/>
        <c:noMultiLvlLbl val="0"/>
      </c:catAx>
      <c:valAx>
        <c:axId val="1699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Large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Comparision - Results'!$C$60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Results'!$C$61:$C$76</c:f>
              <c:numCache>
                <c:formatCode>"$"#,##0</c:formatCode>
                <c:ptCount val="16"/>
                <c:pt idx="1">
                  <c:v>2034240</c:v>
                </c:pt>
                <c:pt idx="2">
                  <c:v>894856</c:v>
                </c:pt>
                <c:pt idx="3">
                  <c:v>616218.60000000009</c:v>
                </c:pt>
                <c:pt idx="4">
                  <c:v>3545314.6</c:v>
                </c:pt>
                <c:pt idx="5">
                  <c:v>645000</c:v>
                </c:pt>
                <c:pt idx="6">
                  <c:v>2383500</c:v>
                </c:pt>
                <c:pt idx="7">
                  <c:v>3480000</c:v>
                </c:pt>
                <c:pt idx="9">
                  <c:v>2772000.0000000005</c:v>
                </c:pt>
                <c:pt idx="10">
                  <c:v>5481000.0000000009</c:v>
                </c:pt>
                <c:pt idx="11">
                  <c:v>716859.44062499993</c:v>
                </c:pt>
                <c:pt idx="13">
                  <c:v>3097566.7150684935</c:v>
                </c:pt>
                <c:pt idx="14">
                  <c:v>2025000</c:v>
                </c:pt>
                <c:pt idx="15">
                  <c:v>3909558.5280006975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D-4F2C-872F-55469F236FC0}"/>
            </c:ext>
          </c:extLst>
        </c:ser>
        <c:ser>
          <c:idx val="1"/>
          <c:order val="1"/>
          <c:tx>
            <c:strRef>
              <c:f>' Comparision - Results'!$D$60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Results'!$D$61:$D$76</c:f>
              <c:numCache>
                <c:formatCode>"$"#,##0</c:formatCode>
                <c:ptCount val="16"/>
                <c:pt idx="1">
                  <c:v>1428221</c:v>
                </c:pt>
                <c:pt idx="2">
                  <c:v>3877689</c:v>
                </c:pt>
                <c:pt idx="3">
                  <c:v>2064475.2000000002</c:v>
                </c:pt>
                <c:pt idx="5">
                  <c:v>512160</c:v>
                </c:pt>
                <c:pt idx="6">
                  <c:v>2179200</c:v>
                </c:pt>
                <c:pt idx="7">
                  <c:v>3045000</c:v>
                </c:pt>
                <c:pt idx="9">
                  <c:v>2587200.0000000009</c:v>
                </c:pt>
                <c:pt idx="10">
                  <c:v>4725000.0000000009</c:v>
                </c:pt>
                <c:pt idx="11">
                  <c:v>630836.30774999992</c:v>
                </c:pt>
                <c:pt idx="13">
                  <c:v>2710370.8756849309</c:v>
                </c:pt>
                <c:pt idx="14">
                  <c:v>1714500</c:v>
                </c:pt>
                <c:pt idx="15">
                  <c:v>2810543.0399997458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D-4F2C-872F-55469F236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8256"/>
        <c:axId val="169566296"/>
      </c:barChart>
      <c:catAx>
        <c:axId val="169568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6296"/>
        <c:crosses val="autoZero"/>
        <c:auto val="1"/>
        <c:lblAlgn val="ctr"/>
        <c:lblOffset val="100"/>
        <c:noMultiLvlLbl val="0"/>
      </c:catAx>
      <c:valAx>
        <c:axId val="16956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</xdr:colOff>
      <xdr:row>3</xdr:row>
      <xdr:rowOff>114300</xdr:rowOff>
    </xdr:from>
    <xdr:to>
      <xdr:col>18</xdr:col>
      <xdr:colOff>0</xdr:colOff>
      <xdr:row>24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F4BC7-C9F5-42E9-A8A7-6EEE17874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3220" y="662940"/>
          <a:ext cx="3604260" cy="3779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510540</xdr:colOff>
      <xdr:row>32</xdr:row>
      <xdr:rowOff>167640</xdr:rowOff>
    </xdr:from>
    <xdr:to>
      <xdr:col>21</xdr:col>
      <xdr:colOff>314325</xdr:colOff>
      <xdr:row>53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87F598-C0BD-414A-8F99-7AB7DEF4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820" y="6019800"/>
          <a:ext cx="589788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792480</xdr:colOff>
      <xdr:row>30</xdr:row>
      <xdr:rowOff>121920</xdr:rowOff>
    </xdr:from>
    <xdr:to>
      <xdr:col>10</xdr:col>
      <xdr:colOff>180975</xdr:colOff>
      <xdr:row>52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183FDE-2164-4AA3-A280-5BBABF819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5420" y="5608320"/>
          <a:ext cx="4168140" cy="392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54</xdr:row>
      <xdr:rowOff>220980</xdr:rowOff>
    </xdr:from>
    <xdr:to>
      <xdr:col>17</xdr:col>
      <xdr:colOff>476250</xdr:colOff>
      <xdr:row>62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6EFC17-501E-4702-84CC-FC9AEB3E9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10104120"/>
          <a:ext cx="6438900" cy="448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21</xdr:col>
      <xdr:colOff>171450</xdr:colOff>
      <xdr:row>76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581FC5D-6D10-42EA-B02C-FBB15147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21880" y="14988540"/>
          <a:ext cx="8709660" cy="48844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21</xdr:col>
      <xdr:colOff>38100</xdr:colOff>
      <xdr:row>109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96372A-2982-40F4-BFD5-A4FAC747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421880" y="20330160"/>
          <a:ext cx="8571719" cy="5492972"/>
        </a:xfrm>
        <a:prstGeom prst="rect">
          <a:avLst/>
        </a:prstGeom>
      </xdr:spPr>
    </xdr:pic>
    <xdr:clientData/>
  </xdr:twoCellAnchor>
  <xdr:twoCellAnchor editAs="oneCell">
    <xdr:from>
      <xdr:col>19</xdr:col>
      <xdr:colOff>7620</xdr:colOff>
      <xdr:row>0</xdr:row>
      <xdr:rowOff>0</xdr:rowOff>
    </xdr:from>
    <xdr:to>
      <xdr:col>36</xdr:col>
      <xdr:colOff>476250</xdr:colOff>
      <xdr:row>29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93DB62-F78F-434D-8B81-F1F5D4C59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0"/>
          <a:ext cx="10835640" cy="531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541020</xdr:colOff>
      <xdr:row>29</xdr:row>
      <xdr:rowOff>91440</xdr:rowOff>
    </xdr:from>
    <xdr:to>
      <xdr:col>39</xdr:col>
      <xdr:colOff>485775</xdr:colOff>
      <xdr:row>57</xdr:row>
      <xdr:rowOff>142875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21430B-FC17-42AF-9560-EB2A8CFCA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300" y="5394960"/>
          <a:ext cx="10919460" cy="5966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30480</xdr:colOff>
      <xdr:row>56</xdr:row>
      <xdr:rowOff>350520</xdr:rowOff>
    </xdr:from>
    <xdr:to>
      <xdr:col>32</xdr:col>
      <xdr:colOff>133350</xdr:colOff>
      <xdr:row>67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38AD3A-92FB-4B0A-B10E-5A7D53B0C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6360" y="11338560"/>
          <a:ext cx="619506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129540</xdr:colOff>
      <xdr:row>189</xdr:row>
      <xdr:rowOff>19050</xdr:rowOff>
    </xdr:from>
    <xdr:to>
      <xdr:col>23</xdr:col>
      <xdr:colOff>381000</xdr:colOff>
      <xdr:row>204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3D3AD1-9B24-4913-B349-C14B6F9A4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2</xdr:row>
      <xdr:rowOff>148590</xdr:rowOff>
    </xdr:from>
    <xdr:to>
      <xdr:col>13</xdr:col>
      <xdr:colOff>411480</xdr:colOff>
      <xdr:row>20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D65BB-CB98-4186-8DE8-40390B5D3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76200</xdr:colOff>
      <xdr:row>2</xdr:row>
      <xdr:rowOff>156210</xdr:rowOff>
    </xdr:from>
    <xdr:to>
      <xdr:col>23</xdr:col>
      <xdr:colOff>457200</xdr:colOff>
      <xdr:row>20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26E70-5BFD-4008-8099-4CC4431D8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312420</xdr:colOff>
      <xdr:row>22</xdr:row>
      <xdr:rowOff>102870</xdr:rowOff>
    </xdr:from>
    <xdr:to>
      <xdr:col>24</xdr:col>
      <xdr:colOff>601980</xdr:colOff>
      <xdr:row>49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2EB596-6E94-44EC-8B9C-3B37B9113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22860</xdr:rowOff>
    </xdr:from>
    <xdr:to>
      <xdr:col>5</xdr:col>
      <xdr:colOff>457200</xdr:colOff>
      <xdr:row>1</xdr:row>
      <xdr:rowOff>175260</xdr:rowOff>
    </xdr:to>
    <xdr:sp macro="[0]!Macro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8100" y="22860"/>
          <a:ext cx="421386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Macro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312420</xdr:colOff>
      <xdr:row>80</xdr:row>
      <xdr:rowOff>15240</xdr:rowOff>
    </xdr:from>
    <xdr:to>
      <xdr:col>11</xdr:col>
      <xdr:colOff>257175</xdr:colOff>
      <xdr:row>85</xdr:row>
      <xdr:rowOff>209550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E845EC-1816-4836-A7D5-3A8B00104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" y="14706600"/>
          <a:ext cx="10967333" cy="15080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228599</xdr:colOff>
      <xdr:row>20</xdr:row>
      <xdr:rowOff>179292</xdr:rowOff>
    </xdr:from>
    <xdr:to>
      <xdr:col>12</xdr:col>
      <xdr:colOff>44822</xdr:colOff>
      <xdr:row>36</xdr:row>
      <xdr:rowOff>53787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435A5E-57FD-4A62-B3E2-0760595F0F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336176</xdr:colOff>
      <xdr:row>38</xdr:row>
      <xdr:rowOff>17929</xdr:rowOff>
    </xdr:from>
    <xdr:to>
      <xdr:col>12</xdr:col>
      <xdr:colOff>179293</xdr:colOff>
      <xdr:row>53</xdr:row>
      <xdr:rowOff>71717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D97539-E16D-4442-B9B2-D3BB75AC6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249019</xdr:colOff>
      <xdr:row>57</xdr:row>
      <xdr:rowOff>134968</xdr:rowOff>
    </xdr:from>
    <xdr:to>
      <xdr:col>12</xdr:col>
      <xdr:colOff>237066</xdr:colOff>
      <xdr:row>73</xdr:row>
      <xdr:rowOff>9462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024AE26-B188-45B4-BC1D-1218925E4D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238539</xdr:colOff>
      <xdr:row>1</xdr:row>
      <xdr:rowOff>46383</xdr:rowOff>
    </xdr:from>
    <xdr:to>
      <xdr:col>13</xdr:col>
      <xdr:colOff>571500</xdr:colOff>
      <xdr:row>9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8E947E2-7797-4918-8D08-A0259CFB2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8139" y="214023"/>
          <a:ext cx="10948254" cy="1430297"/>
        </a:xfrm>
        <a:prstGeom prst="rect">
          <a:avLst/>
        </a:prstGeom>
      </xdr:spPr>
    </xdr:pic>
    <xdr:clientData/>
  </xdr:twoCellAnchor>
  <xdr:twoCellAnchor>
    <xdr:from>
      <xdr:col>9</xdr:col>
      <xdr:colOff>8281</xdr:colOff>
      <xdr:row>17</xdr:row>
      <xdr:rowOff>74544</xdr:rowOff>
    </xdr:from>
    <xdr:to>
      <xdr:col>25</xdr:col>
      <xdr:colOff>375995</xdr:colOff>
      <xdr:row>39</xdr:row>
      <xdr:rowOff>65902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8C4E1A0D-3ED4-4C3F-A80C-DCB523230170}"/>
            </a:ext>
          </a:extLst>
        </xdr:cNvPr>
        <xdr:cNvGrpSpPr/>
      </xdr:nvGrpSpPr>
      <xdr:grpSpPr>
        <a:xfrm>
          <a:off x="8812694" y="2849218"/>
          <a:ext cx="10497344" cy="3677119"/>
          <a:chOff x="1098423" y="1334565"/>
          <a:chExt cx="10174323" cy="362742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0CDCD2-D97B-46BD-A374-C396018C2D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70928" y="1475261"/>
            <a:ext cx="3001818" cy="34867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B0F4BA44-BE7A-48F8-9E54-5D7188FE4A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542878" y="1334565"/>
            <a:ext cx="3057525" cy="619125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6B551367-14F9-4AD7-8245-55A07FBBFE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98423" y="2074436"/>
            <a:ext cx="3267075" cy="2886075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FB7F8CAD-9C0E-450D-8799-8C4DB6C25B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4339499" y="2162513"/>
            <a:ext cx="2390775" cy="2790825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Documents%20and%20Settings\Sid\Local%20Settings\Temporary%20Internet%20Files\Content.IE5\89MHENQZ\comp.xls" TargetMode="External"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Users\IBM_ADMIN\Documents\IBM%20IT%20Economics%202015\Clients\Cabot%20Partners\Cabot%20Partners%20V1.xlsm" TargetMode="External"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WINDOWS\TEMP\MERK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"/>
      <sheetName val="A"/>
      <sheetName val="EFee"/>
      <sheetName val="Subfee2"/>
      <sheetName val="Subfee"/>
      <sheetName val="F072406"/>
      <sheetName val="Omeg"/>
      <sheetName val="F060206"/>
      <sheetName val="F081006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>
      <sheetData sheetId="0"/>
      <sheetData sheetId="1">
        <row r="20">
          <cell r="C20" t="str">
            <v>None</v>
          </cell>
        </row>
        <row r="21">
          <cell r="C21" t="str">
            <v>----------------------------</v>
          </cell>
        </row>
        <row r="22">
          <cell r="C22" t="str">
            <v>SAP Adaptive Server Enterprise (ASE) Enterprise Edition (Core)</v>
          </cell>
        </row>
        <row r="23">
          <cell r="C23" t="str">
            <v>SAP Adaptive Server Enterprise (ASE) Enterprise Edition Disaster Recovery Option (Core)</v>
          </cell>
        </row>
        <row r="24">
          <cell r="C24" t="str">
            <v xml:space="preserve">SAP Adaptive Server Enterprise (ASE) Enterprise Edition High Availability Option (Core) </v>
          </cell>
        </row>
        <row r="25">
          <cell r="C25" t="str">
            <v>SAP Adaptive Server Enterprise (ASE) Enterprise Edition Compression Option (Core)</v>
          </cell>
        </row>
        <row r="26">
          <cell r="C26" t="str">
            <v>SAP Adaptive Server Enterprise (ASE) Enterprise Edition Tivoli Storage Manager Option (TSM) (Core)</v>
          </cell>
        </row>
        <row r="27">
          <cell r="C27" t="str">
            <v>SAP Adaptive Server Enterprise (ASE) Enterprise Edition In-Memory Database Option (Core)</v>
          </cell>
        </row>
        <row r="28">
          <cell r="C28" t="str">
            <v>SAP Adaptive Server Enterprise (ASE) Enterprise Edition Active Messaging Option (Core)</v>
          </cell>
        </row>
        <row r="29">
          <cell r="C29" t="str">
            <v xml:space="preserve">SAP Adaptive Server Enterprise (ASE) Enterprise Edition Partitions Option (Core) </v>
          </cell>
        </row>
        <row r="30">
          <cell r="C30" t="str">
            <v>SAP Adaptive Server Enterprise (ASE) Enterprise Edition Encrypted Column Option (Core)</v>
          </cell>
        </row>
        <row r="31">
          <cell r="C31" t="str">
            <v>SAP Adaptive Server Enterprise (ASE) Enterprise Edition Security &amp; Directory Services Option (Core)</v>
          </cell>
        </row>
        <row r="32">
          <cell r="C32" t="str">
            <v>Sybase Adaptive Server Enterprise - Enterprise Edition Development and Testing (DT) - $13,385.00</v>
          </cell>
        </row>
        <row r="33">
          <cell r="C33" t="str">
            <v>SAP Enterprise Support (22%)</v>
          </cell>
        </row>
        <row r="34">
          <cell r="C34" t="str">
            <v>SAP Standard Support (19%)</v>
          </cell>
        </row>
        <row r="35">
          <cell r="C35" t="str">
            <v>----------------------------</v>
          </cell>
        </row>
        <row r="36">
          <cell r="C36" t="str">
            <v>Oracle Database Enterprise Edition</v>
          </cell>
        </row>
        <row r="37">
          <cell r="C37" t="str">
            <v>Oracle Real Application Clusters</v>
          </cell>
        </row>
        <row r="38">
          <cell r="C38" t="str">
            <v>Oracle Active Data Guard</v>
          </cell>
        </row>
        <row r="39">
          <cell r="C39" t="str">
            <v>Oracle Database Enterprise Management (Diagnostics Pack)</v>
          </cell>
        </row>
        <row r="40">
          <cell r="C40" t="str">
            <v>Oracle Database Enterprise Management (Tuning Pack)</v>
          </cell>
        </row>
        <row r="41">
          <cell r="C41" t="str">
            <v>Oracle Partitioning</v>
          </cell>
        </row>
        <row r="42">
          <cell r="C42" t="str">
            <v>Oracle Advanced Compression</v>
          </cell>
        </row>
        <row r="43">
          <cell r="C43" t="str">
            <v>Oracle Advanced Security (Encyption)</v>
          </cell>
        </row>
        <row r="44">
          <cell r="C44" t="str">
            <v>Oracle Database Lifecycle Management Pack</v>
          </cell>
        </row>
        <row r="45">
          <cell r="C45" t="str">
            <v>Oracle Golden Gate</v>
          </cell>
        </row>
        <row r="46">
          <cell r="C46" t="str">
            <v>WebLogic Server Enterprise Edition</v>
          </cell>
        </row>
        <row r="47">
          <cell r="C47" t="str">
            <v>Oracle Application Server 10g Enterprise Edition</v>
          </cell>
        </row>
        <row r="48">
          <cell r="C48" t="str">
            <v>---------------------------- State Farm Sep 2016 - SVP Level J</v>
          </cell>
        </row>
        <row r="49">
          <cell r="C49" t="str">
            <v>IBM DB2 Advanced Enterprise Server Edition - PVU</v>
          </cell>
        </row>
        <row r="50">
          <cell r="C50" t="str">
            <v>IBM DB2 Advanced Recovery Feature - VS</v>
          </cell>
        </row>
        <row r="51">
          <cell r="C51" t="str">
            <v>IBM DB2 Advanced Recovery Feature Linux on System z - PVU</v>
          </cell>
        </row>
        <row r="52">
          <cell r="C52" t="str">
            <v>IBM DB2 Enterprise Server Edition - PVU</v>
          </cell>
        </row>
        <row r="53">
          <cell r="C53" t="str">
            <v>IBM DB2 Encryption Offering for DB2 Enterprise Server Edition - PVU</v>
          </cell>
        </row>
        <row r="54">
          <cell r="C54" t="str">
            <v>IBM DB2 Developer Edition - AU</v>
          </cell>
        </row>
        <row r="55">
          <cell r="C55" t="str">
            <v>IBM DB2 Performance Management Offering for DB2 Enterprise Server Edition - PVU</v>
          </cell>
        </row>
        <row r="56">
          <cell r="C56" t="str">
            <v>IBM DB2 Recovery Expert for Linux, UNIX and Windows - PVU</v>
          </cell>
        </row>
        <row r="57">
          <cell r="C57" t="str">
            <v>IBM DB2 Merge Backup for Linux. UNIX, and Windows - PVU</v>
          </cell>
        </row>
        <row r="58">
          <cell r="C58" t="str">
            <v>----------------------------</v>
          </cell>
        </row>
        <row r="62">
          <cell r="C62" t="str">
            <v>None</v>
          </cell>
        </row>
        <row r="63">
          <cell r="C63" t="str">
            <v>----------------------------</v>
          </cell>
        </row>
        <row r="64">
          <cell r="C64" t="str">
            <v>Windows Server 2012 Standard</v>
          </cell>
        </row>
        <row r="65">
          <cell r="C65" t="str">
            <v>Windows Server 2012 Datacenter</v>
          </cell>
        </row>
        <row r="66">
          <cell r="C66" t="str">
            <v>System Center 2012 Standard</v>
          </cell>
        </row>
        <row r="67">
          <cell r="C67" t="str">
            <v>System Center 2012 Datacenter</v>
          </cell>
        </row>
        <row r="68">
          <cell r="C68" t="str">
            <v>Windows Server CAL Single License</v>
          </cell>
        </row>
        <row r="69">
          <cell r="C69" t="str">
            <v>----------------------------</v>
          </cell>
        </row>
        <row r="70">
          <cell r="C70" t="str">
            <v>vCloud Suite 5.1 Standard</v>
          </cell>
        </row>
        <row r="71">
          <cell r="C71" t="str">
            <v>vCloud Suite 5.1 Advanced</v>
          </cell>
        </row>
        <row r="72">
          <cell r="C72" t="str">
            <v>vCloud Suite 5.1 Enterprise</v>
          </cell>
        </row>
        <row r="73">
          <cell r="C73" t="str">
            <v>----------------------------</v>
          </cell>
        </row>
        <row r="74">
          <cell r="C74" t="str">
            <v>Service Manager (to manage above) - Estimated</v>
          </cell>
        </row>
        <row r="75">
          <cell r="C75" t="str">
            <v>----------------------------</v>
          </cell>
        </row>
        <row r="76">
          <cell r="C76" t="str">
            <v xml:space="preserve">vSphere 5 Standard </v>
          </cell>
        </row>
        <row r="77">
          <cell r="C77" t="str">
            <v xml:space="preserve">vSphere 5 Enterprise </v>
          </cell>
        </row>
        <row r="78">
          <cell r="C78" t="str">
            <v>vSphere 5 Enterprise Plus</v>
          </cell>
        </row>
        <row r="79">
          <cell r="C79" t="str">
            <v>----------------------------</v>
          </cell>
        </row>
        <row r="80">
          <cell r="C80" t="str">
            <v xml:space="preserve">vSphere with Operations Management 5 Standard </v>
          </cell>
        </row>
        <row r="81">
          <cell r="C81" t="str">
            <v>vSphere with Operations Management 5 Enterprise</v>
          </cell>
        </row>
        <row r="82">
          <cell r="C82" t="str">
            <v xml:space="preserve">vSphere with Operations Management 5 Enterprise Plus </v>
          </cell>
        </row>
        <row r="83">
          <cell r="C83" t="str">
            <v>----------------------------</v>
          </cell>
        </row>
        <row r="84">
          <cell r="C84" t="str">
            <v>vCenter Server 5 Standard for vSphere 5 (to manage above)</v>
          </cell>
        </row>
        <row r="85">
          <cell r="C85" t="str">
            <v>----------------------------</v>
          </cell>
        </row>
        <row r="86">
          <cell r="C86" t="str">
            <v>RHEL Standard Subscription, 2-sockets with 1 virtual guest</v>
          </cell>
        </row>
        <row r="87">
          <cell r="C87" t="str">
            <v>RHEL Premium Subscription, 2-sockets with 1 virtual guest</v>
          </cell>
        </row>
        <row r="88">
          <cell r="C88" t="str">
            <v>RHEL Standard Subscription, 4-sockets with 1 virtual guest</v>
          </cell>
        </row>
        <row r="89">
          <cell r="C89" t="str">
            <v>RHEL Premium Subscription, 4-sockets with 1 virtual guest</v>
          </cell>
        </row>
        <row r="90">
          <cell r="C90" t="str">
            <v>RHEL Standard Subscription, 2-sockets with unlimited virtual guests</v>
          </cell>
        </row>
        <row r="91">
          <cell r="C91" t="str">
            <v>RHEL Premium Subscription, 2-sockets with unlimited virtual guests</v>
          </cell>
        </row>
        <row r="92">
          <cell r="C92" t="str">
            <v>RHEL Standard Subscription, 4-sockets with unlimited virtual guests</v>
          </cell>
        </row>
        <row r="93">
          <cell r="C93" t="str">
            <v>RHEL Premium Subscription, 4-sockets with unlimited virtual guests</v>
          </cell>
        </row>
        <row r="94">
          <cell r="C94" t="str">
            <v>----------------------------</v>
          </cell>
        </row>
        <row r="95">
          <cell r="C95" t="str">
            <v>RHEL IBM POWER Standard Subscription (1 year) 2 sockets (15 LPARs)</v>
          </cell>
        </row>
        <row r="96">
          <cell r="C96" t="str">
            <v xml:space="preserve">RHEL IBM POWER Standard Subscription (1 year) 4 sockets (30 LPARs) </v>
          </cell>
        </row>
        <row r="97">
          <cell r="C97" t="str">
            <v>RHEL IBM POWER Premium Subscription (1 year) 2 sockets (15 LPARs)</v>
          </cell>
        </row>
        <row r="98">
          <cell r="C98" t="str">
            <v xml:space="preserve">RHEL IBM POWER Premium Subscription (1 year) 4 sockets (30 LPARs) </v>
          </cell>
        </row>
        <row r="99">
          <cell r="C99" t="str">
            <v>----------------------------</v>
          </cell>
        </row>
        <row r="100">
          <cell r="C100" t="str">
            <v>RHEL Premium Subscription, for IBM System z</v>
          </cell>
        </row>
        <row r="101">
          <cell r="C101" t="str">
            <v>RHEL Standard Subscription, for IBM System z</v>
          </cell>
        </row>
        <row r="102">
          <cell r="C102" t="str">
            <v>IBM Support Line for Linux (System z)</v>
          </cell>
        </row>
        <row r="103">
          <cell r="C103" t="str">
            <v>1 year Support for Linux (Power on Linux), per server</v>
          </cell>
        </row>
        <row r="104">
          <cell r="C104" t="str">
            <v>PowerKVM (Power)</v>
          </cell>
        </row>
        <row r="105">
          <cell r="C105" t="str">
            <v>PowerVC Standard Edition, includes 1 year maint.</v>
          </cell>
        </row>
        <row r="106">
          <cell r="C106" t="str">
            <v>PowerVC Express Edition, includes 1 year maint. (7R2)</v>
          </cell>
        </row>
        <row r="107">
          <cell r="C107" t="str">
            <v>RHEL High Availability Add-On 2-sockets (1 year)</v>
          </cell>
        </row>
        <row r="108">
          <cell r="C108" t="str">
            <v>RHEL High Availability Add-On 4-sockets (1 year)</v>
          </cell>
        </row>
        <row r="109">
          <cell r="C109" t="str">
            <v>----------------------------</v>
          </cell>
        </row>
        <row r="110">
          <cell r="C110" t="str">
            <v>HP-UX 11i v3 BOS Per Socket LTU for Integrity 4-socket (BL870c i2)</v>
          </cell>
        </row>
        <row r="111">
          <cell r="C111" t="str">
            <v>HP-UX 11i v3 BOS Per Core LTU for Integrity 4-socket server (BL870c)</v>
          </cell>
        </row>
        <row r="112">
          <cell r="C112" t="str">
            <v>HP-UX 11i v3 BOS Per Core LTU for Integrity 16+ socket server (rx8640)</v>
          </cell>
        </row>
        <row r="113">
          <cell r="C113" t="str">
            <v>----------------------------</v>
          </cell>
        </row>
        <row r="114">
          <cell r="C114" t="str">
            <v>Oracle Linux Premier Limited (No more than 2 CPUs) 1-Year</v>
          </cell>
        </row>
        <row r="115">
          <cell r="C115" t="str">
            <v>Oracle Linux Premier 1-Year</v>
          </cell>
        </row>
        <row r="116">
          <cell r="C116" t="str">
            <v>Oracle VM Server for x86 Premier Limited (No more than 2 CPUs) 1-Year</v>
          </cell>
        </row>
        <row r="117">
          <cell r="C117" t="str">
            <v>Oracle VM Server for x86 Premier 1-Year</v>
          </cell>
        </row>
        <row r="118">
          <cell r="C118" t="str">
            <v>----------------------------</v>
          </cell>
        </row>
        <row r="119">
          <cell r="C119" t="str">
            <v>IBM Netcool Network Management Base Install License + SW Subscription &amp; Support 12 Months</v>
          </cell>
        </row>
        <row r="120">
          <cell r="C120" t="str">
            <v>IBM Netcool Network Management Combined Management Device RVU License + SW Subscription &amp; Support 12 Months</v>
          </cell>
        </row>
        <row r="121">
          <cell r="C121" t="str">
            <v>IBM Netcool Network Management Configuration Standard Basic Device RVU License + SW Subscription &amp; Support 12 Months</v>
          </cell>
        </row>
        <row r="122">
          <cell r="C122" t="str">
            <v>IBM Netcool Network Management Configuration Standard Device RVU License + SW Subscription &amp; Support 12 Months</v>
          </cell>
        </row>
        <row r="123">
          <cell r="C123" t="str">
            <v>IBM Netcool Network Management Entry Device RVU License + SW Subscription &amp; Support 12 Months</v>
          </cell>
        </row>
        <row r="124">
          <cell r="C124" t="str">
            <v>IBM Netcool Network Management Event Basic Device RVU License + SW Subscription &amp; Support 12 Months</v>
          </cell>
        </row>
        <row r="125">
          <cell r="C125" t="str">
            <v>IBM Netcool Network Management Event Device RVU License + SW Subscription &amp; Support 12 Months</v>
          </cell>
        </row>
        <row r="126">
          <cell r="C126" t="str">
            <v>IBM Tivoli Monitoring Agent Builder/OS Agentless Monitoring RVU License + SW Subscription &amp; Support 12 Months</v>
          </cell>
        </row>
        <row r="127">
          <cell r="C127" t="str">
            <v>IBM Tivoli Monitoring for Virtual Environments Agent for Cisco UCS RVU License + SW Subscription &amp; Support 12 Months</v>
          </cell>
        </row>
        <row r="128">
          <cell r="C128" t="str">
            <v>IBM Tivoli Monitoring for Virtual Environments Agent for Citrix XenApp RVU License + SW Subscription &amp; Support 12 Months</v>
          </cell>
        </row>
        <row r="129">
          <cell r="C129" t="str">
            <v>IBM Tivoli Monitoring for Virtual Environments Agent for Citrix XenDesktop RVU License + SW Subscription &amp; Support 12 Months</v>
          </cell>
        </row>
        <row r="130">
          <cell r="C130" t="str">
            <v>IBM Tivoli Monitoring for Virtual Environments for Citrix XenServer RVU License + SW Subscription &amp; Support 12 Months</v>
          </cell>
        </row>
        <row r="131">
          <cell r="C131" t="str">
            <v>IBM Tivoli Monitoring for Virtual Environments RVU License + SW Subscription &amp; Support 12 Months</v>
          </cell>
        </row>
        <row r="132">
          <cell r="C132" t="str">
            <v>IBM Tivoli Monitoring RVU License + SW Subscription &amp; Support 12 Months</v>
          </cell>
        </row>
        <row r="133">
          <cell r="C133" t="str">
            <v>IBM Tivoli Netcool Configuration Manager Base Install License + SW Subscription &amp; Support 12 Months</v>
          </cell>
        </row>
        <row r="134">
          <cell r="C134" t="str">
            <v>IBM Tivoli Netcool Configuration Manager Configuration Standard Basic Device RVU License + SW Subscription &amp; Support 12 Months</v>
          </cell>
        </row>
        <row r="135">
          <cell r="C135" t="str">
            <v>IBM Tivoli Netcool Configuration Manager Configuration Standard Device RVU License + SW Subscription &amp; Support 12 Months</v>
          </cell>
        </row>
        <row r="136">
          <cell r="C136" t="str">
            <v>IBM Tivoli Netcool Network Management Data Exchange Connection License + SW Subscription &amp; Support 12 Months</v>
          </cell>
        </row>
        <row r="137">
          <cell r="C137" t="str">
            <v xml:space="preserve">IBM Tivoli Netcool OMNIbus Base Install License </v>
          </cell>
        </row>
        <row r="138">
          <cell r="C138" t="str">
            <v>IBM Tivoli Provisioning Manager RVU License + SW Subscription &amp; Support 12 Months</v>
          </cell>
        </row>
        <row r="139">
          <cell r="C139" t="str">
            <v>IBM Tivoli Storage Manager 10 Processor Value Units (PVUs) License + SW Subscription &amp; Support 12 Months</v>
          </cell>
        </row>
        <row r="140">
          <cell r="C140" t="str">
            <v>IBM Tivoli Storage Manager Extended Edition 10 Processor Value Units (PVUs) License + SW Subscription &amp; Support 12 Months</v>
          </cell>
        </row>
        <row r="141">
          <cell r="C141" t="str">
            <v>IBM Tivoli Storage Manager FlashCopy Manager Terabyte (1-12) License + SW Subscription &amp; Support 12 Months</v>
          </cell>
        </row>
        <row r="142">
          <cell r="C142" t="str">
            <v>IBM Tivoli Storage Manager for Databases 10 Processor Value Units (PVUs) License + SW Subscription &amp; Support 12 Months</v>
          </cell>
        </row>
        <row r="143">
          <cell r="C143" t="str">
            <v>IBM Tivoli Storage Productivity Center Terabyte (1-100) License + SW Subscription &amp; Support 12 Months</v>
          </cell>
        </row>
        <row r="144">
          <cell r="C144" t="str">
            <v>IBM Tivoli System Automation Application  Manager PVU License + SW Subscription &amp; Support 12 Months</v>
          </cell>
        </row>
        <row r="145">
          <cell r="C145" t="str">
            <v>IBM Tivoli System Automation Application Manager for zOS Adapter PVU License + SW Subscription &amp; Support 12 Months</v>
          </cell>
        </row>
        <row r="146">
          <cell r="C146" t="str">
            <v>IBM Tivoli System Automation for Multiplatforms PVU License + SW Subscription &amp; Support 12 Months</v>
          </cell>
        </row>
        <row r="147">
          <cell r="C147" t="str">
            <v>IBM Tivoli System Automation for Multiplatforms XDR  for  Linux PVU License + SW Subscription &amp; Support 12 Months</v>
          </cell>
        </row>
        <row r="148">
          <cell r="C148" t="str">
            <v>IBM Tivoli System Automation High Availability Policies for SAP PVU License + SW Subscription &amp; Support 12 Months</v>
          </cell>
        </row>
        <row r="149">
          <cell r="C149" t="str">
            <v>IBM Tivoli Tivoli Composite Applications for Application Diagnostics RVU License + SW Subscription &amp; Support 12 Months</v>
          </cell>
        </row>
        <row r="150">
          <cell r="C150" t="str">
            <v>IBM Tivoli Workload Scheduler for Applications PVU License + SW Subscription &amp; Support 12 Months</v>
          </cell>
        </row>
        <row r="151">
          <cell r="C151" t="str">
            <v>IBM Tivoli Workload Scheduler Plug-in for Informatica PowerCenter PVU License + SW Subscription &amp; Support 12 Months</v>
          </cell>
        </row>
        <row r="152">
          <cell r="C152" t="str">
            <v>IBM Tivoli Workload Scheduler PVU License + SW Subscription &amp; Support 12 Months</v>
          </cell>
        </row>
        <row r="153">
          <cell r="C153" t="str">
            <v>Syncsort DMEXPRESS DATABASE TARGET-GROUP 60 SRVR</v>
          </cell>
        </row>
        <row r="154">
          <cell r="C154" t="str">
            <v>Syncsort DMEXPRESS DATABASE TARGET GRP 80-1 SRVR</v>
          </cell>
        </row>
        <row r="155">
          <cell r="C155" t="str">
            <v>Syncsort DMEXPRESS DATABASE TARGET GRP 80-3 SRVR</v>
          </cell>
        </row>
        <row r="156">
          <cell r="C156" t="str">
            <v>---------------------------- OCC SVP Level G</v>
          </cell>
        </row>
        <row r="157">
          <cell r="C157" t="str">
            <v>IBM BigFix Protection - CD</v>
          </cell>
        </row>
        <row r="158">
          <cell r="C158" t="str">
            <v>IBM BigFix Protection - MVS</v>
          </cell>
        </row>
        <row r="159">
          <cell r="C159" t="str">
            <v>IBM BigFix Protection - RVU</v>
          </cell>
        </row>
        <row r="160">
          <cell r="C160" t="str">
            <v>IBM BigFix Lifecycle - CD</v>
          </cell>
        </row>
        <row r="161">
          <cell r="C161" t="str">
            <v>IBM BigFix Lifecycle - MVS</v>
          </cell>
        </row>
        <row r="162">
          <cell r="C162" t="str">
            <v>IBM BigFix Lifecycle - RVU</v>
          </cell>
        </row>
        <row r="163">
          <cell r="C163" t="str">
            <v>IBM BigFix Patch - MVS</v>
          </cell>
        </row>
        <row r="164">
          <cell r="C164" t="str">
            <v>IBM BigFix Patch - RVU</v>
          </cell>
        </row>
        <row r="165">
          <cell r="C165" t="str">
            <v>IBM BigFix Inventory - CD</v>
          </cell>
        </row>
        <row r="166">
          <cell r="C166" t="str">
            <v>IBM BigFix Inventory - MVS</v>
          </cell>
        </row>
        <row r="167">
          <cell r="C167" t="str">
            <v>IBM BigFix Inventory - RVU</v>
          </cell>
        </row>
        <row r="168">
          <cell r="C168" t="str">
            <v>IBM BigFix Compliance - MVS</v>
          </cell>
        </row>
        <row r="169">
          <cell r="C169" t="str">
            <v>IBM BigFix Compliance - RVU</v>
          </cell>
        </row>
        <row r="170">
          <cell r="C170" t="str">
            <v>IBM BigFix Compliance - CD</v>
          </cell>
        </row>
        <row r="171">
          <cell r="C171" t="str">
            <v>IBM Service Delivery Manager on Power Systems - RVU</v>
          </cell>
        </row>
        <row r="172">
          <cell r="C172" t="str">
            <v>IBM Service Delivery Manager on x86 for VMWare - RVU</v>
          </cell>
        </row>
        <row r="174">
          <cell r="C174" t="str">
            <v>IBM Security Identity Manager Application Edition - UVU</v>
          </cell>
        </row>
        <row r="175">
          <cell r="C175" t="str">
            <v>IBM Security Identity Manager and Role Management Unlimited User Option - PVU</v>
          </cell>
        </row>
        <row r="176">
          <cell r="C176" t="str">
            <v>IBM Security Identity Manager and Role Management - UVU</v>
          </cell>
        </row>
        <row r="177">
          <cell r="C177" t="str">
            <v>IBM Security Access Manager for Enterprise Single Sign-On Standard - UVU</v>
          </cell>
        </row>
        <row r="178">
          <cell r="C178" t="str">
            <v>IBM Security Access Manager for Enterprise Single Sign-On Suite - UVU</v>
          </cell>
        </row>
        <row r="179">
          <cell r="C179" t="str">
            <v>IBM Security Access Manager Virtual Edition Non-Production - PVU</v>
          </cell>
        </row>
        <row r="180">
          <cell r="C180" t="str">
            <v>IBM Security Access Manager Virtual Edition - PVU</v>
          </cell>
        </row>
        <row r="181">
          <cell r="C181" t="str">
            <v>IBM Security Access Manager Virtual Enterprise Edition Non-Production - PVU</v>
          </cell>
        </row>
        <row r="182">
          <cell r="C182" t="str">
            <v>IBM Security Access Manager Virtual Enterprise Edition - PVU</v>
          </cell>
        </row>
        <row r="183">
          <cell r="C183" t="str">
            <v>IBM Security Directory Suite Enterprise Edition Non-Production - PVU</v>
          </cell>
        </row>
        <row r="184">
          <cell r="C184" t="str">
            <v>IBM Security Directory Suite Enterprise Edition - PVU</v>
          </cell>
        </row>
        <row r="185">
          <cell r="C185" t="str">
            <v>IBM Security Directory Suite Standard Edition Non-Production - PVU</v>
          </cell>
        </row>
        <row r="186">
          <cell r="C186" t="str">
            <v>IBM Security Directory Suite Standard Edition - PVU</v>
          </cell>
        </row>
        <row r="188">
          <cell r="C188" t="str">
            <v>IBM Tivoli Monitoring for Virtual Environments Agent for Cisco UCS - RVU</v>
          </cell>
        </row>
        <row r="189">
          <cell r="C189" t="str">
            <v>IBM Tivoli Monitoring for Virtual Environments Agent for Citrix XenApp - RVU</v>
          </cell>
        </row>
        <row r="190">
          <cell r="C190" t="str">
            <v>IBM Tivoli Monitoring for Virtual Environments - RVU</v>
          </cell>
        </row>
        <row r="191">
          <cell r="C191" t="str">
            <v>IBM Tivoli Monitoring for Linux on z - RVU</v>
          </cell>
        </row>
        <row r="192">
          <cell r="C192" t="str">
            <v>IBM Tivoli Netcool Configuration Manager Base - Install</v>
          </cell>
        </row>
        <row r="193">
          <cell r="C193" t="str">
            <v>IBM Tivoli Netcool Configuration Manager Configuration Standard Basic Device - RVU</v>
          </cell>
        </row>
        <row r="194">
          <cell r="C194" t="str">
            <v>IBM Tivoli Netcool Configuration Manager Configuration Standard Device - RVU</v>
          </cell>
        </row>
        <row r="195">
          <cell r="C195" t="str">
            <v>IBM Tivoli Netcool Configuration Manager SmartModel Basic Device - RVU</v>
          </cell>
        </row>
        <row r="196">
          <cell r="C196" t="str">
            <v>IBM Tivoli Composite Application Manager For Applications 3 Agent Pack - RVU</v>
          </cell>
        </row>
        <row r="197">
          <cell r="C197" t="str">
            <v>IBM Tivoli Composite Application Manager For Applications Full Agent Pack - RVU</v>
          </cell>
        </row>
        <row r="198">
          <cell r="C198" t="str">
            <v>IBM Tivoli Composite Application Manager for Applications Single Agent - RVU</v>
          </cell>
        </row>
        <row r="199">
          <cell r="C199" t="str">
            <v xml:space="preserve">IBM Tivoli Netcool OMNIbus Base - Install  </v>
          </cell>
        </row>
        <row r="200">
          <cell r="C200" t="str">
            <v xml:space="preserve">IBM Tivoli Netcool OMNIbus Data Exchange - Connection  </v>
          </cell>
        </row>
        <row r="201">
          <cell r="C201" t="str">
            <v>IBM Tivoli Netcool OMNIbus Event Basic Device Tier - RVU</v>
          </cell>
        </row>
        <row r="202">
          <cell r="C202" t="str">
            <v xml:space="preserve">IBM Tivoli Netcool OMNIbus Event Device Tier - RVU </v>
          </cell>
        </row>
        <row r="203">
          <cell r="C203" t="str">
            <v>IBM Tivoli Netcool OMNIbus Event EMS Tier - RVU</v>
          </cell>
        </row>
        <row r="204">
          <cell r="C204" t="str">
            <v>IBM Monitoring - MVS</v>
          </cell>
        </row>
        <row r="205">
          <cell r="C205" t="str">
            <v>IBM Application Diagnostics - MVS</v>
          </cell>
        </row>
        <row r="207">
          <cell r="C207" t="str">
            <v>IBM Spectrum Control Advanced Select Edition - SD</v>
          </cell>
        </row>
        <row r="208">
          <cell r="C208" t="str">
            <v xml:space="preserve">IBM Spectrum Control Advanced Edition Storage Capacity Unit (1-100)  </v>
          </cell>
        </row>
        <row r="209">
          <cell r="C209" t="str">
            <v xml:space="preserve">IBM Spectrum Control Advanced Edition Storage Capacity Unit (101-250)  </v>
          </cell>
        </row>
        <row r="210">
          <cell r="C210" t="str">
            <v xml:space="preserve">IBM Spectrum Control Advanced Edition Storage Capacity Unit (1251-2000)  </v>
          </cell>
        </row>
        <row r="211">
          <cell r="C211" t="str">
            <v xml:space="preserve">IBM Spectrum Protect Snapshot per Terabyte 1-12  </v>
          </cell>
        </row>
        <row r="212">
          <cell r="C212" t="str">
            <v xml:space="preserve">IBM Spectrum Storage Suite per Terabyte  </v>
          </cell>
        </row>
        <row r="213">
          <cell r="C213" t="str">
            <v>IBM Spectrum Protect - 10 PVUs</v>
          </cell>
        </row>
        <row r="214">
          <cell r="C214" t="str">
            <v>IBM Spectrum Protect Extended Edition - 10 PVUs</v>
          </cell>
        </row>
        <row r="215">
          <cell r="C215" t="str">
            <v xml:space="preserve">IBM Spectrum Protect for Data Retention Terabyte (1-12)  </v>
          </cell>
        </row>
        <row r="216">
          <cell r="C216" t="str">
            <v>IBM Spectrum Protect for Databases - 10 PVUs</v>
          </cell>
        </row>
        <row r="217">
          <cell r="C217" t="str">
            <v>IBM Spectrum Protect for SAN - 10 PVUs</v>
          </cell>
        </row>
        <row r="218">
          <cell r="C218" t="str">
            <v>IBM Spectrum Protect for Virtual Environments - 10 PVUs</v>
          </cell>
        </row>
        <row r="219">
          <cell r="C219" t="str">
            <v xml:space="preserve">IBM Spectrum Protect Suite - Archive Option Terabyte  </v>
          </cell>
        </row>
        <row r="220">
          <cell r="C220" t="str">
            <v xml:space="preserve">IBM Spectrum Protect Suite Terabyte (1-100)  </v>
          </cell>
        </row>
        <row r="221">
          <cell r="C221" t="str">
            <v>IBM Spectrum Protect Entry - MS</v>
          </cell>
        </row>
        <row r="222">
          <cell r="C222" t="str">
            <v xml:space="preserve">IBM Spectrum Control Standard Edition Storage Capacity Unit (1-100)  </v>
          </cell>
        </row>
        <row r="223">
          <cell r="C223" t="str">
            <v>IBM Spectrum Control Standard Select Edition - SD</v>
          </cell>
        </row>
        <row r="225">
          <cell r="C225" t="str">
            <v>IBM Service Automation Manager Base for Linux on System z - RVU</v>
          </cell>
        </row>
        <row r="226">
          <cell r="C226" t="str">
            <v>IBM Service Automation Manager for WAS for Linux on System z - RVU</v>
          </cell>
        </row>
        <row r="227">
          <cell r="C227" t="str">
            <v>IBM Workload Scheduler - PVU</v>
          </cell>
        </row>
        <row r="228">
          <cell r="C228" t="str">
            <v>IBM Workload Scheduler for Applications - PVU</v>
          </cell>
        </row>
        <row r="229">
          <cell r="C229" t="str">
            <v xml:space="preserve">IBM Workload Automation 10 MONTHLY JOBS  </v>
          </cell>
        </row>
        <row r="230">
          <cell r="C230" t="str">
            <v>----------------------------</v>
          </cell>
        </row>
        <row r="231">
          <cell r="C231" t="str">
            <v>End</v>
          </cell>
        </row>
        <row r="285">
          <cell r="C285" t="str">
            <v>None</v>
          </cell>
        </row>
        <row r="286">
          <cell r="C286" t="str">
            <v>sq ft</v>
          </cell>
        </row>
        <row r="287">
          <cell r="C287" t="str">
            <v>sq m</v>
          </cell>
        </row>
        <row r="288">
          <cell r="C288" t="str">
            <v>Area per cabinet (16 sq ft) 42U</v>
          </cell>
        </row>
        <row r="289">
          <cell r="C289" t="str">
            <v>1U</v>
          </cell>
        </row>
        <row r="293">
          <cell r="C293" t="str">
            <v>None</v>
          </cell>
        </row>
        <row r="294">
          <cell r="C294" t="str">
            <v>Generic Server</v>
          </cell>
        </row>
        <row r="295">
          <cell r="C295" t="str">
            <v>Generic Port</v>
          </cell>
        </row>
        <row r="296">
          <cell r="C296" t="str">
            <v>1 Gb Port (LAN)</v>
          </cell>
        </row>
        <row r="297">
          <cell r="C297" t="str">
            <v>8 Gb Port (SAN)</v>
          </cell>
        </row>
        <row r="298">
          <cell r="C298" t="str">
            <v>10 Gb Port (SAN)</v>
          </cell>
        </row>
        <row r="302">
          <cell r="C302" t="str">
            <v>None</v>
          </cell>
        </row>
        <row r="303">
          <cell r="C303" t="str">
            <v xml:space="preserve">Annual FTE Blended Rate </v>
          </cell>
        </row>
        <row r="304">
          <cell r="C304" t="str">
            <v>Annual Hardware FTE  (32 hrs per physical server)</v>
          </cell>
        </row>
        <row r="305">
          <cell r="C305" t="str">
            <v>Annual Hardware FTE  (32 hrs per physical server) - Blades</v>
          </cell>
        </row>
        <row r="306">
          <cell r="C306" t="str">
            <v>Annual Software FTE (36 hrs per virtual server)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B"/>
      <sheetName val="NAV0"/>
      <sheetName val="EGO"/>
      <sheetName val="EFee"/>
      <sheetName val="swfee"/>
      <sheetName val="Feeactual"/>
      <sheetName val="FwCMS"/>
      <sheetName val="FwoCMS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<Relationships xmlns="http://schemas.openxmlformats.org/package/2006/relationships"><Relationship Id="rId2" Type="http://schemas.openxmlformats.org/officeDocument/2006/relationships/hyperlink" Target="mailto:IT.Economics@us.ib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68"/>
  <sheetViews>
    <sheetView topLeftCell="A2" workbookViewId="0">
      <selection activeCell="X58" sqref="X58"/>
    </sheetView>
  </sheetViews>
  <sheetFormatPr defaultRowHeight="14.4" x14ac:dyDescent="0.3"/>
  <cols>
    <col min="2" max="2" width="10.6640625" customWidth="1"/>
    <col min="3" max="3" width="27.6640625" customWidth="1"/>
    <col min="6" max="6" width="34.109375" customWidth="1"/>
  </cols>
  <sheetData>
    <row r="4">
      <c r="A4" s="0">
        <v>1</v>
      </c>
      <c r="B4" s="0" t="s">
        <v>137</v>
      </c>
      <c r="F4" s="26" t="s">
        <v>138</v>
      </c>
    </row>
    <row r="5">
      <c r="C5" s="0" t="s">
        <v>139</v>
      </c>
      <c r="F5" s="0" t="s">
        <v>140</v>
      </c>
    </row>
    <row r="6">
      <c r="C6" s="0" t="s">
        <v>141</v>
      </c>
      <c r="F6" s="0" t="s">
        <v>142</v>
      </c>
    </row>
    <row r="7">
      <c r="C7" s="0" t="s">
        <v>143</v>
      </c>
      <c r="F7" s="0" t="s">
        <v>144</v>
      </c>
    </row>
    <row r="8">
      <c r="C8" s="0" t="s">
        <v>145</v>
      </c>
      <c r="F8" s="0" t="s">
        <v>146</v>
      </c>
    </row>
    <row r="9">
      <c r="C9" s="0" t="s">
        <v>147</v>
      </c>
    </row>
    <row r="10">
      <c r="F10" s="26" t="s">
        <v>148</v>
      </c>
    </row>
    <row r="11">
      <c r="A11" s="0">
        <v>2</v>
      </c>
      <c r="B11" s="0" t="s">
        <v>149</v>
      </c>
      <c r="F11" s="0" t="s">
        <v>150</v>
      </c>
    </row>
    <row r="12">
      <c r="C12" s="0" t="s">
        <v>151</v>
      </c>
      <c r="F12" s="0" t="s">
        <v>152</v>
      </c>
    </row>
    <row r="13">
      <c r="F13" s="0" t="s">
        <v>153</v>
      </c>
    </row>
    <row r="14">
      <c r="F14" s="0" t="s">
        <v>154</v>
      </c>
    </row>
    <row r="15">
      <c r="A15" s="0">
        <v>3</v>
      </c>
      <c r="B15" s="0" t="s">
        <v>155</v>
      </c>
    </row>
    <row r="16">
      <c r="C16" s="0" t="s">
        <v>156</v>
      </c>
      <c r="F16" s="26" t="s">
        <v>157</v>
      </c>
    </row>
    <row r="17">
      <c r="C17" s="0" t="s">
        <v>158</v>
      </c>
      <c r="F17" s="224" t="s">
        <v>159</v>
      </c>
    </row>
    <row r="18">
      <c r="F18" s="222" t="s">
        <v>160</v>
      </c>
    </row>
    <row r="19">
      <c r="A19" s="0">
        <v>4</v>
      </c>
      <c r="B19" s="0" t="s">
        <v>161</v>
      </c>
      <c r="F19" s="222" t="s">
        <v>162</v>
      </c>
    </row>
    <row r="20">
      <c r="C20" s="0" t="s">
        <v>163</v>
      </c>
      <c r="F20" s="224" t="s">
        <v>164</v>
      </c>
    </row>
    <row r="21">
      <c r="F21" s="222" t="s">
        <v>165</v>
      </c>
    </row>
    <row r="22">
      <c r="A22" s="0">
        <v>5</v>
      </c>
      <c r="B22" s="0" t="s">
        <v>166</v>
      </c>
      <c r="F22" s="222" t="s">
        <v>167</v>
      </c>
    </row>
    <row r="23">
      <c r="C23" s="0" t="s">
        <v>168</v>
      </c>
      <c r="F23" s="222" t="s">
        <v>169</v>
      </c>
    </row>
    <row r="24">
      <c r="C24" s="0" t="s">
        <v>170</v>
      </c>
      <c r="F24" s="224" t="s">
        <v>171</v>
      </c>
    </row>
    <row r="25">
      <c r="C25" s="0" t="s">
        <v>172</v>
      </c>
      <c r="F25" s="222" t="s">
        <v>173</v>
      </c>
    </row>
    <row r="26">
      <c r="C26" s="0" t="s">
        <v>174</v>
      </c>
      <c r="F26" s="222" t="s">
        <v>175</v>
      </c>
    </row>
    <row r="27">
      <c r="C27" s="0" t="s">
        <v>176</v>
      </c>
      <c r="F27" s="225" t="s">
        <v>177</v>
      </c>
    </row>
    <row r="28">
      <c r="C28" s="0" t="s">
        <v>178</v>
      </c>
      <c r="F28" s="222" t="s">
        <v>179</v>
      </c>
    </row>
    <row r="29">
      <c r="C29" s="0" t="s">
        <v>180</v>
      </c>
      <c r="F29" s="223" t="s">
        <v>181</v>
      </c>
    </row>
    <row r="30">
      <c r="C30" s="0" t="s">
        <v>182</v>
      </c>
    </row>
    <row r="31">
      <c r="C31" s="0" t="s">
        <v>183</v>
      </c>
    </row>
    <row r="32">
      <c r="C32" s="0" t="s">
        <v>184</v>
      </c>
    </row>
    <row r="33">
      <c r="C33" s="0" t="s">
        <v>185</v>
      </c>
    </row>
    <row r="35">
      <c r="A35" s="0">
        <v>6</v>
      </c>
      <c r="B35" s="0" t="s">
        <v>186</v>
      </c>
    </row>
    <row r="36">
      <c r="C36" s="0" t="s">
        <v>187</v>
      </c>
    </row>
    <row r="37">
      <c r="C37" s="0" t="s">
        <v>188</v>
      </c>
    </row>
    <row r="38">
      <c r="C38" s="0" t="s">
        <v>189</v>
      </c>
    </row>
    <row r="39">
      <c r="C39" s="0" t="s">
        <v>190</v>
      </c>
    </row>
    <row r="41">
      <c r="A41" s="0">
        <v>7</v>
      </c>
      <c r="B41" s="0" t="s">
        <v>191</v>
      </c>
    </row>
    <row r="42">
      <c r="C42" s="0" t="s">
        <v>192</v>
      </c>
    </row>
    <row r="43">
      <c r="C43" s="0" t="s">
        <v>193</v>
      </c>
    </row>
    <row r="44">
      <c r="C44" s="0" t="s">
        <v>194</v>
      </c>
    </row>
    <row r="45">
      <c r="C45" s="0" t="s">
        <v>195</v>
      </c>
    </row>
    <row r="47">
      <c r="A47" s="0">
        <v>8</v>
      </c>
      <c r="B47" s="0" t="s">
        <v>196</v>
      </c>
    </row>
    <row r="48">
      <c r="C48" s="0" t="s">
        <v>197</v>
      </c>
    </row>
    <row r="49">
      <c r="C49" s="0" t="s">
        <v>198</v>
      </c>
    </row>
    <row r="50">
      <c r="C50" s="0" t="s">
        <v>199</v>
      </c>
    </row>
    <row r="51">
      <c r="C51" s="0" t="s">
        <v>200</v>
      </c>
    </row>
    <row r="53">
      <c r="A53" s="0">
        <v>9</v>
      </c>
      <c r="B53" s="0" t="s">
        <v>201</v>
      </c>
    </row>
    <row r="54" ht="15">
      <c r="C54" s="0" t="s">
        <v>202</v>
      </c>
    </row>
    <row r="55" ht="34.8">
      <c r="C55" s="0" t="s">
        <v>203</v>
      </c>
      <c r="F55" s="226" t="s">
        <v>204</v>
      </c>
    </row>
    <row r="56" ht="52.2">
      <c r="F56" s="227" t="s">
        <v>205</v>
      </c>
    </row>
    <row r="57" ht="52.2">
      <c r="F57" s="227" t="s">
        <v>206</v>
      </c>
    </row>
    <row r="58" ht="52.2">
      <c r="A58" s="0">
        <v>10</v>
      </c>
      <c r="B58" s="0" t="s">
        <v>207</v>
      </c>
      <c r="F58" s="227" t="s">
        <v>208</v>
      </c>
    </row>
    <row r="59" ht="35.4">
      <c r="F59" s="228" t="s">
        <v>209</v>
      </c>
    </row>
    <row r="60" ht="52.8">
      <c r="A60" s="0">
        <v>11</v>
      </c>
      <c r="B60" s="0" t="s">
        <v>210</v>
      </c>
      <c r="F60" s="229" t="s">
        <v>211</v>
      </c>
    </row>
    <row r="61" ht="69.6">
      <c r="F61" s="227" t="s">
        <v>212</v>
      </c>
    </row>
    <row r="62" ht="34.8">
      <c r="A62" s="0">
        <v>12</v>
      </c>
      <c r="B62" s="0" t="s">
        <v>213</v>
      </c>
      <c r="F62" s="227" t="s">
        <v>214</v>
      </c>
    </row>
    <row r="63" ht="18">
      <c r="F63" s="230" t="s">
        <v>215</v>
      </c>
    </row>
    <row r="64" ht="69.6">
      <c r="A64" s="0">
        <v>13</v>
      </c>
      <c r="B64" s="0" t="s">
        <v>216</v>
      </c>
      <c r="F64" s="226" t="s">
        <v>217</v>
      </c>
    </row>
    <row r="65" ht="69.6">
      <c r="F65" s="227" t="s">
        <v>218</v>
      </c>
    </row>
    <row r="66" ht="52.2">
      <c r="A66" s="0">
        <v>14</v>
      </c>
      <c r="B66" s="0" t="s">
        <v>219</v>
      </c>
      <c r="F66" s="227" t="s">
        <v>220</v>
      </c>
    </row>
    <row r="67" ht="35.4">
      <c r="F67" s="230" t="s">
        <v>221</v>
      </c>
    </row>
    <row r="68" ht="35.4">
      <c r="A68" s="0">
        <v>15</v>
      </c>
      <c r="B68" s="0" t="s">
        <v>222</v>
      </c>
      <c r="F68" s="231" t="s">
        <v>223</v>
      </c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K46"/>
  <sheetViews>
    <sheetView zoomScale="99" zoomScaleNormal="99" workbookViewId="0">
      <selection activeCell="E13" sqref="E13"/>
    </sheetView>
  </sheetViews>
  <sheetFormatPr defaultRowHeight="14.4" x14ac:dyDescent="0.3"/>
  <cols>
    <col min="2" max="2" width="31" customWidth="1"/>
    <col min="3" max="3" width="32" customWidth="1"/>
    <col min="4" max="4" width="32.6640625" customWidth="1"/>
    <col min="5" max="5" width="20.44140625" customWidth="1"/>
    <col min="6" max="6" width="15.6640625" customWidth="1"/>
    <col min="7" max="7" width="13.33203125" customWidth="1"/>
    <col min="8" max="8" width="15.6640625" customWidth="1"/>
    <col min="9" max="9" width="13.33203125" customWidth="1"/>
    <col min="10" max="10" width="12.6640625" customWidth="1"/>
    <col min="11" max="11" width="11.33203125" customWidth="1"/>
  </cols>
  <sheetData>
    <row r="5">
      <c r="B5" s="164" t="s">
        <v>1</v>
      </c>
      <c r="C5" s="164" t="s">
        <v>114</v>
      </c>
      <c r="D5" s="164" t="s">
        <v>115</v>
      </c>
    </row>
    <row r="6">
      <c r="B6" s="0" t="s">
        <v>63</v>
      </c>
      <c r="C6" s="0" t="s">
        <v>68</v>
      </c>
      <c r="D6" s="0" t="s">
        <v>69</v>
      </c>
    </row>
    <row r="7">
      <c r="B7" s="0" t="s">
        <v>65</v>
      </c>
      <c r="C7" s="0" t="s">
        <v>70</v>
      </c>
      <c r="D7" s="0" t="s">
        <v>71</v>
      </c>
      <c r="F7" s="0">
        <f>14*4*3*2</f>
        <v>336</v>
      </c>
    </row>
    <row r="8">
      <c r="B8" s="0" t="s">
        <v>116</v>
      </c>
      <c r="C8" s="0" t="s">
        <v>72</v>
      </c>
      <c r="D8" s="0" t="s">
        <v>73</v>
      </c>
    </row>
    <row r="9">
      <c r="B9" s="0" t="s">
        <v>64</v>
      </c>
      <c r="C9" s="0" t="s">
        <v>74</v>
      </c>
      <c r="D9" s="0" t="s">
        <v>75</v>
      </c>
    </row>
    <row r="11">
      <c r="E11" s="0" t="s">
        <v>3</v>
      </c>
    </row>
    <row r="12">
      <c r="E12" s="165">
        <v>600001</v>
      </c>
    </row>
    <row r="13">
      <c r="C13" s="0" t="str">
        <f>VLOOKUP(Input!F10,Dropdowns!B6:D9,2,0)</f>
        <v>End of Period Processing</v>
      </c>
      <c r="E13" s="165">
        <v>668900</v>
      </c>
    </row>
    <row r="14">
      <c r="C14" s="0" t="str">
        <f>VLOOKUP(Input!F10,Dropdowns!B6:D9,3,0)</f>
        <v>Reduce Risk and Fraud</v>
      </c>
      <c r="E14" s="233">
        <v>700000</v>
      </c>
    </row>
    <row r="15">
      <c r="E15" s="165">
        <v>800000</v>
      </c>
    </row>
    <row r="16">
      <c r="E16" s="165">
        <v>957039</v>
      </c>
    </row>
    <row r="17">
      <c r="B17" s="164" t="s">
        <v>4</v>
      </c>
      <c r="E17" s="165">
        <v>1000000</v>
      </c>
    </row>
    <row r="18">
      <c r="B18" s="0" t="s">
        <v>77</v>
      </c>
      <c r="E18" s="165">
        <v>1101400</v>
      </c>
    </row>
    <row r="19">
      <c r="B19" s="0" t="s">
        <v>78</v>
      </c>
      <c r="E19" s="165">
        <v>1257800</v>
      </c>
    </row>
    <row r="20">
      <c r="B20" s="0" t="s">
        <v>79</v>
      </c>
      <c r="E20" s="165">
        <v>1300000</v>
      </c>
    </row>
    <row r="21">
      <c r="E21" s="165">
        <v>1428221</v>
      </c>
    </row>
    <row r="22">
      <c r="B22" s="164" t="s">
        <v>3</v>
      </c>
      <c r="E22" s="165">
        <v>1500000</v>
      </c>
    </row>
    <row r="23">
      <c r="B23" s="0" t="s">
        <v>117</v>
      </c>
      <c r="E23" s="165">
        <v>1800000</v>
      </c>
    </row>
    <row r="24">
      <c r="B24" s="0" t="s">
        <v>118</v>
      </c>
      <c r="E24" s="165">
        <v>2034240</v>
      </c>
    </row>
    <row r="25">
      <c r="B25" s="0" t="s">
        <v>119</v>
      </c>
      <c r="E25" s="165">
        <v>2200000</v>
      </c>
    </row>
    <row r="29">
      <c r="D29" s="165"/>
    </row>
    <row r="31">
      <c r="B31" s="164" t="s">
        <v>1</v>
      </c>
      <c r="C31" s="164" t="s">
        <v>108</v>
      </c>
      <c r="D31" s="164" t="s">
        <v>3</v>
      </c>
      <c r="E31" s="164" t="s">
        <v>4</v>
      </c>
      <c r="F31" s="164" t="s">
        <v>120</v>
      </c>
      <c r="G31" s="164" t="s">
        <v>121</v>
      </c>
      <c r="H31" s="164" t="s">
        <v>122</v>
      </c>
      <c r="I31" s="164" t="s">
        <v>123</v>
      </c>
      <c r="J31" s="164" t="s">
        <v>124</v>
      </c>
      <c r="K31" s="164" t="s">
        <v>125</v>
      </c>
    </row>
    <row r="32">
      <c r="B32" s="0" t="s">
        <v>63</v>
      </c>
      <c r="C32" s="0" t="s">
        <v>126</v>
      </c>
      <c r="D32" s="0" t="s">
        <v>117</v>
      </c>
      <c r="E32" s="0" t="s">
        <v>127</v>
      </c>
    </row>
    <row r="33">
      <c r="B33" s="0" t="s">
        <v>63</v>
      </c>
      <c r="C33" s="0" t="s">
        <v>126</v>
      </c>
      <c r="D33" s="0" t="s">
        <v>117</v>
      </c>
      <c r="E33" s="0" t="s">
        <v>128</v>
      </c>
    </row>
    <row r="34">
      <c r="B34" s="0" t="s">
        <v>63</v>
      </c>
      <c r="C34" s="0" t="s">
        <v>126</v>
      </c>
      <c r="D34" s="0" t="s">
        <v>117</v>
      </c>
      <c r="E34" s="0" t="s">
        <v>129</v>
      </c>
    </row>
    <row r="35">
      <c r="B35" s="0" t="s">
        <v>63</v>
      </c>
      <c r="C35" s="0" t="s">
        <v>126</v>
      </c>
      <c r="D35" s="0" t="s">
        <v>118</v>
      </c>
      <c r="E35" s="0" t="s">
        <v>127</v>
      </c>
    </row>
    <row r="36">
      <c r="B36" s="0" t="s">
        <v>63</v>
      </c>
      <c r="C36" s="0" t="s">
        <v>126</v>
      </c>
      <c r="D36" s="0" t="s">
        <v>118</v>
      </c>
      <c r="E36" s="0" t="s">
        <v>128</v>
      </c>
    </row>
    <row r="37">
      <c r="B37" s="0" t="s">
        <v>63</v>
      </c>
      <c r="C37" s="0" t="s">
        <v>126</v>
      </c>
      <c r="D37" s="0" t="s">
        <v>118</v>
      </c>
      <c r="E37" s="0" t="s">
        <v>129</v>
      </c>
    </row>
    <row r="38">
      <c r="B38" s="0" t="s">
        <v>63</v>
      </c>
      <c r="C38" s="0" t="s">
        <v>126</v>
      </c>
      <c r="D38" s="0" t="s">
        <v>119</v>
      </c>
      <c r="E38" s="0" t="s">
        <v>127</v>
      </c>
    </row>
    <row r="39">
      <c r="B39" s="0" t="s">
        <v>63</v>
      </c>
      <c r="C39" s="0" t="s">
        <v>126</v>
      </c>
      <c r="D39" s="0" t="s">
        <v>119</v>
      </c>
      <c r="E39" s="0" t="s">
        <v>128</v>
      </c>
    </row>
    <row r="40">
      <c r="B40" s="0" t="s">
        <v>63</v>
      </c>
      <c r="C40" s="0" t="s">
        <v>126</v>
      </c>
      <c r="D40" s="0" t="s">
        <v>119</v>
      </c>
      <c r="E40" s="0" t="s">
        <v>129</v>
      </c>
    </row>
    <row r="42">
      <c r="B42" s="0" t="s">
        <v>130</v>
      </c>
    </row>
    <row r="44">
      <c r="B44" s="0" t="s">
        <v>131</v>
      </c>
      <c r="C44" s="0" t="s">
        <v>132</v>
      </c>
    </row>
    <row r="45">
      <c r="B45" s="0" t="s">
        <v>133</v>
      </c>
      <c r="C45" s="0" t="s">
        <v>134</v>
      </c>
    </row>
    <row r="46">
      <c r="B46" s="0" t="s">
        <v>135</v>
      </c>
      <c r="C46" s="0" t="s">
        <v>136</v>
      </c>
    </row>
  </sheetData>
  <pageMargins left="0.7" right="0.7" top="0.75" bottom="0.75" header="0.3" footer="0.3"/>
  <pageSetup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8:H19"/>
  <sheetViews>
    <sheetView showGridLines="0" topLeftCell="A2" workbookViewId="0">
      <selection activeCell="F19" sqref="F19"/>
    </sheetView>
  </sheetViews>
  <sheetFormatPr defaultRowHeight="14.4" x14ac:dyDescent="0.3"/>
  <cols>
    <col min="2" max="2" width="14.33203125" customWidth="1"/>
    <col min="3" max="3" width="13.6640625" customWidth="1"/>
    <col min="4" max="4" width="23.109375" customWidth="1"/>
    <col min="5" max="5" width="1.88671875" customWidth="1"/>
    <col min="6" max="6" width="38.109375" customWidth="1"/>
    <col min="7" max="10" width="10.5546875" customWidth="1"/>
  </cols>
  <sheetData>
    <row r="8" ht="20.4">
      <c r="D8" s="627" t="s">
        <v>106</v>
      </c>
      <c r="E8" s="627"/>
      <c r="F8" s="627"/>
      <c r="G8" s="627"/>
    </row>
    <row r="9" ht="15.6"/>
    <row r="10" ht="18.6">
      <c r="D10" s="347" t="s">
        <v>107</v>
      </c>
      <c r="E10" s="345"/>
      <c r="F10" s="620" t="s">
        <v>66</v>
      </c>
    </row>
    <row r="11" ht="7.95" customHeight="1">
      <c r="D11" s="347"/>
      <c r="E11" s="345"/>
      <c r="F11" s="621"/>
    </row>
    <row r="12" ht="18.6">
      <c r="D12" s="347" t="s">
        <v>108</v>
      </c>
      <c r="E12" s="345"/>
      <c r="F12" s="620" t="s">
        <v>109</v>
      </c>
    </row>
    <row r="13" ht="8.4" customHeight="1">
      <c r="D13" s="347"/>
      <c r="E13" s="345"/>
      <c r="F13" s="621"/>
    </row>
    <row r="14" ht="18">
      <c r="D14" s="347" t="s">
        <v>3</v>
      </c>
      <c r="E14" s="345"/>
      <c r="F14" s="622">
        <v>1100000</v>
      </c>
      <c r="H14" s="165"/>
    </row>
    <row r="15" ht="7.95" customHeight="1">
      <c r="D15" s="347"/>
      <c r="E15" s="345"/>
      <c r="F15" s="622"/>
    </row>
    <row r="16" ht="18.6" customHeight="1">
      <c r="D16" s="347" t="s">
        <v>4</v>
      </c>
      <c r="E16" s="345"/>
      <c r="F16" s="620" t="s">
        <v>110</v>
      </c>
    </row>
    <row r="17" ht="11.4" customHeight="1">
      <c r="D17" s="347"/>
      <c r="E17" s="345"/>
    </row>
    <row r="18" ht="18.6" customHeight="1">
      <c r="D18" s="347" t="s">
        <v>111</v>
      </c>
      <c r="E18" s="345"/>
      <c r="F18" s="346" t="str">
        <f>IF(F14&lt;=1257800,"Small",IF(AND(F14&gt;1257800,F14&lt;=2034240),"Medium", "Large"))</f>
        <v>Small</v>
      </c>
      <c r="G18" s="344" t="s">
        <v>112</v>
      </c>
    </row>
    <row r="19" ht="19.8">
      <c r="D19" s="347" t="s">
        <v>113</v>
      </c>
      <c r="F19" s="451" t="str">
        <f>IF(F14&lt;=1105382,"Small",IF(AND(F14&gt;1105382,F14&lt;=1428221),"Medium","Large"))</f>
        <v>Small</v>
      </c>
    </row>
  </sheetData>
  <mergeCells>
    <mergeCell ref="D8:G8"/>
  </mergeCell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Dropdowns!$B$6:$B$9</xm:f>
          </x14:formula1>
          <xm:sqref>F10:F11</xm:sqref>
        </x14:dataValidation>
        <x14:dataValidation type="list" allowBlank="1" showInputMessage="1" showErrorMessage="1" xr:uid="{00000000-0002-0000-0200-000001000000}">
          <x14:formula1>
            <xm:f>Dropdowns!$C$13:$C$14</xm:f>
          </x14:formula1>
          <xm:sqref>F12:F13</xm:sqref>
        </x14:dataValidation>
        <x14:dataValidation type="list" allowBlank="1" showInputMessage="1" showErrorMessage="1" xr:uid="{00000000-0002-0000-0200-000002000000}">
          <x14:formula1>
            <xm:f>Dropdowns!$B$18:$B$21</xm:f>
          </x14:formula1>
          <xm:sqref>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9" tint="0.59999389629810485"/>
  </sheetPr>
  <dimension ref="A2:Y208"/>
  <sheetViews>
    <sheetView tabSelected="1" topLeftCell="E183" zoomScaleNormal="100" workbookViewId="0">
      <selection activeCell="F197" sqref="F197"/>
    </sheetView>
  </sheetViews>
  <sheetFormatPr defaultRowHeight="14.4" x14ac:dyDescent="0.3"/>
  <cols>
    <col min="1" max="1" width="11.5546875" customWidth="1"/>
    <col min="2" max="2" width="12.6640625" customWidth="1"/>
    <col min="3" max="3" width="8.5546875" customWidth="1"/>
    <col min="4" max="4" width="7.109375" customWidth="1"/>
    <col min="5" max="5" width="15.6640625" customWidth="1"/>
    <col min="6" max="6" width="15.6640625" customWidth="1"/>
    <col min="7" max="7" width="15.6640625" customWidth="1"/>
    <col min="8" max="8" width="15.6640625" customWidth="1"/>
    <col min="9" max="9" width="41" customWidth="1"/>
    <col min="10" max="10" width="13.33203125" customWidth="1"/>
    <col min="11" max="11" width="15.5546875" customWidth="1"/>
    <col min="12" max="12" width="19" customWidth="1"/>
    <col min="13" max="13" width="15.5546875" customWidth="1"/>
    <col min="14" max="14" width="15.5546875" customWidth="1"/>
    <col min="15" max="15" width="15.5546875" customWidth="1"/>
    <col min="16" max="16" width="15.5546875" customWidth="1"/>
    <col min="17" max="17" width="15.5546875" customWidth="1"/>
    <col min="18" max="18" width="15.5546875" customWidth="1"/>
    <col min="19" max="19" width="15.5546875" customWidth="1"/>
    <col min="21" max="21" bestFit="1" width="13.5546875" customWidth="1"/>
    <col min="22" max="22" width="15.33203125" customWidth="1"/>
    <col min="23" max="23" width="13.88671875" customWidth="1"/>
    <col min="24" max="24" width="11.88671875" customWidth="1"/>
    <col min="25" max="25" bestFit="1" width="20.21875" customWidth="1"/>
  </cols>
  <sheetData>
    <row r="2">
      <c r="L2" s="165"/>
      <c r="M2" s="165"/>
      <c r="N2" s="165"/>
      <c r="O2" s="165"/>
      <c r="P2" s="165"/>
    </row>
    <row r="3" ht="15" customHeight="1">
      <c r="L3" s="442"/>
      <c r="M3" s="442"/>
      <c r="N3" s="442"/>
      <c r="O3" s="442"/>
      <c r="P3" s="442"/>
      <c r="Q3" s="442"/>
      <c r="R3" s="442"/>
      <c r="S3" s="442"/>
    </row>
    <row r="4" ht="15" customHeight="1">
      <c r="I4" s="472" t="s">
        <v>0</v>
      </c>
      <c r="J4" s="485"/>
      <c r="K4" s="485"/>
      <c r="L4" s="470"/>
      <c r="M4" s="471"/>
      <c r="O4" s="442"/>
      <c r="P4" s="442"/>
      <c r="Q4" s="442"/>
      <c r="R4" s="442"/>
      <c r="S4" s="442"/>
    </row>
    <row r="5" ht="15" customHeight="1">
      <c r="I5" s="10" t="s">
        <v>1</v>
      </c>
      <c r="J5" s="9"/>
      <c r="K5" s="9"/>
      <c r="L5" s="628" t="str">
        <f>Input!F10</f>
        <v>Finance</v>
      </c>
      <c r="M5" s="629"/>
      <c r="N5" s="442"/>
      <c r="O5" s="442"/>
      <c r="P5" s="442"/>
      <c r="Q5" s="442"/>
      <c r="R5" s="442"/>
      <c r="S5" s="442"/>
    </row>
    <row r="6" ht="15" customHeight="1">
      <c r="I6" s="10" t="s">
        <v>2</v>
      </c>
      <c r="J6" s="9"/>
      <c r="K6" s="9"/>
      <c r="L6" s="628" t="str">
        <f>Input!F12</f>
        <v>End of Period Processing</v>
      </c>
      <c r="M6" s="629"/>
      <c r="N6" s="442"/>
      <c r="O6" s="442"/>
      <c r="P6" s="442"/>
      <c r="Q6" s="442"/>
      <c r="R6" s="442"/>
      <c r="S6" s="442"/>
    </row>
    <row r="7" ht="15" customHeight="1">
      <c r="I7" s="10" t="s">
        <v>3</v>
      </c>
      <c r="J7" s="9"/>
      <c r="K7" s="9"/>
      <c r="L7" s="630">
        <f>Input!F14</f>
        <v>800000</v>
      </c>
      <c r="M7" s="631"/>
      <c r="N7" s="442"/>
      <c r="O7" s="442"/>
      <c r="P7" s="442"/>
      <c r="Q7" s="442"/>
      <c r="R7" s="442"/>
      <c r="S7" s="442"/>
    </row>
    <row r="8" ht="15" customHeight="1">
      <c r="I8" s="10" t="s">
        <v>4</v>
      </c>
      <c r="J8" s="9"/>
      <c r="K8" s="9"/>
      <c r="L8" s="628" t="str">
        <f>Input!F16</f>
        <v>IBM Machine Learning</v>
      </c>
      <c r="M8" s="629"/>
      <c r="N8" s="442"/>
      <c r="O8" s="442"/>
      <c r="P8" s="442"/>
      <c r="Q8" s="442"/>
      <c r="R8" s="442"/>
      <c r="S8" s="442"/>
    </row>
    <row r="9" ht="15" customHeight="1">
      <c r="I9" s="21"/>
      <c r="J9" s="13"/>
      <c r="K9" s="13"/>
      <c r="L9" s="463"/>
      <c r="M9" s="464"/>
      <c r="N9" s="442"/>
      <c r="O9" s="442"/>
      <c r="P9" s="442"/>
      <c r="Q9" s="442"/>
      <c r="R9" s="442"/>
      <c r="S9" s="442"/>
    </row>
    <row r="10" ht="16.2" customHeight="1">
      <c r="I10" s="9"/>
      <c r="J10" s="9"/>
      <c r="K10" s="9"/>
      <c r="L10" s="462"/>
      <c r="M10" s="462"/>
      <c r="N10" s="442"/>
      <c r="O10" s="442"/>
      <c r="P10" s="442"/>
      <c r="Q10" s="442"/>
      <c r="R10" s="442"/>
      <c r="S10" s="442"/>
    </row>
    <row r="11" ht="15">
      <c r="I11" s="520" t="s">
        <v>3</v>
      </c>
      <c r="J11" s="521">
        <f>L7</f>
        <v>800000</v>
      </c>
    </row>
    <row r="12" ht="15">
      <c r="U12" s="142"/>
    </row>
    <row r="13">
      <c r="I13" s="368"/>
      <c r="J13" s="637" t="s">
        <v>5</v>
      </c>
      <c r="K13" s="638"/>
      <c r="L13" s="632" t="s">
        <v>6</v>
      </c>
      <c r="M13" s="633"/>
      <c r="N13" s="643" t="s">
        <v>7</v>
      </c>
      <c r="O13" s="643"/>
      <c r="P13" s="632" t="s">
        <v>8</v>
      </c>
      <c r="Q13" s="633"/>
      <c r="R13" s="639" t="s">
        <v>9</v>
      </c>
      <c r="S13" s="640"/>
      <c r="U13" s="142"/>
    </row>
    <row r="14">
      <c r="I14" s="369" t="s">
        <v>10</v>
      </c>
      <c r="J14" s="369" t="s">
        <v>11</v>
      </c>
      <c r="K14" s="369" t="s">
        <v>12</v>
      </c>
      <c r="L14" s="373" t="s">
        <v>11</v>
      </c>
      <c r="M14" s="374" t="s">
        <v>12</v>
      </c>
      <c r="N14" s="375" t="s">
        <v>11</v>
      </c>
      <c r="O14" s="375" t="s">
        <v>12</v>
      </c>
      <c r="P14" s="373" t="s">
        <v>11</v>
      </c>
      <c r="Q14" s="374" t="s">
        <v>12</v>
      </c>
      <c r="R14" s="373" t="s">
        <v>11</v>
      </c>
      <c r="S14" s="374" t="s">
        <v>12</v>
      </c>
      <c r="U14" s="232"/>
    </row>
    <row r="15">
      <c r="I15" s="444"/>
      <c r="J15" s="476"/>
      <c r="K15" s="476"/>
      <c r="L15" s="446"/>
      <c r="M15" s="424"/>
      <c r="N15" s="446"/>
      <c r="O15" s="424"/>
      <c r="P15" s="446"/>
      <c r="Q15" s="445"/>
      <c r="R15" s="495"/>
      <c r="S15" s="445"/>
      <c r="U15" s="142"/>
      <c r="V15" s="142"/>
      <c r="W15" s="142"/>
      <c r="X15" s="142"/>
    </row>
    <row r="16">
      <c r="B16" s="452"/>
      <c r="C16" s="452"/>
      <c r="D16" s="452"/>
      <c r="E16" s="452"/>
      <c r="F16" s="452"/>
      <c r="G16" s="452"/>
      <c r="H16" s="452"/>
      <c r="I16" s="10" t="s">
        <v>13</v>
      </c>
      <c r="J16" s="234">
        <f>L16*(J19/L19)</f>
        <v>3.2533756470784327</v>
      </c>
      <c r="K16" s="234">
        <f>M16*(K19/M19)</f>
        <v>0.50527494350604885</v>
      </c>
      <c r="L16" s="447">
        <f>' Comparision - Results'!C14</f>
        <v>3.6269716172179396</v>
      </c>
      <c r="M16" s="17">
        <f>' Comparision - Results'!D14</f>
        <v>0.56329734951866006</v>
      </c>
      <c r="N16" s="447">
        <f>' Comparision - Results'!E14</f>
        <v>4.6038258236054848</v>
      </c>
      <c r="O16" s="17">
        <f>' Comparision - Results'!F14</f>
        <v>1.1474824255964802</v>
      </c>
      <c r="P16" s="447">
        <f>' Comparision - Results'!G14</f>
        <v>5.913486516455885</v>
      </c>
      <c r="Q16" s="294">
        <f>' Comparision - Results'!H14</f>
        <v>1.8376821096724605</v>
      </c>
      <c r="R16" s="496">
        <f>P16*(R19/P19)</f>
        <v>6.3953468303656136</v>
      </c>
      <c r="S16" s="294">
        <f>Q16*(S19/Q19)</f>
        <v>1.9874255944625083</v>
      </c>
      <c r="U16" s="141"/>
      <c r="V16" s="165"/>
      <c r="W16" s="165"/>
      <c r="X16" s="165"/>
    </row>
    <row r="17">
      <c r="B17" s="453"/>
      <c r="C17" s="453"/>
      <c r="D17" s="453"/>
      <c r="E17" s="453"/>
      <c r="F17" s="453"/>
      <c r="G17" s="453"/>
      <c r="H17" s="453"/>
      <c r="I17" s="10" t="s">
        <v>14</v>
      </c>
      <c r="J17" s="9">
        <v>4.72</v>
      </c>
      <c r="K17" s="9"/>
      <c r="L17" s="448">
        <f>' Comparision - Results'!C16</f>
        <v>5.8829788630382414</v>
      </c>
      <c r="M17" s="14">
        <f>' Comparision - Results'!D16</f>
        <v>17.148864197987258</v>
      </c>
      <c r="N17" s="448">
        <f>' Comparision - Results'!E16</f>
        <v>5.3645024691752647</v>
      </c>
      <c r="O17" s="14">
        <f>' Comparision - Results'!F16</f>
        <v>13.283029653212051</v>
      </c>
      <c r="P17" s="448">
        <f>' Comparision - Results'!G16</f>
        <v>4.6038289595745594</v>
      </c>
      <c r="Q17" s="302">
        <f>' Comparision - Results'!H16</f>
        <v>10.317399971347342</v>
      </c>
      <c r="R17" s="497"/>
      <c r="S17" s="302"/>
      <c r="U17" s="165"/>
      <c r="V17" s="142"/>
      <c r="W17" s="162"/>
      <c r="X17" s="142"/>
    </row>
    <row r="18">
      <c r="I18" s="10"/>
      <c r="J18" s="9"/>
      <c r="K18" s="9"/>
      <c r="L18" s="448"/>
      <c r="M18" s="14"/>
      <c r="N18" s="448"/>
      <c r="O18" s="14"/>
      <c r="P18" s="448"/>
      <c r="Q18" s="302"/>
      <c r="R18" s="497"/>
      <c r="S18" s="302"/>
      <c r="U18" s="12"/>
      <c r="V18" s="165"/>
      <c r="W18" s="142"/>
    </row>
    <row r="19">
      <c r="F19" s="162"/>
      <c r="I19" s="10" t="s">
        <v>3</v>
      </c>
      <c r="J19" s="12">
        <v>600000</v>
      </c>
      <c r="K19" s="12">
        <f>J19*(M19/L19)</f>
        <v>858459.26147406187</v>
      </c>
      <c r="L19" s="449">
        <f>Costs!E27</f>
        <v>668900</v>
      </c>
      <c r="M19" s="12">
        <f>Costs!F27</f>
        <v>957039</v>
      </c>
      <c r="N19" s="449">
        <f>Costs!G27</f>
        <v>1257800</v>
      </c>
      <c r="O19" s="12">
        <f>Costs!H27</f>
        <v>1106382</v>
      </c>
      <c r="P19" s="449">
        <f>Costs!I27</f>
        <v>2034240</v>
      </c>
      <c r="Q19" s="264">
        <f>Costs!J27</f>
        <v>1428221</v>
      </c>
      <c r="R19" s="498">
        <v>2200000</v>
      </c>
      <c r="S19" s="264">
        <f>Q19*(R19/P19)</f>
        <v>1544599.5556079911</v>
      </c>
      <c r="U19" s="165"/>
      <c r="V19" s="165"/>
      <c r="W19" s="443"/>
    </row>
    <row r="20">
      <c r="I20" s="10"/>
      <c r="J20" s="9"/>
      <c r="K20" s="9"/>
      <c r="L20" s="449"/>
      <c r="M20" s="12"/>
      <c r="N20" s="449"/>
      <c r="O20" s="12"/>
      <c r="P20" s="449"/>
      <c r="Q20" s="264"/>
      <c r="R20" s="498"/>
      <c r="S20" s="264"/>
      <c r="V20" s="165"/>
      <c r="W20" s="142"/>
    </row>
    <row r="21">
      <c r="I21" s="10" t="s">
        <v>15</v>
      </c>
      <c r="J21" s="9"/>
      <c r="K21" s="9"/>
      <c r="L21" s="449">
        <f>' Comparision - Results'!C4</f>
        <v>7794117.9575001216</v>
      </c>
      <c r="M21" s="12">
        <f>' Comparision - Results'!D4</f>
        <v>6686747.4064818071</v>
      </c>
      <c r="N21" s="449">
        <f>' Comparision - Results'!E4</f>
        <v>13956331.575984955</v>
      </c>
      <c r="O21" s="12">
        <f>' Comparision - Results'!F4</f>
        <v>11550634.5167948</v>
      </c>
      <c r="P21" s="449">
        <f>' Comparision - Results'!G4</f>
        <v>24510484.683694191</v>
      </c>
      <c r="Q21" s="264">
        <f>' Comparision - Results'!H4</f>
        <v>20914810.223434679</v>
      </c>
      <c r="R21" s="498"/>
      <c r="S21" s="264"/>
      <c r="V21" s="142"/>
      <c r="W21" s="142"/>
      <c r="X21" s="162"/>
      <c r="Y21" s="142">
        <f>W21*X21</f>
        <v>0</v>
      </c>
    </row>
    <row r="22" ht="15">
      <c r="G22" s="162"/>
      <c r="I22" s="21" t="s">
        <v>16</v>
      </c>
      <c r="J22" s="13"/>
      <c r="K22" s="13"/>
      <c r="L22" s="450">
        <f>' Comparision - Results'!C5</f>
        <v>1684496.6</v>
      </c>
      <c r="M22" s="367">
        <f>' Comparision - Results'!D5</f>
        <v>4277335.6</v>
      </c>
      <c r="N22" s="450">
        <f>' Comparision - Results'!E5</f>
        <v>2490500.6</v>
      </c>
      <c r="O22" s="367">
        <f>' Comparision - Results'!F5</f>
        <v>5378686.4</v>
      </c>
      <c r="P22" s="450">
        <f>' Comparision - Results'!G5</f>
        <v>3545314.6</v>
      </c>
      <c r="Q22" s="391">
        <f>' Comparision - Results'!H5</f>
        <v>7370385.2</v>
      </c>
      <c r="R22" s="499"/>
      <c r="S22" s="391"/>
      <c r="U22" s="165"/>
      <c r="V22" s="165"/>
      <c r="W22" s="165"/>
    </row>
    <row r="23">
      <c r="U23" s="165"/>
      <c r="V23" s="165"/>
      <c r="W23" s="165"/>
    </row>
    <row r="24" ht="15">
      <c r="U24" s="162"/>
      <c r="V24" s="162"/>
      <c r="W24" s="162"/>
    </row>
    <row r="25">
      <c r="E25" s="635" t="s">
        <v>17</v>
      </c>
      <c r="F25" s="636"/>
      <c r="G25" s="641" t="s">
        <v>17</v>
      </c>
      <c r="H25" s="636"/>
      <c r="I25" s="368"/>
      <c r="J25" s="637" t="s">
        <v>18</v>
      </c>
      <c r="K25" s="642"/>
      <c r="L25" s="632" t="s">
        <v>6</v>
      </c>
      <c r="M25" s="633"/>
      <c r="N25" s="643" t="s">
        <v>7</v>
      </c>
      <c r="O25" s="643"/>
      <c r="P25" s="632" t="s">
        <v>8</v>
      </c>
      <c r="Q25" s="633"/>
      <c r="R25" s="634" t="s">
        <v>19</v>
      </c>
      <c r="S25" s="634"/>
      <c r="U25" s="142"/>
      <c r="V25" s="142"/>
      <c r="W25" s="142"/>
    </row>
    <row r="26">
      <c r="A26" s="511">
        <f>J11</f>
        <v>800000</v>
      </c>
      <c r="E26" s="522" t="s">
        <v>11</v>
      </c>
      <c r="F26" s="523" t="s">
        <v>12</v>
      </c>
      <c r="G26" s="523" t="s">
        <v>11</v>
      </c>
      <c r="H26" s="524" t="s">
        <v>12</v>
      </c>
      <c r="I26" s="369" t="s">
        <v>20</v>
      </c>
      <c r="J26" s="369" t="s">
        <v>11</v>
      </c>
      <c r="K26" s="369" t="s">
        <v>12</v>
      </c>
      <c r="L26" s="373" t="s">
        <v>11</v>
      </c>
      <c r="M26" s="374" t="s">
        <v>12</v>
      </c>
      <c r="N26" s="375" t="s">
        <v>11</v>
      </c>
      <c r="O26" s="375" t="s">
        <v>12</v>
      </c>
      <c r="P26" s="373" t="s">
        <v>11</v>
      </c>
      <c r="Q26" s="374" t="s">
        <v>12</v>
      </c>
      <c r="R26" s="375" t="s">
        <v>11</v>
      </c>
      <c r="S26" s="375" t="s">
        <v>12</v>
      </c>
      <c r="U26" s="142"/>
      <c r="V26" s="143"/>
    </row>
    <row r="27">
      <c r="E27" s="10"/>
      <c r="F27" s="9"/>
      <c r="G27" s="9"/>
      <c r="H27" s="11"/>
      <c r="I27" s="10"/>
      <c r="J27" s="9"/>
      <c r="K27" s="9"/>
      <c r="L27" s="10"/>
      <c r="M27" s="9"/>
      <c r="N27" s="9"/>
      <c r="O27" s="9"/>
      <c r="P27" s="9"/>
      <c r="Q27" s="11"/>
      <c r="R27" s="9"/>
      <c r="S27" s="9"/>
      <c r="V27" s="143"/>
      <c r="W27" s="162"/>
    </row>
    <row r="28">
      <c r="E28" s="527"/>
      <c r="F28" s="528"/>
      <c r="G28" s="529"/>
      <c r="H28" s="530"/>
      <c r="I28" s="427" t="s">
        <v>21</v>
      </c>
      <c r="J28" s="486"/>
      <c r="K28" s="426"/>
      <c r="L28" s="427"/>
      <c r="M28" s="426"/>
      <c r="N28" s="426"/>
      <c r="O28" s="426"/>
      <c r="P28" s="426"/>
      <c r="Q28" s="428"/>
      <c r="R28" s="426"/>
      <c r="S28" s="426"/>
    </row>
    <row r="29">
      <c r="A29" s="165">
        <f>J52</f>
        <v>800000</v>
      </c>
      <c r="B29" s="165">
        <f>K52</f>
        <v>990285.50585838</v>
      </c>
      <c r="C29" s="162">
        <f>A29/B29</f>
        <v>0.80784783304140106</v>
      </c>
      <c r="D29" s="165"/>
      <c r="E29" s="525">
        <f>IF($J$11&lt;$J$19,0,IF(AND($J$11&gt;=$J$19,$J$11&lt;$L$19),J29,IF(AND($J$11&gt;=$L$19,$J$11&lt;$N$19),L29,IF(AND($J$11&gt;=$N$19,$J$11&lt;$P$19),N29,IF(AND($J$11&gt;=$P$19,$J$11&lt;=$R$19),P29,0)))))</f>
        <v>668900</v>
      </c>
      <c r="F29" s="12">
        <f>IF($J$11&lt;$J$19,0,IF(AND($J$11&gt;=$J$19,$J$11&lt;$L$19),K29,IF(AND($J$11&gt;=$L$19,$J$11&lt;$N$19),M29,IF(AND($J$11&gt;=$N$19,$J$11&lt;$P$19),O29,IF(AND($J$11&gt;=$P$19,$J$11&lt;=$R$19),Q29,0)))))</f>
        <v>957039</v>
      </c>
      <c r="G29" s="12">
        <f>IF($J$11&lt;$J$19,0,IF(AND($J$11&gt;=$J$19,$J$11&lt;$L$19),L29,IF(AND($J$11&gt;=$L$19,$J$11&lt;$N$19),N29,IF(AND($J$11&gt;=$N$19,$J$11&lt;$P$19),P29,IF(AND($J$11&gt;=$P$19,$J$11&lt;=$R$19),R29,0)))))</f>
        <v>1257800</v>
      </c>
      <c r="H29" s="264">
        <f>IF($J$11&lt;$J$19,0,IF(AND($J$11&gt;=$J$19,$J$11&lt;$L$19),M29,IF(AND($J$11&gt;=$L$19,$J$11&lt;$N$19),O29,IF(AND($J$11&gt;=$N$19,$J$11&lt;$P$19),Q29,IF(AND($J$11&gt;=$P$19,$J$11&lt;=$R$19),S29,0)))))</f>
        <v>1106382</v>
      </c>
      <c r="I29" s="254" t="s">
        <v>22</v>
      </c>
      <c r="J29" s="465">
        <f>J19</f>
        <v>600000</v>
      </c>
      <c r="K29" s="46">
        <f>J29*(M29/L29)</f>
        <v>858459.26147406187</v>
      </c>
      <c r="L29" s="512">
        <f>' Comparision - Results'!C23</f>
        <v>668900</v>
      </c>
      <c r="M29" s="474">
        <f>' Comparision - Results'!D23</f>
        <v>957039</v>
      </c>
      <c r="N29" s="487">
        <f>' Comparision - Results'!C42</f>
        <v>1257800</v>
      </c>
      <c r="O29" s="474">
        <f>' Comparision - Results'!D42</f>
        <v>1106382</v>
      </c>
      <c r="P29" s="487">
        <f>' Comparision - Results'!C62</f>
        <v>2034240</v>
      </c>
      <c r="Q29" s="475">
        <f>' Comparision - Results'!D62</f>
        <v>1428221</v>
      </c>
      <c r="R29" s="474">
        <f>R19</f>
        <v>2200000</v>
      </c>
      <c r="S29" s="473">
        <f>S19</f>
        <v>1544599.5556079911</v>
      </c>
    </row>
    <row r="30">
      <c r="A30" s="165">
        <f ref="A30:A43" t="shared" si="0">J53</f>
        <v>447709.3540499236</v>
      </c>
      <c r="B30" s="165">
        <f ref="B30:B43" t="shared" si="1">K53</f>
        <v>1885881.7106469688</v>
      </c>
      <c r="C30" s="162">
        <f ref="C30:C31" t="shared" si="2">A30/B30</f>
        <v>0.2374005493145871</v>
      </c>
      <c r="D30" s="165"/>
      <c r="E30" s="525">
        <f ref="E30:E43" t="shared" si="3">IF($J$11&lt;$L$19,J30,IF(AND($J$11&gt;=$L$19,$J$11&lt;$N$19),L30,IF(AND($J$11&gt;=$N$19,$J$11&lt;$P$19),N30,IF(AND($J$11&gt;=$P$19,$J$11&lt;$R$19),P30,IF($J$11&gt;=$R$19,R30,R30)))))</f>
        <v>399378</v>
      </c>
      <c r="F30" s="12">
        <f ref="F30:F43" t="shared" si="4">IF($J$11&lt;$J$19,0,IF(AND($J$11&gt;=$J$19,$J$11&lt;$L$19),K30,IF(AND($J$11&gt;=$L$19,$J$11&lt;$N$19),M30,IF(AND($J$11&gt;=$N$19,$J$11&lt;$P$19),O30,IF(AND($J$11&gt;=$P$19,$J$11&lt;=$R$19),Q30,0)))))</f>
        <v>1682215</v>
      </c>
      <c r="G30" s="12">
        <f ref="G30:G43" t="shared" si="5">IF($J$11&lt;$L$19,L30,IF(AND($J$11&gt;=$L$19,$J$11&lt;$N$19),N30,IF(AND($J$11&gt;=$N$19,$J$11&lt;$P$19),P30,IF(AND($J$11&gt;=$P$19,$J$11&lt;=$R$19),R30))))</f>
        <v>616482</v>
      </c>
      <c r="H30" s="264">
        <f ref="H30:H43" t="shared" si="6">IF($J$11&lt;$J$19,0,IF(AND($J$11&gt;=$J$19,$J$11&lt;$L$19),M30,IF(AND($J$11&gt;=$L$19,$J$11&lt;$N$19),O30,IF(AND($J$11&gt;=$N$19,$J$11&lt;$P$19),Q30,IF(AND($J$11&gt;=$P$19,$J$11&lt;=$R$19),S30,0)))))</f>
        <v>2597084</v>
      </c>
      <c r="I30" s="254" t="s">
        <v>23</v>
      </c>
      <c r="J30" s="465">
        <f>L30*($J$29/$L$29)</f>
        <v>358240.09567947377</v>
      </c>
      <c r="K30" s="46">
        <f>M30*($L$29/$M$29)</f>
        <v>1175744.7852177392</v>
      </c>
      <c r="L30" s="512">
        <f>' Comparision - Results'!C24</f>
        <v>399378</v>
      </c>
      <c r="M30" s="474">
        <f>' Comparision - Results'!D24</f>
        <v>1682215</v>
      </c>
      <c r="N30" s="487">
        <f>' Comparision - Results'!C43</f>
        <v>616482</v>
      </c>
      <c r="O30" s="474">
        <f>' Comparision - Results'!D43</f>
        <v>2597084</v>
      </c>
      <c r="P30" s="487">
        <f>' Comparision - Results'!C63</f>
        <v>894856</v>
      </c>
      <c r="Q30" s="475">
        <f>' Comparision - Results'!D63</f>
        <v>3877689</v>
      </c>
      <c r="R30" s="474">
        <f>P30*$R$29/$P$29</f>
        <v>967773.32074878085</v>
      </c>
      <c r="S30" s="473">
        <f>Q30*($R$19/$P$19)</f>
        <v>4193662.3997168476</v>
      </c>
    </row>
    <row r="31" ht="15">
      <c r="A31" s="165">
        <f t="shared" si="0"/>
        <v>205406.20000000004</v>
      </c>
      <c r="B31" s="165">
        <f t="shared" si="1"/>
        <v>548783.12725420273</v>
      </c>
      <c r="C31" s="162">
        <f t="shared" si="2"/>
        <v>0.37429394199441829</v>
      </c>
      <c r="D31" s="165"/>
      <c r="E31" s="525">
        <f t="shared" si="3"/>
        <v>205406.20000000004</v>
      </c>
      <c r="F31" s="12">
        <f t="shared" si="4"/>
        <v>546027.2</v>
      </c>
      <c r="G31" s="12">
        <f t="shared" si="5"/>
        <v>205406.20000000004</v>
      </c>
      <c r="H31" s="264">
        <f t="shared" si="6"/>
        <v>558406.79999999993</v>
      </c>
      <c r="I31" s="254" t="s">
        <v>24</v>
      </c>
      <c r="J31" s="465">
        <f ref="J31:J43" t="shared" si="7">L31*($J$29/$L$29)</f>
        <v>184248.34803408585</v>
      </c>
      <c r="K31" s="46">
        <f ref="K31:K43" t="shared" si="8">M31*($L$29/$M$29)</f>
        <v>381632.92622348719</v>
      </c>
      <c r="L31" s="512">
        <f>' Comparision - Results'!C25/3</f>
        <v>205406.20000000004</v>
      </c>
      <c r="M31" s="474">
        <f>' Comparision - Results'!D25/3</f>
        <v>546027.2</v>
      </c>
      <c r="N31" s="487">
        <f>' Comparision - Results'!C44/3</f>
        <v>205406.20000000004</v>
      </c>
      <c r="O31" s="474">
        <f>' Comparision - Results'!D44/3</f>
        <v>558406.79999999993</v>
      </c>
      <c r="P31" s="487">
        <f>' Comparision - Results'!C64/3</f>
        <v>205406.20000000004</v>
      </c>
      <c r="Q31" s="475">
        <f>' Comparision - Results'!D64/3</f>
        <v>688158.4</v>
      </c>
      <c r="R31" s="474">
        <f>P31*$R$29/$P$29</f>
        <v>222143.71952178705</v>
      </c>
      <c r="S31" s="473">
        <f>Q31*($R$19/$P$19)</f>
        <v>744232.97152745</v>
      </c>
    </row>
    <row r="32" ht="15">
      <c r="A32" s="509">
        <f>SUM(A29:A31)</f>
        <v>1453115.5540499236</v>
      </c>
      <c r="B32" s="510">
        <f>SUM(B29:B31)</f>
        <v>3424950.3437595516</v>
      </c>
      <c r="C32" s="165"/>
      <c r="D32" s="165"/>
      <c r="E32" s="526"/>
      <c r="F32" s="528"/>
      <c r="G32" s="528"/>
      <c r="H32" s="531"/>
      <c r="I32" s="427" t="s">
        <v>25</v>
      </c>
      <c r="J32" s="465">
        <f>SUM(J29:J31)</f>
        <v>1142488.4437135598</v>
      </c>
      <c r="K32" s="46">
        <f t="shared" si="8"/>
        <v>2226277.7114412268</v>
      </c>
      <c r="L32" s="498">
        <f ref="L32:R32" t="shared" si="9">SUM(L29:L31)</f>
        <v>1273684.2</v>
      </c>
      <c r="M32" s="465">
        <f t="shared" si="9"/>
        <v>3185281.2</v>
      </c>
      <c r="N32" s="465">
        <f t="shared" si="9"/>
        <v>2079688.2</v>
      </c>
      <c r="O32" s="465">
        <f t="shared" si="9"/>
        <v>4261872.8</v>
      </c>
      <c r="P32" s="465">
        <f t="shared" si="9"/>
        <v>3134502.2</v>
      </c>
      <c r="Q32" s="466">
        <f t="shared" si="9"/>
        <v>5994068.4</v>
      </c>
      <c r="R32" s="465">
        <f t="shared" si="9"/>
        <v>3389917.0402705679</v>
      </c>
      <c r="S32" s="494">
        <f>Q32*$S$29/$Q$29</f>
        <v>6482494.9268522887</v>
      </c>
    </row>
    <row r="33">
      <c r="A33" s="165">
        <f t="shared" si="0"/>
        <v>247549.485481406</v>
      </c>
      <c r="B33" s="165">
        <f t="shared" si="1"/>
        <v>201880.2241467142</v>
      </c>
      <c r="C33" s="162">
        <f>A33/B33</f>
        <v>1.226219589004925</v>
      </c>
      <c r="D33" s="165"/>
      <c r="E33" s="525">
        <f t="shared" si="3"/>
        <v>216000</v>
      </c>
      <c r="F33" s="12">
        <f t="shared" si="4"/>
        <v>179280</v>
      </c>
      <c r="G33" s="12">
        <f t="shared" si="5"/>
        <v>357720</v>
      </c>
      <c r="H33" s="264">
        <f t="shared" si="6"/>
        <v>280800</v>
      </c>
      <c r="I33" s="254" t="s">
        <v>26</v>
      </c>
      <c r="J33" s="465">
        <f t="shared" si="7"/>
        <v>193750.93436986097</v>
      </c>
      <c r="K33" s="46">
        <f t="shared" si="8"/>
        <v>125303.55816220655</v>
      </c>
      <c r="L33" s="512">
        <f>' Comparision - Results'!C27</f>
        <v>216000</v>
      </c>
      <c r="M33" s="474">
        <f>(' Comparision - Results'!D27)</f>
        <v>179280</v>
      </c>
      <c r="N33" s="487">
        <f>' Comparision - Results'!C46</f>
        <v>357720</v>
      </c>
      <c r="O33" s="474">
        <f>' Comparision - Results'!D46</f>
        <v>280800</v>
      </c>
      <c r="P33" s="487">
        <f>' Comparision - Results'!C66</f>
        <v>645000</v>
      </c>
      <c r="Q33" s="475">
        <f>' Comparision - Results'!D66</f>
        <v>512160</v>
      </c>
      <c r="R33" s="474">
        <f>P33*$R$29/$P$29</f>
        <v>697557.81028787163</v>
      </c>
      <c r="S33" s="473">
        <f>Q33*($R$19/$P$19)</f>
        <v>553893.34591788577</v>
      </c>
    </row>
    <row r="34">
      <c r="A34" s="165">
        <f t="shared" si="0"/>
        <v>1136079.979623026</v>
      </c>
      <c r="B34" s="165">
        <f t="shared" si="1"/>
        <v>922813.44880285277</v>
      </c>
      <c r="C34" s="162">
        <f ref="C34:C45" t="shared" si="11">A34/B34</f>
        <v>1.2311047060452354</v>
      </c>
      <c r="D34" s="165"/>
      <c r="E34" s="525">
        <f t="shared" si="3"/>
        <v>997500</v>
      </c>
      <c r="F34" s="12">
        <f t="shared" si="4"/>
        <v>877800</v>
      </c>
      <c r="G34" s="12">
        <f t="shared" si="5"/>
        <v>1620000</v>
      </c>
      <c r="H34" s="264">
        <f t="shared" si="6"/>
        <v>1080000</v>
      </c>
      <c r="I34" s="254" t="s">
        <v>27</v>
      </c>
      <c r="J34" s="465">
        <f t="shared" si="7"/>
        <v>894752.57886081631</v>
      </c>
      <c r="K34" s="46">
        <f t="shared" si="8"/>
        <v>613517.75632967928</v>
      </c>
      <c r="L34" s="512">
        <f>' Comparision - Results'!C28</f>
        <v>997500</v>
      </c>
      <c r="M34" s="474">
        <f>' Comparision - Results'!D28</f>
        <v>877800</v>
      </c>
      <c r="N34" s="487">
        <f>' Comparision - Results'!C47</f>
        <v>1620000</v>
      </c>
      <c r="O34" s="474">
        <f>' Comparision - Results'!D47</f>
        <v>1080000</v>
      </c>
      <c r="P34" s="487">
        <f>' Comparision - Results'!C67</f>
        <v>2383500</v>
      </c>
      <c r="Q34" s="475">
        <f>' Comparision - Results'!D67</f>
        <v>2179200</v>
      </c>
      <c r="R34" s="474">
        <f>P34*$R$29/$P$29</f>
        <v>2577719.4431335535</v>
      </c>
      <c r="S34" s="473">
        <f ref="S34:S43" t="shared" si="12">Q34*($R$19/$P$19)</f>
        <v>2356772.0622935346</v>
      </c>
      <c r="U34" s="162"/>
      <c r="V34" s="162"/>
    </row>
    <row r="35">
      <c r="A35" s="165">
        <f t="shared" si="0"/>
        <v>1178695.8736627612</v>
      </c>
      <c r="B35" s="165">
        <f t="shared" si="1"/>
        <v>1061960.2649006622</v>
      </c>
      <c r="C35" s="162">
        <f t="shared" si="11"/>
        <v>1.109924648426482</v>
      </c>
      <c r="D35" s="165"/>
      <c r="E35" s="525">
        <f t="shared" si="3"/>
        <v>975000</v>
      </c>
      <c r="F35" s="12">
        <f t="shared" si="4"/>
        <v>897000</v>
      </c>
      <c r="G35" s="12">
        <f t="shared" si="5"/>
        <v>1890000</v>
      </c>
      <c r="H35" s="264">
        <f t="shared" si="6"/>
        <v>1638000</v>
      </c>
      <c r="I35" s="254" t="s">
        <v>28</v>
      </c>
      <c r="J35" s="465">
        <f t="shared" si="7"/>
        <v>874570.18986395572</v>
      </c>
      <c r="K35" s="46">
        <f t="shared" si="8"/>
        <v>626937.14676204417</v>
      </c>
      <c r="L35" s="512">
        <f>' Comparision - Results'!C29</f>
        <v>975000</v>
      </c>
      <c r="M35" s="474">
        <f>' Comparision - Results'!D29</f>
        <v>897000</v>
      </c>
      <c r="N35" s="487">
        <f>' Comparision - Results'!C48</f>
        <v>1890000</v>
      </c>
      <c r="O35" s="474">
        <f>' Comparision - Results'!D48</f>
        <v>1638000</v>
      </c>
      <c r="P35" s="487">
        <f>' Comparision - Results'!C68</f>
        <v>3480000</v>
      </c>
      <c r="Q35" s="475">
        <f>' Comparision - Results'!D68</f>
        <v>3045000</v>
      </c>
      <c r="R35" s="474">
        <f>P35*$R$29/$P$29</f>
        <v>3763567.7206229353</v>
      </c>
      <c r="S35" s="473">
        <f t="shared" si="12"/>
        <v>3293121.7555450685</v>
      </c>
    </row>
    <row r="36">
      <c r="A36" s="165"/>
      <c r="B36" s="165"/>
      <c r="C36" s="162"/>
      <c r="D36" s="165"/>
      <c r="E36" s="527"/>
      <c r="F36" s="528"/>
      <c r="G36" s="528"/>
      <c r="H36" s="531"/>
      <c r="I36" s="427" t="s">
        <v>29</v>
      </c>
      <c r="J36" s="465"/>
      <c r="K36" s="46">
        <f t="shared" si="8"/>
        <v>0</v>
      </c>
      <c r="L36" s="512"/>
      <c r="M36" s="487"/>
      <c r="N36" s="487"/>
      <c r="O36" s="487"/>
      <c r="P36" s="487"/>
      <c r="Q36" s="488"/>
      <c r="R36" s="487"/>
      <c r="S36" s="473">
        <f t="shared" si="12"/>
        <v>0</v>
      </c>
      <c r="U36" s="143">
        <f>P35*U34</f>
        <v>0</v>
      </c>
    </row>
    <row r="37">
      <c r="A37" s="165">
        <f t="shared" si="0"/>
        <v>1866999.49057565</v>
      </c>
      <c r="B37" s="165">
        <f t="shared" si="1"/>
        <v>1669079.5720835459</v>
      </c>
      <c r="C37" s="162">
        <f t="shared" si="11"/>
        <v>1.1185802772992044</v>
      </c>
      <c r="D37" s="165"/>
      <c r="E37" s="525">
        <f t="shared" si="3"/>
        <v>1680000.0000000005</v>
      </c>
      <c r="F37" s="12">
        <f t="shared" si="4"/>
        <v>1512000.0000000002</v>
      </c>
      <c r="G37" s="12">
        <f t="shared" si="5"/>
        <v>2520000.0000000005</v>
      </c>
      <c r="H37" s="264">
        <f t="shared" si="6"/>
        <v>2217600.0000000005</v>
      </c>
      <c r="I37" s="254" t="s">
        <v>30</v>
      </c>
      <c r="J37" s="465">
        <f t="shared" si="7"/>
        <v>1506951.7117655857</v>
      </c>
      <c r="K37" s="46">
        <f t="shared" si="8"/>
        <v>1056776.9965487302</v>
      </c>
      <c r="L37" s="512">
        <f>' Comparision - Results'!C31</f>
        <v>1680000.0000000005</v>
      </c>
      <c r="M37" s="474">
        <f>' Comparision - Results'!D31</f>
        <v>1512000.0000000002</v>
      </c>
      <c r="N37" s="487">
        <f>' Comparision - Results'!C50</f>
        <v>2520000.0000000005</v>
      </c>
      <c r="O37" s="474">
        <f>' Comparision - Results'!D50</f>
        <v>2217600.0000000005</v>
      </c>
      <c r="P37" s="487">
        <f>' Comparision - Results'!C70</f>
        <v>2772000.0000000005</v>
      </c>
      <c r="Q37" s="475">
        <f>' Comparision - Results'!D70</f>
        <v>2587200.0000000009</v>
      </c>
      <c r="R37" s="474">
        <f>P37*$R$29/$P$29</f>
        <v>2997876.3567720628</v>
      </c>
      <c r="S37" s="473">
        <f t="shared" si="12"/>
        <v>2798017.9329872592</v>
      </c>
    </row>
    <row r="38">
      <c r="A38" s="165">
        <f t="shared" si="0"/>
        <v>1365692.5114620482</v>
      </c>
      <c r="B38" s="165">
        <f t="shared" si="1"/>
        <v>1101799.2868059096</v>
      </c>
      <c r="C38" s="162">
        <f t="shared" si="11"/>
        <v>1.2395111594428045</v>
      </c>
      <c r="D38" s="165"/>
      <c r="E38" s="525">
        <f t="shared" si="3"/>
        <v>1064000.0000000002</v>
      </c>
      <c r="F38" s="12">
        <f t="shared" si="4"/>
        <v>840000</v>
      </c>
      <c r="G38" s="12">
        <f t="shared" si="5"/>
        <v>2419200.0000000005</v>
      </c>
      <c r="H38" s="264">
        <f t="shared" si="6"/>
        <v>2016000.0000000007</v>
      </c>
      <c r="I38" s="254" t="s">
        <v>31</v>
      </c>
      <c r="J38" s="465">
        <f t="shared" si="7"/>
        <v>954402.75078487094</v>
      </c>
      <c r="K38" s="46">
        <f t="shared" si="8"/>
        <v>587098.331415961</v>
      </c>
      <c r="L38" s="512">
        <f>' Comparision - Results'!C32</f>
        <v>1064000.0000000002</v>
      </c>
      <c r="M38" s="474">
        <f>' Comparision - Results'!D32</f>
        <v>840000</v>
      </c>
      <c r="N38" s="487">
        <f>' Comparision - Results'!C51</f>
        <v>2419200.0000000005</v>
      </c>
      <c r="O38" s="474">
        <f>' Comparision - Results'!D51</f>
        <v>2016000.0000000007</v>
      </c>
      <c r="P38" s="487">
        <f>' Comparision - Results'!C71</f>
        <v>5481000.0000000009</v>
      </c>
      <c r="Q38" s="475">
        <f>' Comparision - Results'!D71</f>
        <v>4725000.0000000009</v>
      </c>
      <c r="R38" s="474">
        <f>P38*$R$29/$P$29</f>
        <v>5927619.1599811241</v>
      </c>
      <c r="S38" s="473">
        <f t="shared" si="12"/>
        <v>5110016.5172251072</v>
      </c>
    </row>
    <row r="39">
      <c r="A39" s="165">
        <f t="shared" si="0"/>
        <v>248832.07417068264</v>
      </c>
      <c r="B39" s="165">
        <f t="shared" si="1"/>
        <v>224746.93723892</v>
      </c>
      <c r="C39" s="162">
        <f t="shared" si="11"/>
        <v>1.1071655846689408</v>
      </c>
      <c r="D39" s="165"/>
      <c r="E39" s="525">
        <f t="shared" si="3"/>
        <v>207162.51750000002</v>
      </c>
      <c r="F39" s="12">
        <f t="shared" si="4"/>
        <v>186446.26575</v>
      </c>
      <c r="G39" s="12">
        <f t="shared" si="5"/>
        <v>394341.78465</v>
      </c>
      <c r="H39" s="264">
        <f t="shared" si="6"/>
        <v>358492.53150000004</v>
      </c>
      <c r="I39" s="254" t="s">
        <v>32</v>
      </c>
      <c r="J39" s="465">
        <f t="shared" si="7"/>
        <v>185823.75616684111</v>
      </c>
      <c r="K39" s="46">
        <f t="shared" si="8"/>
        <v>130312.25181019268</v>
      </c>
      <c r="L39" s="512">
        <f>' Comparision - Results'!C33</f>
        <v>207162.51750000002</v>
      </c>
      <c r="M39" s="474">
        <f>' Comparision - Results'!D33</f>
        <v>186446.26575</v>
      </c>
      <c r="N39" s="487">
        <f>' Comparision - Results'!C52</f>
        <v>394341.78465</v>
      </c>
      <c r="O39" s="474">
        <f>' Comparision - Results'!D52</f>
        <v>358492.53150000004</v>
      </c>
      <c r="P39" s="487">
        <f>' Comparision - Results'!C72</f>
        <v>716859.44062499993</v>
      </c>
      <c r="Q39" s="475">
        <f>' Comparision - Results'!D72</f>
        <v>630836.30774999992</v>
      </c>
      <c r="R39" s="474">
        <f>P39*$R$29/$P$29</f>
        <v>775272.71579312161</v>
      </c>
      <c r="S39" s="473">
        <f t="shared" si="12"/>
        <v>682239.98989794706</v>
      </c>
      <c r="V39" s="0">
        <f>S19/Q19</f>
        <v>1.0814849771904986</v>
      </c>
    </row>
    <row r="40">
      <c r="A40" s="165"/>
      <c r="B40" s="165"/>
      <c r="C40" s="162"/>
      <c r="D40" s="165"/>
      <c r="E40" s="527">
        <f t="shared" si="3"/>
        <v>0</v>
      </c>
      <c r="F40" s="528">
        <f t="shared" si="4"/>
        <v>0</v>
      </c>
      <c r="G40" s="528">
        <f t="shared" si="5"/>
        <v>0</v>
      </c>
      <c r="H40" s="531">
        <f t="shared" si="6"/>
        <v>0</v>
      </c>
      <c r="I40" s="425" t="s">
        <v>33</v>
      </c>
      <c r="J40" s="465"/>
      <c r="K40" s="46">
        <f t="shared" si="8"/>
        <v>0</v>
      </c>
      <c r="L40" s="512"/>
      <c r="M40" s="487"/>
      <c r="N40" s="487"/>
      <c r="O40" s="487"/>
      <c r="P40" s="487"/>
      <c r="Q40" s="488"/>
      <c r="R40" s="487"/>
      <c r="S40" s="473">
        <f t="shared" si="12"/>
        <v>0</v>
      </c>
      <c r="V40" s="143">
        <f>Q33*V39</f>
        <v>553893.34591788577</v>
      </c>
    </row>
    <row r="41">
      <c r="A41" s="165">
        <f t="shared" si="0"/>
        <v>1209464.9881269946</v>
      </c>
      <c r="B41" s="165">
        <f t="shared" si="1"/>
        <v>1036473.654412064</v>
      </c>
      <c r="C41" s="162">
        <f t="shared" si="11"/>
        <v>1.1669037442278833</v>
      </c>
      <c r="D41" s="165"/>
      <c r="E41" s="525">
        <f t="shared" si="3"/>
        <v>1004462.64</v>
      </c>
      <c r="F41" s="12">
        <f t="shared" si="4"/>
        <v>846797.30073184927</v>
      </c>
      <c r="G41" s="12">
        <f t="shared" si="5"/>
        <v>1925331.3113347606</v>
      </c>
      <c r="H41" s="264">
        <f t="shared" si="6"/>
        <v>1698821.7452953765</v>
      </c>
      <c r="I41" s="254" t="s">
        <v>34</v>
      </c>
      <c r="J41" s="465">
        <f t="shared" si="7"/>
        <v>900998.0325908208</v>
      </c>
      <c r="K41" s="46">
        <f t="shared" si="8"/>
        <v>591849.14560381963</v>
      </c>
      <c r="L41" s="512">
        <f>' Comparision - Results'!C35</f>
        <v>1004462.64</v>
      </c>
      <c r="M41" s="474">
        <f>' Comparision - Results'!D35</f>
        <v>846797.30073184927</v>
      </c>
      <c r="N41" s="487">
        <f>' Comparision - Results'!C54</f>
        <v>1925331.3113347606</v>
      </c>
      <c r="O41" s="474">
        <f>' Comparision - Results'!D54</f>
        <v>1698821.7452953765</v>
      </c>
      <c r="P41" s="487">
        <f>' Comparision - Results'!C74</f>
        <v>3097566.7150684935</v>
      </c>
      <c r="Q41" s="475">
        <f>' Comparision - Results'!D74</f>
        <v>2710370.8756849309</v>
      </c>
      <c r="R41" s="474">
        <f>P41*$R$29/$P$29</f>
        <v>3349971.8681918974</v>
      </c>
      <c r="S41" s="473">
        <f t="shared" si="12"/>
        <v>2931225.3846679092</v>
      </c>
    </row>
    <row r="42">
      <c r="A42" s="165">
        <f t="shared" si="0"/>
        <v>1019405.8838512481</v>
      </c>
      <c r="B42" s="165">
        <f t="shared" si="1"/>
        <v>915203.26031584316</v>
      </c>
      <c r="C42" s="162">
        <f t="shared" si="11"/>
        <v>1.1138573561237575</v>
      </c>
      <c r="D42" s="165"/>
      <c r="E42" s="525">
        <f t="shared" si="3"/>
        <v>885000</v>
      </c>
      <c r="F42" s="12">
        <f t="shared" si="4"/>
        <v>801000</v>
      </c>
      <c r="G42" s="12">
        <f t="shared" si="5"/>
        <v>1488750</v>
      </c>
      <c r="H42" s="264">
        <f t="shared" si="6"/>
        <v>1314000</v>
      </c>
      <c r="I42" s="254" t="s">
        <v>35</v>
      </c>
      <c r="J42" s="465">
        <f t="shared" si="7"/>
        <v>793840.63387651369</v>
      </c>
      <c r="K42" s="46">
        <f t="shared" si="8"/>
        <v>559840.19460022007</v>
      </c>
      <c r="L42" s="512">
        <f>' Comparision - Results'!C36</f>
        <v>885000</v>
      </c>
      <c r="M42" s="474">
        <f>' Comparision - Results'!D36</f>
        <v>801000</v>
      </c>
      <c r="N42" s="487">
        <f>' Comparision - Results'!C55</f>
        <v>1488750</v>
      </c>
      <c r="O42" s="474">
        <f>' Comparision - Results'!D55</f>
        <v>1314000</v>
      </c>
      <c r="P42" s="487">
        <f>' Comparision - Results'!C75</f>
        <v>2025000</v>
      </c>
      <c r="Q42" s="475">
        <f>' Comparision - Results'!D75</f>
        <v>1714500</v>
      </c>
      <c r="R42" s="474">
        <f>P42*$R$29/$P$29</f>
        <v>2190007.07881076</v>
      </c>
      <c r="S42" s="473">
        <f t="shared" si="12"/>
        <v>1854205.9933931099</v>
      </c>
    </row>
    <row r="43">
      <c r="A43" s="165">
        <f t="shared" si="0"/>
        <v>893220.0603974883</v>
      </c>
      <c r="B43" s="165">
        <f t="shared" si="1"/>
        <v>635581.72425862658</v>
      </c>
      <c r="C43" s="162">
        <f t="shared" si="11"/>
        <v>1.4053583139750967</v>
      </c>
      <c r="D43" s="165"/>
      <c r="E43" s="525">
        <f t="shared" si="3"/>
        <v>764992.80000012112</v>
      </c>
      <c r="F43" s="12">
        <f t="shared" si="4"/>
        <v>546423.83999995771</v>
      </c>
      <c r="G43" s="12">
        <f t="shared" si="5"/>
        <v>1340988.4800001937</v>
      </c>
      <c r="H43" s="264">
        <f t="shared" si="6"/>
        <v>946920.23999942432</v>
      </c>
      <c r="I43" s="10" t="s">
        <v>36</v>
      </c>
      <c r="J43" s="465">
        <f t="shared" si="7"/>
        <v>686194.76752888726</v>
      </c>
      <c r="K43" s="46">
        <f t="shared" si="8"/>
        <v>381910.14846413961</v>
      </c>
      <c r="L43" s="512">
        <f>' Comparision - Results'!C37</f>
        <v>764992.80000012112</v>
      </c>
      <c r="M43" s="474">
        <f>' Comparision - Results'!D37</f>
        <v>546423.83999995771</v>
      </c>
      <c r="N43" s="487">
        <f>' Comparision - Results'!C56</f>
        <v>1340988.4800001937</v>
      </c>
      <c r="O43" s="474">
        <f>' Comparision - Results'!D56</f>
        <v>946920.23999942432</v>
      </c>
      <c r="P43" s="487">
        <f>' Comparision - Results'!C76</f>
        <v>3909558.5280006975</v>
      </c>
      <c r="Q43" s="475">
        <f>' Comparision - Results'!D76</f>
        <v>2810543.0399997458</v>
      </c>
      <c r="R43" s="474">
        <f>P43*$R$29/$P$29</f>
        <v>4228128.8154797535</v>
      </c>
      <c r="S43" s="473">
        <f t="shared" si="12"/>
        <v>3039560.0755070397</v>
      </c>
    </row>
    <row r="44" ht="15">
      <c r="C44" s="162"/>
      <c r="E44" s="532"/>
      <c r="F44" s="533"/>
      <c r="G44" s="533"/>
      <c r="H44" s="534"/>
      <c r="I44" s="429"/>
      <c r="J44" s="500"/>
      <c r="K44" s="430"/>
      <c r="L44" s="429"/>
      <c r="M44" s="430"/>
      <c r="N44" s="430"/>
      <c r="O44" s="430"/>
      <c r="P44" s="430"/>
      <c r="Q44" s="431"/>
      <c r="R44" s="474"/>
      <c r="S44" s="426"/>
    </row>
    <row r="45" ht="15">
      <c r="A45" s="509">
        <f>SUM(A33:A43)</f>
        <v>9165940.3473513052</v>
      </c>
      <c r="B45" s="509">
        <f>SUM(B33:B43)</f>
        <v>7769538.3729651384</v>
      </c>
      <c r="C45" s="162">
        <f t="shared" si="11"/>
        <v>1.1797277917109057</v>
      </c>
      <c r="E45" s="511">
        <f>SUM(E33:E43)</f>
        <v>7794117.9575001216</v>
      </c>
      <c r="F45" s="511">
        <f ref="F45:G45" t="shared" si="13">SUM(F33:F43)</f>
        <v>6686747.4064818071</v>
      </c>
      <c r="G45" s="511">
        <f t="shared" si="13"/>
        <v>13956331.575984955</v>
      </c>
      <c r="H45" s="511">
        <f>SUM(H33:H43)</f>
        <v>11550634.5167948</v>
      </c>
      <c r="I45" s="469"/>
      <c r="J45" s="511">
        <f ref="J45:Q45" t="shared" si="14">SUM(J33:J43)/3</f>
        <v>2330428.4519360508</v>
      </c>
      <c r="K45" s="511">
        <f t="shared" si="14"/>
        <v>1557848.5098989976</v>
      </c>
      <c r="L45" s="535">
        <f t="shared" si="14"/>
        <v>2598039.3191667073</v>
      </c>
      <c r="M45" s="535">
        <f t="shared" si="14"/>
        <v>2228915.8021606025</v>
      </c>
      <c r="N45" s="535">
        <f t="shared" si="14"/>
        <v>4652110.5253283186</v>
      </c>
      <c r="O45" s="535">
        <f t="shared" si="14"/>
        <v>3850211.5055982671</v>
      </c>
      <c r="P45" s="535">
        <f t="shared" si="14"/>
        <v>8170161.5612313971</v>
      </c>
      <c r="Q45" s="535">
        <f t="shared" si="14"/>
        <v>6971603.40781156</v>
      </c>
      <c r="R45" s="511"/>
      <c r="S45" s="511"/>
    </row>
    <row r="46" ht="15" customHeight="1">
      <c r="L46" s="442"/>
      <c r="M46" s="442"/>
      <c r="N46" s="442"/>
      <c r="O46" s="442"/>
      <c r="P46" s="442"/>
      <c r="Q46" s="442"/>
      <c r="R46" s="442"/>
      <c r="S46" s="442"/>
    </row>
    <row r="47" ht="15" customHeight="1">
      <c r="A47" s="246"/>
      <c r="B47" s="246"/>
      <c r="C47" s="246"/>
      <c r="I47" s="0" t="s">
        <v>37</v>
      </c>
      <c r="L47" s="442"/>
      <c r="M47" s="442"/>
      <c r="N47" s="442"/>
      <c r="O47" s="442"/>
      <c r="P47" s="442"/>
      <c r="Q47" s="442"/>
      <c r="R47" s="442"/>
      <c r="S47" s="442"/>
    </row>
    <row r="48" ht="15" customHeight="1">
      <c r="I48" s="368"/>
      <c r="J48" s="536" t="s">
        <v>11</v>
      </c>
      <c r="K48" s="538" t="s">
        <v>12</v>
      </c>
      <c r="L48" s="442"/>
      <c r="M48" s="442"/>
      <c r="N48" s="442"/>
      <c r="O48" s="442"/>
      <c r="P48" s="442"/>
      <c r="Q48" s="442"/>
      <c r="R48" s="442"/>
      <c r="S48" s="442"/>
    </row>
    <row r="49" ht="15" customHeight="1">
      <c r="I49" s="369" t="s">
        <v>20</v>
      </c>
      <c r="J49" s="537" t="s">
        <v>38</v>
      </c>
      <c r="K49" s="539" t="s">
        <v>39</v>
      </c>
      <c r="L49" s="442"/>
      <c r="M49" s="442"/>
      <c r="N49" s="165"/>
      <c r="O49" s="442"/>
      <c r="P49" s="442"/>
      <c r="Q49" s="442"/>
      <c r="R49" s="442"/>
      <c r="S49" s="442"/>
    </row>
    <row r="50" ht="15" customHeight="1">
      <c r="I50" s="10"/>
      <c r="J50" s="540"/>
      <c r="K50" s="11"/>
      <c r="L50" s="442"/>
      <c r="M50" s="442"/>
      <c r="N50" s="165"/>
      <c r="O50" s="442"/>
      <c r="P50" s="442"/>
      <c r="Q50" s="442"/>
      <c r="R50" s="442"/>
      <c r="S50" s="442"/>
    </row>
    <row r="51" ht="15" customHeight="1">
      <c r="I51" s="427" t="s">
        <v>21</v>
      </c>
      <c r="J51" s="541"/>
      <c r="K51" s="428"/>
      <c r="L51" s="442"/>
      <c r="M51" s="442"/>
      <c r="N51" s="165"/>
      <c r="O51" s="442"/>
      <c r="P51" s="442"/>
      <c r="Q51" s="442"/>
      <c r="R51" s="442"/>
      <c r="S51" s="442"/>
    </row>
    <row r="52" ht="15" customHeight="1">
      <c r="F52" s="165"/>
      <c r="G52" s="165"/>
      <c r="H52" s="165"/>
      <c r="I52" s="254" t="s">
        <v>22</v>
      </c>
      <c r="J52" s="542">
        <f>E29+ ((G29-E29)*(($J$11-$E$29)/($G$29-$E$29)))</f>
        <v>800000</v>
      </c>
      <c r="K52" s="301">
        <f>F29+ ((H29-F29)*(($J$11-$E$29)/($G$29-$E$29)))</f>
        <v>990285.50585838</v>
      </c>
      <c r="L52" s="442">
        <f>J52/K52</f>
        <v>0.80784783304140106</v>
      </c>
      <c r="M52" s="165"/>
      <c r="N52" s="165"/>
      <c r="O52" s="442"/>
      <c r="P52" s="442"/>
      <c r="Q52" s="442"/>
      <c r="R52" s="442"/>
      <c r="S52" s="442"/>
    </row>
    <row r="53" ht="15" customHeight="1">
      <c r="I53" s="254" t="s">
        <v>23</v>
      </c>
      <c r="J53" s="542">
        <f ref="J53:J66" t="shared" si="15">E30+ ((G30-E30)*(($J$11-$E$29)/($G$29-$E$29)))</f>
        <v>447709.3540499236</v>
      </c>
      <c r="K53" s="301">
        <f ref="K53:K66" t="shared" si="16">F30+ ((H30-F30)*(($J$11-$E$29)/($G$29-$E$29)))</f>
        <v>1885881.7106469688</v>
      </c>
      <c r="L53" s="442">
        <f>J54/K54</f>
        <v>0.37429394199441829</v>
      </c>
      <c r="M53" s="165"/>
      <c r="N53" s="165"/>
      <c r="O53" s="442"/>
      <c r="P53" s="442"/>
      <c r="Q53" s="442"/>
      <c r="R53" s="442"/>
      <c r="S53" s="442"/>
    </row>
    <row r="54" ht="15" customHeight="1">
      <c r="F54" s="165"/>
      <c r="I54" s="254" t="s">
        <v>24</v>
      </c>
      <c r="J54" s="542">
        <f t="shared" si="15"/>
        <v>205406.20000000004</v>
      </c>
      <c r="K54" s="301">
        <f t="shared" si="16"/>
        <v>548783.12725420273</v>
      </c>
      <c r="M54" s="165"/>
      <c r="N54" s="165"/>
      <c r="O54" s="442"/>
      <c r="P54" s="442"/>
      <c r="Q54" s="442"/>
      <c r="R54" s="442"/>
      <c r="S54" s="442"/>
    </row>
    <row r="55" ht="15" customHeight="1">
      <c r="I55" s="427" t="s">
        <v>25</v>
      </c>
      <c r="J55" s="543"/>
      <c r="K55" s="466"/>
      <c r="L55" s="442"/>
      <c r="M55" s="165"/>
      <c r="N55" s="165"/>
      <c r="O55" s="442"/>
      <c r="P55" s="442"/>
      <c r="Q55" s="442"/>
      <c r="R55" s="442"/>
      <c r="S55" s="442"/>
    </row>
    <row r="56" ht="15" customHeight="1">
      <c r="I56" s="254" t="s">
        <v>26</v>
      </c>
      <c r="J56" s="542">
        <f t="shared" si="15"/>
        <v>247549.485481406</v>
      </c>
      <c r="K56" s="301">
        <f t="shared" si="16"/>
        <v>201880.2241467142</v>
      </c>
      <c r="L56" s="442">
        <f ref="L56:L68" t="shared" si="17">J56/K56</f>
        <v>1.226219589004925</v>
      </c>
      <c r="M56" s="165"/>
      <c r="N56" s="165"/>
      <c r="O56" s="442"/>
      <c r="P56" s="442"/>
      <c r="Q56" s="442"/>
      <c r="R56" s="442"/>
      <c r="S56" s="442"/>
    </row>
    <row r="57" ht="15" customHeight="1">
      <c r="F57" s="165"/>
      <c r="I57" s="254" t="s">
        <v>27</v>
      </c>
      <c r="J57" s="542">
        <f t="shared" si="15"/>
        <v>1136079.979623026</v>
      </c>
      <c r="K57" s="301">
        <f t="shared" si="16"/>
        <v>922813.44880285277</v>
      </c>
      <c r="L57" s="442">
        <f t="shared" si="17"/>
        <v>1.2311047060452354</v>
      </c>
      <c r="M57" s="165"/>
      <c r="N57" s="165"/>
      <c r="O57" s="442"/>
      <c r="P57" s="442"/>
      <c r="Q57" s="442"/>
      <c r="R57" s="442"/>
      <c r="S57" s="442"/>
    </row>
    <row r="58" ht="15" customHeight="1">
      <c r="G58" s="165"/>
      <c r="I58" s="254" t="s">
        <v>28</v>
      </c>
      <c r="J58" s="542">
        <f t="shared" si="15"/>
        <v>1178695.8736627612</v>
      </c>
      <c r="K58" s="301">
        <f t="shared" si="16"/>
        <v>1061960.2649006622</v>
      </c>
      <c r="L58" s="442">
        <f t="shared" si="17"/>
        <v>1.109924648426482</v>
      </c>
      <c r="M58" s="165"/>
      <c r="N58" s="165"/>
      <c r="O58" s="442"/>
      <c r="P58" s="442"/>
      <c r="Q58" s="442"/>
      <c r="R58" s="442"/>
      <c r="S58" s="442"/>
    </row>
    <row r="59" ht="15" customHeight="1">
      <c r="G59" s="165"/>
      <c r="I59" s="427" t="s">
        <v>29</v>
      </c>
      <c r="J59" s="543"/>
      <c r="K59" s="466"/>
      <c r="L59" s="442"/>
      <c r="M59" s="165"/>
      <c r="N59" s="165"/>
      <c r="O59" s="442"/>
      <c r="P59" s="442"/>
      <c r="Q59" s="442"/>
      <c r="R59" s="442"/>
      <c r="S59" s="442"/>
    </row>
    <row r="60" ht="15" customHeight="1">
      <c r="E60" s="162"/>
      <c r="G60" s="165"/>
      <c r="I60" s="254" t="s">
        <v>30</v>
      </c>
      <c r="J60" s="542">
        <f t="shared" si="15"/>
        <v>1866999.49057565</v>
      </c>
      <c r="K60" s="301">
        <f t="shared" si="16"/>
        <v>1669079.5720835459</v>
      </c>
      <c r="L60" s="442">
        <f t="shared" si="17"/>
        <v>1.1185802772992044</v>
      </c>
      <c r="M60" s="165"/>
      <c r="N60" s="165"/>
      <c r="O60" s="442"/>
      <c r="P60" s="442"/>
      <c r="Q60" s="442"/>
      <c r="R60" s="442"/>
      <c r="S60" s="442"/>
    </row>
    <row r="61" ht="15" customHeight="1">
      <c r="G61" s="165"/>
      <c r="I61" s="254" t="s">
        <v>31</v>
      </c>
      <c r="J61" s="542">
        <f t="shared" si="15"/>
        <v>1365692.5114620482</v>
      </c>
      <c r="K61" s="301">
        <f t="shared" si="16"/>
        <v>1101799.2868059096</v>
      </c>
      <c r="L61" s="442">
        <f t="shared" si="17"/>
        <v>1.2395111594428045</v>
      </c>
      <c r="M61" s="165"/>
      <c r="N61" s="165"/>
      <c r="O61" s="442"/>
      <c r="P61" s="442"/>
      <c r="Q61" s="442"/>
      <c r="R61" s="442"/>
      <c r="S61" s="442"/>
    </row>
    <row r="62" ht="15" customHeight="1">
      <c r="G62" s="165"/>
      <c r="I62" s="254" t="s">
        <v>32</v>
      </c>
      <c r="J62" s="542">
        <f t="shared" si="15"/>
        <v>248832.07417068264</v>
      </c>
      <c r="K62" s="301">
        <f t="shared" si="16"/>
        <v>224746.93723892</v>
      </c>
      <c r="L62" s="442">
        <f t="shared" si="17"/>
        <v>1.1071655846689408</v>
      </c>
      <c r="M62" s="165"/>
      <c r="N62" s="165"/>
      <c r="O62" s="442"/>
      <c r="P62" s="442"/>
      <c r="Q62" s="442"/>
      <c r="R62" s="442"/>
      <c r="S62" s="442"/>
    </row>
    <row r="63" ht="15" customHeight="1">
      <c r="G63" s="162"/>
      <c r="I63" s="425" t="s">
        <v>33</v>
      </c>
      <c r="J63" s="543"/>
      <c r="K63" s="466"/>
      <c r="L63" s="442"/>
      <c r="M63" s="165"/>
      <c r="N63" s="165"/>
      <c r="O63" s="442"/>
      <c r="P63" s="442"/>
      <c r="Q63" s="442"/>
      <c r="R63" s="442"/>
      <c r="S63" s="442"/>
    </row>
    <row r="64" ht="15" customHeight="1">
      <c r="G64" s="165"/>
      <c r="I64" s="254" t="s">
        <v>34</v>
      </c>
      <c r="J64" s="542">
        <f t="shared" si="15"/>
        <v>1209464.9881269946</v>
      </c>
      <c r="K64" s="301">
        <f t="shared" si="16"/>
        <v>1036473.654412064</v>
      </c>
      <c r="L64" s="442">
        <f t="shared" si="17"/>
        <v>1.1669037442278833</v>
      </c>
      <c r="M64" s="165"/>
      <c r="N64" s="165"/>
      <c r="O64" s="442"/>
      <c r="P64" s="442"/>
      <c r="Q64" s="442"/>
      <c r="R64" s="442"/>
      <c r="S64" s="442"/>
    </row>
    <row r="65" ht="15" customHeight="1">
      <c r="G65" s="143"/>
      <c r="I65" s="254" t="s">
        <v>35</v>
      </c>
      <c r="J65" s="542">
        <f t="shared" si="15"/>
        <v>1019405.8838512481</v>
      </c>
      <c r="K65" s="301">
        <f t="shared" si="16"/>
        <v>915203.26031584316</v>
      </c>
      <c r="L65" s="442">
        <f t="shared" si="17"/>
        <v>1.1138573561237575</v>
      </c>
      <c r="M65" s="165"/>
      <c r="N65" s="165"/>
      <c r="O65" s="442"/>
      <c r="P65" s="442"/>
      <c r="Q65" s="442"/>
      <c r="R65" s="442"/>
      <c r="S65" s="442"/>
    </row>
    <row r="66" ht="15" customHeight="1">
      <c r="G66" s="165"/>
      <c r="I66" s="10" t="s">
        <v>36</v>
      </c>
      <c r="J66" s="542">
        <f t="shared" si="15"/>
        <v>893220.0603974883</v>
      </c>
      <c r="K66" s="301">
        <f t="shared" si="16"/>
        <v>635581.72425862658</v>
      </c>
      <c r="L66" s="442">
        <f t="shared" si="17"/>
        <v>1.4053583139750967</v>
      </c>
      <c r="M66" s="165"/>
      <c r="N66" s="165"/>
      <c r="O66" s="442"/>
      <c r="P66" s="442"/>
      <c r="Q66" s="442"/>
      <c r="R66" s="442"/>
      <c r="S66" s="442"/>
    </row>
    <row r="67" ht="15" customHeight="1">
      <c r="I67" s="429"/>
      <c r="J67" s="544"/>
      <c r="K67" s="545"/>
      <c r="L67" s="442"/>
      <c r="M67" s="442"/>
      <c r="N67" s="442"/>
      <c r="O67" s="442"/>
      <c r="P67" s="442"/>
      <c r="Q67" s="442"/>
      <c r="R67" s="442"/>
      <c r="S67" s="442"/>
    </row>
    <row r="68" ht="15" customHeight="1">
      <c r="G68" s="162"/>
      <c r="I68" s="546"/>
      <c r="J68" s="547">
        <f>SUM(J56:J66)/3</f>
        <v>3055313.4491171017</v>
      </c>
      <c r="K68" s="547">
        <f>SUM(K56:K66)/3</f>
        <v>2589846.1243217126</v>
      </c>
      <c r="L68" s="442">
        <f t="shared" si="17"/>
        <v>1.1797277917109057</v>
      </c>
      <c r="M68" s="548"/>
      <c r="N68" s="442"/>
      <c r="O68" s="442"/>
      <c r="P68" s="442"/>
      <c r="Q68" s="442"/>
      <c r="R68" s="442"/>
      <c r="S68" s="442"/>
    </row>
    <row r="69" ht="15" customHeight="1">
      <c r="L69" s="442"/>
      <c r="M69" s="442"/>
      <c r="N69" s="442"/>
      <c r="O69" s="442"/>
      <c r="P69" s="442"/>
      <c r="Q69" s="442"/>
      <c r="R69" s="442"/>
      <c r="S69" s="442"/>
    </row>
    <row r="70" ht="15" customHeight="1">
      <c r="L70" s="442"/>
      <c r="M70" s="442"/>
      <c r="N70" s="442"/>
      <c r="O70" s="442"/>
      <c r="P70" s="442"/>
      <c r="Q70" s="442"/>
      <c r="R70" s="442"/>
      <c r="S70" s="442"/>
    </row>
    <row r="71" ht="15">
      <c r="L71" s="29"/>
      <c r="Q71" s="442"/>
      <c r="R71" s="442"/>
      <c r="S71" s="442"/>
    </row>
    <row r="72">
      <c r="F72" s="165">
        <f>E30</f>
        <v>399378</v>
      </c>
      <c r="I72" s="18" t="s">
        <v>40</v>
      </c>
      <c r="J72" s="477"/>
      <c r="K72" s="477"/>
      <c r="L72" s="30" t="s">
        <v>41</v>
      </c>
      <c r="M72" s="467" t="s">
        <v>42</v>
      </c>
      <c r="N72" s="467" t="s">
        <v>43</v>
      </c>
      <c r="O72" s="467" t="s">
        <v>44</v>
      </c>
      <c r="P72" s="468" t="s">
        <v>45</v>
      </c>
      <c r="Q72" s="442"/>
      <c r="R72" s="442"/>
      <c r="S72" s="442"/>
    </row>
    <row r="73">
      <c r="F73" s="165">
        <f>G30-E30</f>
        <v>217104</v>
      </c>
      <c r="I73" s="27" t="s">
        <v>22</v>
      </c>
      <c r="J73" s="121"/>
      <c r="K73" s="121"/>
      <c r="L73" s="38">
        <f>J52</f>
        <v>800000</v>
      </c>
      <c r="M73" s="38">
        <v>0</v>
      </c>
      <c r="N73" s="38">
        <v>0</v>
      </c>
      <c r="O73" s="38">
        <v>0</v>
      </c>
      <c r="P73" s="52">
        <f>SUM(L73:O73)</f>
        <v>800000</v>
      </c>
      <c r="Q73" s="442"/>
      <c r="R73" s="442"/>
      <c r="S73" s="442"/>
    </row>
    <row r="74">
      <c r="F74" s="50">
        <f>J11/G29</f>
        <v>0.63603116552711081</v>
      </c>
      <c r="I74" s="27" t="s">
        <v>23</v>
      </c>
      <c r="J74" s="121"/>
      <c r="K74" s="121"/>
      <c r="L74" s="38">
        <f>J53</f>
        <v>447709.3540499236</v>
      </c>
      <c r="M74" s="38">
        <v>0</v>
      </c>
      <c r="N74" s="38">
        <v>0</v>
      </c>
      <c r="O74" s="38">
        <v>0</v>
      </c>
      <c r="P74" s="52">
        <f>SUM(L74:O74)</f>
        <v>447709.3540499236</v>
      </c>
      <c r="Q74" s="442"/>
      <c r="R74" s="442"/>
      <c r="S74" s="442"/>
    </row>
    <row r="75" ht="15">
      <c r="F75" s="165">
        <f>F73*F74</f>
        <v>138084.91016059788</v>
      </c>
      <c r="I75" s="27" t="s">
        <v>24</v>
      </c>
      <c r="J75" s="121"/>
      <c r="K75" s="121"/>
      <c r="L75" s="38">
        <f>J54</f>
        <v>205406.20000000004</v>
      </c>
      <c r="M75" s="51">
        <f>L75</f>
        <v>205406.20000000004</v>
      </c>
      <c r="N75" s="51">
        <f>M75</f>
        <v>205406.20000000004</v>
      </c>
      <c r="O75" s="51"/>
      <c r="P75" s="52">
        <f>SUM(L75:O75)</f>
        <v>616218.60000000009</v>
      </c>
      <c r="Q75" s="442"/>
      <c r="R75" s="442"/>
      <c r="S75" s="442"/>
    </row>
    <row r="76" ht="15">
      <c r="F76" s="165">
        <f>F72+F75</f>
        <v>537462.91016059788</v>
      </c>
      <c r="I76" s="134" t="s">
        <v>40</v>
      </c>
      <c r="J76" s="478"/>
      <c r="K76" s="478"/>
      <c r="L76" s="135">
        <f>SUM(L73:L75)</f>
        <v>1453115.5540499236</v>
      </c>
      <c r="M76" s="135">
        <f>SUM(M73:M75)</f>
        <v>205406.20000000004</v>
      </c>
      <c r="N76" s="135">
        <f>SUM(N73:N75)</f>
        <v>205406.20000000004</v>
      </c>
      <c r="O76" s="135">
        <f>SUM(O73:O75)</f>
        <v>0</v>
      </c>
      <c r="P76" s="136">
        <f>SUM(P73:P75)</f>
        <v>1863927.9540499237</v>
      </c>
      <c r="Q76" s="442"/>
      <c r="R76" s="442"/>
      <c r="S76" s="442"/>
    </row>
    <row r="77" ht="15">
      <c r="I77" s="39" t="s">
        <v>46</v>
      </c>
      <c r="J77" s="479"/>
      <c r="K77" s="479"/>
      <c r="L77" s="119">
        <v>0</v>
      </c>
      <c r="M77" s="119">
        <v>0</v>
      </c>
      <c r="N77" s="119">
        <v>0</v>
      </c>
      <c r="O77" s="119">
        <v>0</v>
      </c>
      <c r="P77" s="137">
        <v>0</v>
      </c>
      <c r="Q77" s="442"/>
      <c r="R77" s="442"/>
      <c r="S77" s="442"/>
    </row>
    <row r="78" ht="15.6">
      <c r="I78" s="127" t="s">
        <v>47</v>
      </c>
      <c r="J78" s="480"/>
      <c r="K78" s="480"/>
      <c r="L78" s="138">
        <f>L76*(1+L77)</f>
        <v>1453115.5540499236</v>
      </c>
      <c r="M78" s="138">
        <f ref="M78:P78" t="shared" si="18">M76*(1+M77)</f>
        <v>205406.20000000004</v>
      </c>
      <c r="N78" s="138">
        <f t="shared" si="18"/>
        <v>205406.20000000004</v>
      </c>
      <c r="O78" s="138">
        <f t="shared" si="18"/>
        <v>0</v>
      </c>
      <c r="P78" s="139">
        <f t="shared" si="18"/>
        <v>1863927.9540499237</v>
      </c>
      <c r="Q78" s="442"/>
      <c r="R78" s="442"/>
      <c r="S78" s="442"/>
    </row>
    <row r="79">
      <c r="I79" s="121"/>
      <c r="J79" s="121"/>
      <c r="K79" s="121"/>
      <c r="L79" s="51"/>
      <c r="M79" s="35"/>
      <c r="N79" s="28"/>
      <c r="O79" s="28"/>
      <c r="P79" s="28"/>
      <c r="Q79" s="442"/>
      <c r="R79" s="442"/>
      <c r="S79" s="442"/>
    </row>
    <row r="80" ht="15">
      <c r="L80" s="29"/>
      <c r="Q80" s="442"/>
      <c r="R80" s="442"/>
      <c r="S80" s="442"/>
    </row>
    <row r="81" ht="15">
      <c r="I81" s="57" t="s">
        <v>48</v>
      </c>
      <c r="J81" s="559"/>
      <c r="K81" s="559"/>
      <c r="L81" s="559" t="s">
        <v>41</v>
      </c>
      <c r="M81" s="559" t="s">
        <v>42</v>
      </c>
      <c r="N81" s="559" t="s">
        <v>43</v>
      </c>
      <c r="O81" s="559" t="s">
        <v>44</v>
      </c>
      <c r="P81" s="560" t="s">
        <v>45</v>
      </c>
      <c r="Q81" s="442"/>
      <c r="R81" s="442"/>
      <c r="S81" s="442"/>
      <c r="V81" s="0">
        <f>L84/M84</f>
        <v>-0.50988170036063363</v>
      </c>
    </row>
    <row r="82" ht="15">
      <c r="I82" s="56" t="s">
        <v>15</v>
      </c>
      <c r="J82" s="252"/>
      <c r="K82" s="252"/>
      <c r="L82" s="65"/>
      <c r="M82" s="493">
        <f>J68</f>
        <v>3055313.4491171017</v>
      </c>
      <c r="N82" s="66">
        <f>M82</f>
        <v>3055313.4491171017</v>
      </c>
      <c r="O82" s="66">
        <f>N82</f>
        <v>3055313.4491171017</v>
      </c>
      <c r="P82" s="264">
        <f>SUM(L82:O82)</f>
        <v>9165940.3473513052</v>
      </c>
      <c r="Q82" s="442"/>
      <c r="R82" s="442"/>
      <c r="S82" s="442"/>
      <c r="U82" s="274"/>
    </row>
    <row r="83" ht="15">
      <c r="G83" s="504">
        <f>F33</f>
        <v>179280</v>
      </c>
      <c r="I83" s="16" t="s">
        <v>16</v>
      </c>
      <c r="J83" s="354"/>
      <c r="K83" s="354"/>
      <c r="L83" s="58">
        <f>L76</f>
        <v>1453115.5540499236</v>
      </c>
      <c r="M83" s="58">
        <f ref="M83:O83" t="shared" si="19">M76</f>
        <v>205406.20000000004</v>
      </c>
      <c r="N83" s="58">
        <f t="shared" si="19"/>
        <v>205406.20000000004</v>
      </c>
      <c r="O83" s="58">
        <f t="shared" si="19"/>
        <v>0</v>
      </c>
      <c r="P83" s="358">
        <f>SUM(L83:O83)</f>
        <v>1863927.9540499235</v>
      </c>
      <c r="Q83" s="442"/>
      <c r="R83" s="442"/>
      <c r="S83" s="442"/>
      <c r="U83" s="389"/>
    </row>
    <row r="84" ht="15">
      <c r="G84" s="505">
        <f>H33-F33</f>
        <v>101520</v>
      </c>
      <c r="I84" s="10" t="s">
        <v>49</v>
      </c>
      <c r="J84" s="9"/>
      <c r="K84" s="9"/>
      <c r="L84" s="34">
        <f>L82-L83</f>
        <v>-1453115.5540499236</v>
      </c>
      <c r="M84" s="34">
        <f ref="M84:P84" t="shared" si="20">M82-M83</f>
        <v>2849907.2491171015</v>
      </c>
      <c r="N84" s="34">
        <f t="shared" si="20"/>
        <v>2849907.2491171015</v>
      </c>
      <c r="O84" s="34">
        <f t="shared" si="20"/>
        <v>3055313.4491171017</v>
      </c>
      <c r="P84" s="68">
        <f t="shared" si="20"/>
        <v>7302012.3933013817</v>
      </c>
      <c r="Q84" s="442"/>
      <c r="R84" s="442"/>
      <c r="S84" s="442"/>
      <c r="U84" s="389">
        <f>L84/M83</f>
        <v>-7.0743509886747491</v>
      </c>
    </row>
    <row r="85">
      <c r="G85" s="505">
        <f>J11-E29</f>
        <v>131100</v>
      </c>
      <c r="I85" s="10"/>
      <c r="J85" s="9"/>
      <c r="K85" s="9"/>
      <c r="L85" s="34"/>
      <c r="M85" s="34"/>
      <c r="N85" s="34"/>
      <c r="O85" s="34"/>
      <c r="P85" s="68"/>
      <c r="Q85" s="442"/>
      <c r="R85" s="442"/>
      <c r="S85" s="442"/>
    </row>
    <row r="86">
      <c r="G86" s="505">
        <f>G29-E29</f>
        <v>588900</v>
      </c>
      <c r="I86" s="10" t="s">
        <v>50</v>
      </c>
      <c r="J86" s="9"/>
      <c r="K86" s="9"/>
      <c r="L86" s="271">
        <v>0</v>
      </c>
      <c r="M86" s="271">
        <v>1</v>
      </c>
      <c r="N86" s="271">
        <v>2</v>
      </c>
      <c r="O86" s="271">
        <v>3</v>
      </c>
      <c r="P86" s="272"/>
      <c r="Q86" s="442"/>
      <c r="R86" s="442"/>
      <c r="S86" s="442"/>
    </row>
    <row r="87">
      <c r="G87" s="506">
        <f>G85/G86</f>
        <v>0.22261844116148752</v>
      </c>
      <c r="I87" s="10" t="s">
        <v>51</v>
      </c>
      <c r="J87" s="9"/>
      <c r="K87" s="9"/>
      <c r="L87" s="34">
        <f>L82</f>
        <v>0</v>
      </c>
      <c r="M87" s="34">
        <f>M82</f>
        <v>3055313.4491171017</v>
      </c>
      <c r="N87" s="34">
        <f>M87</f>
        <v>3055313.4491171017</v>
      </c>
      <c r="O87" s="34">
        <f>N87</f>
        <v>3055313.4491171017</v>
      </c>
      <c r="P87" s="68">
        <f>P82</f>
        <v>9165940.3473513052</v>
      </c>
      <c r="Q87" s="442"/>
      <c r="R87" s="442"/>
      <c r="S87" s="442"/>
    </row>
    <row r="88">
      <c r="G88" s="507"/>
      <c r="I88" s="10" t="s">
        <v>52</v>
      </c>
      <c r="J88" s="9"/>
      <c r="K88" s="9"/>
      <c r="L88" s="34">
        <f>L84</f>
        <v>-1453115.5540499236</v>
      </c>
      <c r="M88" s="34">
        <f>$L$88+SUM($M$87:M87)</f>
        <v>1602197.8950671782</v>
      </c>
      <c r="N88" s="34">
        <f>$L$88+SUM($M$87:N87)</f>
        <v>4657511.3441842794</v>
      </c>
      <c r="O88" s="34">
        <f>$L$88+SUM($M$87:O87)</f>
        <v>7712824.7933013812</v>
      </c>
      <c r="P88" s="68"/>
      <c r="Q88" s="442"/>
      <c r="R88" s="442"/>
      <c r="S88" s="442"/>
      <c r="V88" s="143">
        <f>M82/12</f>
        <v>254609.4540930918</v>
      </c>
    </row>
    <row r="89" ht="15.6" customHeight="1">
      <c r="G89" s="508">
        <f>G83+G84*G87</f>
        <v>201880.2241467142</v>
      </c>
      <c r="I89" s="10"/>
      <c r="J89" s="9"/>
      <c r="K89" s="9"/>
      <c r="L89" s="34"/>
      <c r="M89" s="34"/>
      <c r="N89" s="34"/>
      <c r="O89" s="34"/>
      <c r="P89" s="68"/>
      <c r="Q89" s="232"/>
      <c r="R89" s="442"/>
      <c r="S89" s="442"/>
      <c r="V89" s="388">
        <f>L84/V88</f>
        <v>-5.7072332966812258</v>
      </c>
    </row>
    <row r="90" ht="15">
      <c r="I90" s="10"/>
      <c r="J90" s="9"/>
      <c r="K90" s="9"/>
      <c r="L90" s="34"/>
      <c r="M90" s="34"/>
      <c r="N90" s="34"/>
      <c r="O90" s="34"/>
      <c r="P90" s="68"/>
      <c r="Q90" s="442"/>
      <c r="R90" s="442"/>
      <c r="S90" s="442"/>
    </row>
    <row r="91" ht="13.95" customHeight="1">
      <c r="I91" s="59" t="s">
        <v>53</v>
      </c>
      <c r="J91" s="481"/>
      <c r="K91" s="481"/>
      <c r="L91" s="60">
        <f>(P82-P83)/P83</f>
        <v>3.9175400408774621</v>
      </c>
      <c r="M91" s="517">
        <f>IF(J11&lt;L19,(J16+(L16-J16)*((J11-J19)/(L19-J19))),IF(J11&gt;P19,(P16+(R16-P16)*((J11-P19)/(R19-P19))),L91))</f>
        <v>3.9175400408774621</v>
      </c>
      <c r="N91" s="490"/>
      <c r="O91" s="34"/>
      <c r="P91" s="68"/>
      <c r="Q91" s="442"/>
      <c r="R91" s="442"/>
      <c r="S91" s="442"/>
    </row>
    <row r="92" ht="15">
      <c r="I92" s="61" t="s">
        <v>54</v>
      </c>
      <c r="J92" s="482"/>
      <c r="K92" s="482"/>
      <c r="L92" s="62">
        <f>NPV(8%,L84:P84)</f>
        <v>10575580.546497477</v>
      </c>
      <c r="M92" s="514"/>
      <c r="N92" s="34"/>
      <c r="O92" s="34"/>
      <c r="P92" s="68"/>
      <c r="Q92" s="442"/>
      <c r="R92" s="442"/>
      <c r="S92" s="442"/>
    </row>
    <row r="93" ht="15">
      <c r="I93" s="61" t="s">
        <v>55</v>
      </c>
      <c r="J93" s="482"/>
      <c r="K93" s="482"/>
      <c r="L93" s="273">
        <f ref="L93:L93" t="array">(INDEX(K86:N86,MATCH(TRUE,L88:O88&gt;0,0)))+(ABS(INDEX(K88:N88,MATCH(TRUE,L88:O88&gt;0,0)))/(INDEX(L87:O87,MATCH(TRUE,L88:O88&gt;0,0))))</f>
        <v>0.47560277472343548</v>
      </c>
      <c r="M93" s="516">
        <f>L93*12</f>
        <v>5.7072332966812258</v>
      </c>
      <c r="N93" s="489"/>
      <c r="O93" s="34"/>
      <c r="P93" s="68"/>
      <c r="Q93" s="442"/>
      <c r="R93" s="232"/>
      <c r="S93" s="442"/>
    </row>
    <row r="94" ht="15">
      <c r="I94" s="63" t="s">
        <v>56</v>
      </c>
      <c r="J94" s="483"/>
      <c r="K94" s="483"/>
      <c r="L94" s="64">
        <f>P83</f>
        <v>1863927.9540499235</v>
      </c>
      <c r="M94" s="515"/>
      <c r="N94" s="34"/>
      <c r="O94" s="34"/>
      <c r="P94" s="68"/>
      <c r="Q94" s="442"/>
      <c r="R94" s="232"/>
      <c r="S94" s="442"/>
    </row>
    <row r="95" ht="15">
      <c r="I95" s="21"/>
      <c r="J95" s="13"/>
      <c r="K95" s="13"/>
      <c r="L95" s="32"/>
      <c r="M95" s="13"/>
      <c r="N95" s="491"/>
      <c r="O95" s="13"/>
      <c r="P95" s="22"/>
      <c r="Q95" s="442"/>
      <c r="R95" s="232"/>
      <c r="S95" s="442"/>
    </row>
    <row r="96">
      <c r="I96" s="9"/>
      <c r="J96" s="9"/>
      <c r="K96" s="9"/>
      <c r="L96" s="31"/>
      <c r="M96" s="9"/>
      <c r="N96" s="9"/>
      <c r="O96" s="9"/>
      <c r="P96" s="9"/>
      <c r="Q96" s="442"/>
      <c r="R96" s="232"/>
      <c r="S96" s="442"/>
    </row>
    <row r="97">
      <c r="I97" s="9"/>
      <c r="J97" s="9"/>
      <c r="K97" s="9"/>
      <c r="L97" s="31"/>
      <c r="M97" s="9"/>
      <c r="N97" s="9"/>
      <c r="O97" s="9"/>
      <c r="P97" s="9"/>
      <c r="Q97" s="442"/>
      <c r="R97" s="442"/>
      <c r="S97" s="442"/>
    </row>
    <row r="98" ht="15">
      <c r="L98" s="29"/>
      <c r="Q98" s="442"/>
      <c r="R98" s="442"/>
      <c r="S98" s="442"/>
    </row>
    <row r="99">
      <c r="I99" s="18" t="s">
        <v>40</v>
      </c>
      <c r="J99" s="477"/>
      <c r="K99" s="477"/>
      <c r="L99" s="30" t="s">
        <v>41</v>
      </c>
      <c r="M99" s="467" t="s">
        <v>42</v>
      </c>
      <c r="N99" s="467" t="s">
        <v>43</v>
      </c>
      <c r="O99" s="467" t="s">
        <v>44</v>
      </c>
      <c r="P99" s="468" t="s">
        <v>45</v>
      </c>
      <c r="Q99" s="442"/>
      <c r="R99" s="442"/>
      <c r="S99" s="442"/>
    </row>
    <row r="100">
      <c r="I100" s="27" t="s">
        <v>22</v>
      </c>
      <c r="J100" s="121"/>
      <c r="K100" s="121"/>
      <c r="L100" s="38">
        <f>K52</f>
        <v>990285.50585838</v>
      </c>
      <c r="M100" s="38">
        <f>M85</f>
        <v>0</v>
      </c>
      <c r="N100" s="38">
        <f>N85</f>
        <v>0</v>
      </c>
      <c r="O100" s="38">
        <f>O85</f>
        <v>0</v>
      </c>
      <c r="P100" s="52">
        <f>SUM(L100:O100)</f>
        <v>990285.50585838</v>
      </c>
      <c r="Q100" s="442"/>
      <c r="R100" s="442"/>
      <c r="S100" s="442"/>
    </row>
    <row r="101">
      <c r="I101" s="27" t="s">
        <v>23</v>
      </c>
      <c r="J101" s="121"/>
      <c r="K101" s="121"/>
      <c r="L101" s="38">
        <f ref="L101:L102" t="shared" si="22">K53</f>
        <v>1885881.7106469688</v>
      </c>
      <c r="M101" s="38">
        <v>0</v>
      </c>
      <c r="N101" s="38">
        <v>0</v>
      </c>
      <c r="O101" s="38"/>
      <c r="P101" s="52">
        <f>SUM(L101:O101)</f>
        <v>1885881.7106469688</v>
      </c>
      <c r="Q101" s="442"/>
      <c r="R101" s="442"/>
      <c r="S101" s="442"/>
    </row>
    <row r="102" ht="15">
      <c r="I102" s="27" t="s">
        <v>24</v>
      </c>
      <c r="J102" s="121"/>
      <c r="K102" s="121"/>
      <c r="L102" s="38">
        <f t="shared" si="22"/>
        <v>548783.12725420273</v>
      </c>
      <c r="M102" s="51">
        <f>L102</f>
        <v>548783.12725420273</v>
      </c>
      <c r="N102" s="51">
        <f>M102</f>
        <v>548783.12725420273</v>
      </c>
      <c r="O102" s="51"/>
      <c r="P102" s="52">
        <f>SUM(L102:O102)</f>
        <v>1646349.3817626082</v>
      </c>
      <c r="Q102" s="442"/>
      <c r="R102" s="442"/>
      <c r="S102" s="442"/>
    </row>
    <row r="103" ht="15">
      <c r="I103" s="134" t="s">
        <v>40</v>
      </c>
      <c r="J103" s="478"/>
      <c r="K103" s="478"/>
      <c r="L103" s="135">
        <f>SUM(L100:L102)</f>
        <v>3424950.3437595516</v>
      </c>
      <c r="M103" s="135">
        <f>SUM(M100:M102)</f>
        <v>548783.12725420273</v>
      </c>
      <c r="N103" s="135">
        <f>SUM(N100:N102)</f>
        <v>548783.12725420273</v>
      </c>
      <c r="O103" s="135">
        <f>SUM(O100:O102)</f>
        <v>0</v>
      </c>
      <c r="P103" s="136">
        <f>SUM(P100:P102)</f>
        <v>4522516.5982679566</v>
      </c>
      <c r="Q103" s="442"/>
      <c r="R103" s="442"/>
      <c r="S103" s="442"/>
    </row>
    <row r="104" ht="15">
      <c r="I104" s="39" t="s">
        <v>46</v>
      </c>
      <c r="J104" s="479"/>
      <c r="K104" s="479"/>
      <c r="L104" s="119">
        <v>0</v>
      </c>
      <c r="M104" s="119">
        <v>0</v>
      </c>
      <c r="N104" s="119">
        <v>0</v>
      </c>
      <c r="O104" s="119">
        <v>0</v>
      </c>
      <c r="P104" s="137">
        <v>0</v>
      </c>
      <c r="Q104" s="442"/>
      <c r="R104" s="442"/>
      <c r="S104" s="442"/>
    </row>
    <row r="105" ht="15.6">
      <c r="I105" s="127" t="s">
        <v>47</v>
      </c>
      <c r="J105" s="480"/>
      <c r="K105" s="480"/>
      <c r="L105" s="138">
        <f>L103*(1+L104)</f>
        <v>3424950.3437595516</v>
      </c>
      <c r="M105" s="138">
        <f ref="M105:P105" t="shared" si="23">M103*(1+M104)</f>
        <v>548783.12725420273</v>
      </c>
      <c r="N105" s="138">
        <f t="shared" si="23"/>
        <v>548783.12725420273</v>
      </c>
      <c r="O105" s="138">
        <f t="shared" si="23"/>
        <v>0</v>
      </c>
      <c r="P105" s="139">
        <f t="shared" si="23"/>
        <v>4522516.5982679566</v>
      </c>
      <c r="Q105" s="442"/>
      <c r="R105" s="442"/>
      <c r="S105" s="442"/>
    </row>
    <row r="106">
      <c r="I106" s="121"/>
      <c r="J106" s="121"/>
      <c r="K106" s="121"/>
      <c r="L106" s="51"/>
      <c r="M106" s="35"/>
      <c r="N106" s="28"/>
      <c r="O106" s="28"/>
      <c r="P106" s="28"/>
      <c r="Q106" s="442"/>
      <c r="R106" s="442"/>
      <c r="S106" s="442"/>
    </row>
    <row r="107" ht="15">
      <c r="L107" s="29"/>
      <c r="Q107" s="442"/>
      <c r="R107" s="442"/>
      <c r="S107" s="442"/>
    </row>
    <row r="108" ht="15">
      <c r="I108" s="57" t="s">
        <v>48</v>
      </c>
      <c r="J108" s="467"/>
      <c r="K108" s="467"/>
      <c r="L108" s="467" t="s">
        <v>41</v>
      </c>
      <c r="M108" s="467" t="s">
        <v>42</v>
      </c>
      <c r="N108" s="467" t="s">
        <v>43</v>
      </c>
      <c r="O108" s="467" t="s">
        <v>44</v>
      </c>
      <c r="P108" s="468" t="s">
        <v>45</v>
      </c>
      <c r="Q108" s="442"/>
      <c r="R108" s="442"/>
      <c r="S108" s="442"/>
      <c r="V108" s="0">
        <f>L111/M111</f>
        <v>-1.6780228482316995</v>
      </c>
    </row>
    <row r="109">
      <c r="I109" s="56" t="s">
        <v>15</v>
      </c>
      <c r="J109" s="252"/>
      <c r="K109" s="252"/>
      <c r="L109" s="65"/>
      <c r="M109" s="493">
        <f>K68</f>
        <v>2589846.1243217126</v>
      </c>
      <c r="N109" s="66">
        <f>M109</f>
        <v>2589846.1243217126</v>
      </c>
      <c r="O109" s="66">
        <f>N109</f>
        <v>2589846.1243217126</v>
      </c>
      <c r="P109" s="12">
        <f>SUM(L109:O109)</f>
        <v>7769538.3729651384</v>
      </c>
      <c r="Q109" s="442"/>
      <c r="R109" s="442"/>
      <c r="S109" s="442"/>
      <c r="U109" s="274"/>
    </row>
    <row r="110" ht="15">
      <c r="I110" s="16" t="s">
        <v>16</v>
      </c>
      <c r="J110" s="354"/>
      <c r="K110" s="354"/>
      <c r="L110" s="58">
        <f>L103</f>
        <v>3424950.3437595516</v>
      </c>
      <c r="M110" s="58">
        <f ref="M110:O110" t="shared" si="24">M103</f>
        <v>548783.12725420273</v>
      </c>
      <c r="N110" s="58">
        <f t="shared" si="24"/>
        <v>548783.12725420273</v>
      </c>
      <c r="O110" s="58">
        <f t="shared" si="24"/>
        <v>0</v>
      </c>
      <c r="P110" s="358">
        <f>SUM(L110:O110)</f>
        <v>4522516.5982679576</v>
      </c>
      <c r="Q110" s="442"/>
      <c r="R110" s="442"/>
      <c r="S110" s="442"/>
      <c r="T110" s="0" t="s">
        <v>15</v>
      </c>
      <c r="U110" s="389"/>
      <c r="V110" s="0">
        <v>4003543.7255982729</v>
      </c>
      <c r="W110" s="0">
        <v>4003543.7255982729</v>
      </c>
      <c r="X110" s="0">
        <v>4003543.7255982729</v>
      </c>
      <c r="Y110" s="0">
        <v>12010631.17679482</v>
      </c>
    </row>
    <row r="111" ht="15">
      <c r="I111" s="10" t="s">
        <v>49</v>
      </c>
      <c r="J111" s="9"/>
      <c r="K111" s="9"/>
      <c r="L111" s="34">
        <f>L109-L110</f>
        <v>-3424950.3437595516</v>
      </c>
      <c r="M111" s="34">
        <f ref="M111:P111" t="shared" si="25">M109-M110</f>
        <v>2041062.99706751</v>
      </c>
      <c r="N111" s="34">
        <f t="shared" si="25"/>
        <v>2041062.99706751</v>
      </c>
      <c r="O111" s="34">
        <f t="shared" si="25"/>
        <v>2589846.1243217126</v>
      </c>
      <c r="P111" s="68">
        <f t="shared" si="25"/>
        <v>3247021.7746971808</v>
      </c>
      <c r="Q111" s="442"/>
      <c r="R111" s="442"/>
      <c r="S111" s="442"/>
      <c r="T111" s="0" t="s">
        <v>16</v>
      </c>
      <c r="U111" s="389">
        <v>4261872.8</v>
      </c>
      <c r="V111" s="0">
        <v>558406.79999999993</v>
      </c>
      <c r="W111" s="0">
        <v>558406.79999999993</v>
      </c>
      <c r="X111" s="0">
        <v>0</v>
      </c>
      <c r="Y111" s="0">
        <v>5378686.4</v>
      </c>
    </row>
    <row r="112">
      <c r="I112" s="10"/>
      <c r="J112" s="9"/>
      <c r="K112" s="9"/>
      <c r="L112" s="34"/>
      <c r="M112" s="34"/>
      <c r="N112" s="34"/>
      <c r="O112" s="34"/>
      <c r="P112" s="68"/>
      <c r="Q112" s="442"/>
      <c r="R112" s="442"/>
      <c r="S112" s="442"/>
      <c r="T112" s="0" t="s">
        <v>49</v>
      </c>
      <c r="U112" s="0">
        <v>-4261872.8</v>
      </c>
      <c r="V112" s="0">
        <v>3445136.9255982731</v>
      </c>
      <c r="W112" s="0">
        <v>3445136.9255982731</v>
      </c>
      <c r="X112" s="0">
        <v>4003543.7255982729</v>
      </c>
      <c r="Y112" s="0">
        <v>6631944.7767948192</v>
      </c>
    </row>
    <row r="113">
      <c r="I113" s="10" t="s">
        <v>50</v>
      </c>
      <c r="J113" s="9"/>
      <c r="K113" s="9"/>
      <c r="L113" s="271">
        <v>0</v>
      </c>
      <c r="M113" s="271">
        <v>1</v>
      </c>
      <c r="N113" s="271">
        <v>2</v>
      </c>
      <c r="O113" s="271">
        <v>3</v>
      </c>
      <c r="P113" s="272"/>
      <c r="Q113" s="442"/>
      <c r="R113" s="442"/>
      <c r="S113" s="442"/>
    </row>
    <row r="114">
      <c r="I114" s="10" t="s">
        <v>51</v>
      </c>
      <c r="J114" s="9"/>
      <c r="K114" s="9"/>
      <c r="L114" s="34">
        <f>L109</f>
        <v>0</v>
      </c>
      <c r="M114" s="34">
        <f>M109</f>
        <v>2589846.1243217126</v>
      </c>
      <c r="N114" s="34">
        <f ref="N114:O114" t="shared" si="26">N109</f>
        <v>2589846.1243217126</v>
      </c>
      <c r="O114" s="34">
        <f t="shared" si="26"/>
        <v>2589846.1243217126</v>
      </c>
      <c r="P114" s="68">
        <f>P109</f>
        <v>7769538.3729651384</v>
      </c>
      <c r="Q114" s="442"/>
      <c r="R114" s="442"/>
      <c r="S114" s="442"/>
    </row>
    <row r="115">
      <c r="I115" s="10" t="s">
        <v>52</v>
      </c>
      <c r="J115" s="9"/>
      <c r="K115" s="9"/>
      <c r="L115" s="34">
        <f>L111</f>
        <v>-3424950.3437595516</v>
      </c>
      <c r="M115" s="34">
        <f>$L$115+SUM($M$114:M114)</f>
        <v>-835104.219437839</v>
      </c>
      <c r="N115" s="34">
        <f>$L$115+SUM($M$114:N114)</f>
        <v>1754741.9048838737</v>
      </c>
      <c r="O115" s="34">
        <f>$L$115+SUM($M$114:O114)</f>
        <v>4344588.0292055868</v>
      </c>
      <c r="P115" s="68"/>
      <c r="Q115" s="442"/>
      <c r="R115" s="442"/>
      <c r="S115" s="442"/>
      <c r="V115" s="143">
        <f>M109/12</f>
        <v>215820.51036014271</v>
      </c>
    </row>
    <row r="116" ht="13.8" customHeight="1">
      <c r="I116" s="10"/>
      <c r="J116" s="9"/>
      <c r="K116" s="9"/>
      <c r="L116" s="34"/>
      <c r="M116" s="34"/>
      <c r="N116" s="34"/>
      <c r="O116" s="34"/>
      <c r="P116" s="68"/>
      <c r="Q116" s="232"/>
      <c r="R116" s="442"/>
      <c r="S116" s="442"/>
      <c r="V116" s="388">
        <f>L111/V115</f>
        <v>-15.869438627701737</v>
      </c>
    </row>
    <row r="117" ht="13.8" customHeight="1">
      <c r="I117" s="10" t="s">
        <v>57</v>
      </c>
      <c r="J117" s="9"/>
      <c r="K117" s="9"/>
      <c r="L117" s="34"/>
      <c r="M117" s="513">
        <f>IF($J$11&lt;$J$19,0,IF(AND($J$11&gt;=$J$19,$J$11&lt;$L$19),K16,IF(AND($J$11&gt;=$L$19,$J$11&lt;$N$19),M16,IF(AND($J$11&gt;=$N$19,$J$11&lt;$P$19),O16,IF(AND($J$11&gt;=$P$19,$J$11&lt;=$R$19),Q16,0)))))</f>
        <v>0.56329734951866006</v>
      </c>
      <c r="N117" s="34"/>
      <c r="O117" s="34"/>
      <c r="P117" s="68"/>
      <c r="Q117" s="232"/>
      <c r="R117" s="442"/>
      <c r="S117" s="442"/>
      <c r="V117" s="388"/>
    </row>
    <row r="118">
      <c r="I118" s="10" t="s">
        <v>58</v>
      </c>
      <c r="J118" s="9"/>
      <c r="K118" s="9"/>
      <c r="L118" s="34"/>
      <c r="M118" s="513">
        <f>IF($J$11&lt;$J$19,0,IF(AND($J$11&gt;=$J$19,$J$11&lt;$L$19),M16,IF(AND($J$11&gt;=$L$19,$J$11&lt;$N$19),O16,IF(AND($J$11&gt;=$N$19,$J$11&lt;$P$19),Q16,IF(AND($J$11&gt;=$P$19,$J$11&lt;=$R$19),S16,0)))))</f>
        <v>1.1474824255964802</v>
      </c>
      <c r="N118" s="34"/>
      <c r="O118" s="34"/>
      <c r="P118" s="492">
        <f>P111/P110</f>
        <v>0.71796790661657972</v>
      </c>
      <c r="Q118" s="442"/>
      <c r="R118" s="442"/>
      <c r="S118" s="442"/>
    </row>
    <row r="119" ht="15">
      <c r="I119" s="10"/>
      <c r="J119" s="9"/>
      <c r="K119" s="9"/>
      <c r="L119" s="34"/>
      <c r="M119" s="34"/>
      <c r="N119" s="34"/>
      <c r="O119" s="34"/>
      <c r="P119" s="492"/>
      <c r="Q119" s="442"/>
      <c r="R119" s="442"/>
      <c r="S119" s="442"/>
    </row>
    <row r="120" ht="13.95" customHeight="1">
      <c r="I120" s="59" t="s">
        <v>53</v>
      </c>
      <c r="J120" s="481"/>
      <c r="K120" s="481"/>
      <c r="L120" s="60">
        <f>(P109-P110)/P110</f>
        <v>0.71796790661657972</v>
      </c>
      <c r="M120" s="519">
        <f>M117+ ((M118-M117)*(($J$11-$E$29)/($G$29-$E$29)))</f>
        <v>0.69334772050490934</v>
      </c>
      <c r="N120" s="490"/>
      <c r="O120" s="34"/>
      <c r="P120" s="68"/>
      <c r="Q120" s="442"/>
      <c r="R120" s="442"/>
      <c r="S120" s="442"/>
    </row>
    <row r="121" ht="15">
      <c r="I121" s="61" t="s">
        <v>54</v>
      </c>
      <c r="J121" s="482"/>
      <c r="K121" s="482"/>
      <c r="L121" s="62">
        <f>NPV(8%,L111:P111)</f>
        <v>4312376.5125843156</v>
      </c>
      <c r="M121" s="514"/>
      <c r="N121" s="34"/>
      <c r="O121" s="34"/>
      <c r="P121" s="68"/>
      <c r="Q121" s="442"/>
      <c r="R121" s="442"/>
      <c r="S121" s="442"/>
    </row>
    <row r="122" ht="15">
      <c r="I122" s="61" t="s">
        <v>59</v>
      </c>
      <c r="J122" s="482"/>
      <c r="K122" s="482"/>
      <c r="L122" s="273">
        <f ref="L122:L122" t="array">(INDEX(K113:N113,MATCH(TRUE,L115:O115&gt;0,0)))+(ABS(INDEX(K115:N115,MATCH(TRUE,L115:O115&gt;0,0)))/(INDEX(L114:O114,MATCH(TRUE,L115:O115&gt;0,0))))</f>
        <v>1.3224532189751446</v>
      </c>
      <c r="M122" s="518">
        <f>L122*12</f>
        <v>15.869438627701735</v>
      </c>
      <c r="N122" s="489"/>
      <c r="O122" s="34"/>
      <c r="P122" s="68"/>
      <c r="Q122" s="232"/>
      <c r="R122" s="442"/>
      <c r="S122" s="442"/>
    </row>
    <row r="123" ht="15">
      <c r="I123" s="63" t="s">
        <v>56</v>
      </c>
      <c r="J123" s="483"/>
      <c r="K123" s="483"/>
      <c r="L123" s="64">
        <f>P110</f>
        <v>4522516.5982679576</v>
      </c>
      <c r="M123" s="515"/>
      <c r="N123" s="34"/>
      <c r="O123" s="34"/>
      <c r="P123" s="68"/>
      <c r="Q123" s="442"/>
      <c r="R123" s="442"/>
      <c r="S123" s="442"/>
    </row>
    <row r="124" ht="15">
      <c r="I124" s="21"/>
      <c r="J124" s="13"/>
      <c r="K124" s="13"/>
      <c r="L124" s="32"/>
      <c r="M124" s="13"/>
      <c r="N124" s="491"/>
      <c r="O124" s="13"/>
      <c r="P124" s="22"/>
      <c r="Q124" s="442"/>
      <c r="R124" s="442"/>
      <c r="S124" s="442"/>
    </row>
    <row r="125">
      <c r="I125" s="9"/>
      <c r="J125" s="9"/>
      <c r="K125" s="9"/>
      <c r="L125" s="31"/>
      <c r="M125" s="9"/>
      <c r="N125" s="9"/>
      <c r="O125" s="9"/>
      <c r="P125" s="9"/>
      <c r="Q125" s="442"/>
      <c r="R125" s="442"/>
      <c r="S125" s="442"/>
    </row>
    <row r="126" ht="15">
      <c r="L126" s="29"/>
    </row>
    <row r="127" ht="15" customHeight="1">
      <c r="I127" s="454" t="s">
        <v>60</v>
      </c>
      <c r="J127" s="356"/>
      <c r="K127" s="356" t="s">
        <v>61</v>
      </c>
      <c r="L127" s="455" t="s">
        <v>62</v>
      </c>
      <c r="M127" s="442"/>
      <c r="N127" s="442"/>
      <c r="Q127" s="442"/>
      <c r="R127" s="442"/>
      <c r="S127" s="442"/>
    </row>
    <row r="128" ht="15" customHeight="1">
      <c r="I128" s="10" t="s">
        <v>63</v>
      </c>
      <c r="J128" s="9"/>
      <c r="K128" s="14">
        <v>1.1</v>
      </c>
      <c r="L128" s="551">
        <f>K128</f>
        <v>1.1</v>
      </c>
      <c r="M128" s="442"/>
      <c r="N128" s="442"/>
      <c r="Q128" s="442"/>
      <c r="R128" s="442"/>
      <c r="S128" s="442"/>
    </row>
    <row r="129" ht="15" customHeight="1">
      <c r="I129" s="10" t="s">
        <v>64</v>
      </c>
      <c r="J129" s="9"/>
      <c r="K129" s="14">
        <v>1.05</v>
      </c>
      <c r="L129" s="551">
        <f ref="L129:L131" t="shared" si="28">K129</f>
        <v>1.05</v>
      </c>
      <c r="M129" s="442"/>
      <c r="N129" s="442"/>
      <c r="Q129" s="442"/>
      <c r="R129" s="442"/>
      <c r="S129" s="442"/>
    </row>
    <row r="130" ht="15.6" customHeight="1">
      <c r="I130" s="10" t="s">
        <v>65</v>
      </c>
      <c r="J130" s="9"/>
      <c r="K130" s="14">
        <v>1</v>
      </c>
      <c r="L130" s="551">
        <f t="shared" si="28"/>
        <v>1</v>
      </c>
      <c r="M130" s="442"/>
      <c r="N130" s="442"/>
      <c r="O130" s="165"/>
      <c r="Q130" s="442"/>
      <c r="R130" s="442"/>
      <c r="S130" s="442"/>
    </row>
    <row r="131" ht="15" customHeight="1">
      <c r="I131" s="21" t="s">
        <v>66</v>
      </c>
      <c r="J131" s="13"/>
      <c r="K131" s="552">
        <v>0.9</v>
      </c>
      <c r="L131" s="553">
        <f t="shared" si="28"/>
        <v>0.9</v>
      </c>
      <c r="M131" s="442"/>
      <c r="N131" s="442"/>
      <c r="O131" s="165"/>
      <c r="P131" s="442"/>
      <c r="Q131" s="442"/>
      <c r="R131" s="442"/>
      <c r="S131" s="442"/>
    </row>
    <row r="132" ht="15" customHeight="1">
      <c r="I132" s="9"/>
      <c r="J132" s="9"/>
      <c r="K132" s="14"/>
      <c r="L132" s="554"/>
      <c r="M132" s="442"/>
      <c r="N132" s="442"/>
      <c r="O132" s="165"/>
      <c r="P132" s="442"/>
      <c r="Q132" s="442"/>
      <c r="R132" s="442"/>
      <c r="S132" s="442"/>
    </row>
    <row r="133" ht="15" customHeight="1">
      <c r="I133" s="368" t="s">
        <v>67</v>
      </c>
      <c r="J133" s="484"/>
      <c r="K133" s="484" t="s">
        <v>61</v>
      </c>
      <c r="L133" s="456" t="s">
        <v>62</v>
      </c>
      <c r="M133" s="442"/>
      <c r="N133" s="442"/>
      <c r="O133" s="442"/>
      <c r="P133" s="442"/>
      <c r="Q133" s="442"/>
      <c r="R133" s="442"/>
      <c r="S133" s="442"/>
    </row>
    <row r="134" ht="15" customHeight="1">
      <c r="I134" s="10" t="s">
        <v>68</v>
      </c>
      <c r="J134" s="9"/>
      <c r="K134" s="274">
        <v>1.05</v>
      </c>
      <c r="L134" s="551">
        <f>K134</f>
        <v>1.05</v>
      </c>
      <c r="M134" s="442"/>
      <c r="N134" s="442"/>
      <c r="O134" s="442"/>
      <c r="P134" s="442"/>
      <c r="Q134" s="442"/>
      <c r="R134" s="442"/>
      <c r="S134" s="442"/>
    </row>
    <row r="135" ht="15" customHeight="1">
      <c r="I135" s="457" t="s">
        <v>69</v>
      </c>
      <c r="J135" s="462"/>
      <c r="K135" s="14">
        <v>1.02</v>
      </c>
      <c r="L135" s="551">
        <f ref="L135:L141" t="shared" si="29">K135</f>
        <v>1.02</v>
      </c>
      <c r="M135" s="442"/>
      <c r="N135" s="442"/>
      <c r="O135" s="442"/>
      <c r="P135" s="442"/>
      <c r="Q135" s="442"/>
      <c r="R135" s="442"/>
      <c r="S135" s="442"/>
    </row>
    <row r="136" ht="15" customHeight="1">
      <c r="I136" s="10" t="s">
        <v>70</v>
      </c>
      <c r="J136" s="9"/>
      <c r="K136" s="14">
        <v>1.04</v>
      </c>
      <c r="L136" s="551">
        <f t="shared" si="29"/>
        <v>1.04</v>
      </c>
      <c r="M136" s="442"/>
      <c r="N136" s="442"/>
      <c r="O136" s="556"/>
      <c r="P136" s="442"/>
      <c r="Q136" s="442"/>
      <c r="R136" s="442"/>
      <c r="S136" s="442"/>
    </row>
    <row r="137" ht="15" customHeight="1">
      <c r="I137" s="457" t="s">
        <v>71</v>
      </c>
      <c r="J137" s="462"/>
      <c r="K137" s="14">
        <v>1.02</v>
      </c>
      <c r="L137" s="551">
        <f t="shared" si="29"/>
        <v>1.02</v>
      </c>
      <c r="M137" s="442"/>
      <c r="N137" s="442"/>
      <c r="O137" s="442"/>
      <c r="P137" s="442"/>
      <c r="Q137" s="442"/>
      <c r="R137" s="442"/>
      <c r="S137" s="442"/>
    </row>
    <row r="138" ht="15" customHeight="1">
      <c r="I138" s="10" t="s">
        <v>72</v>
      </c>
      <c r="J138" s="9"/>
      <c r="K138" s="14">
        <v>1.01</v>
      </c>
      <c r="L138" s="551">
        <f t="shared" si="29"/>
        <v>1.01</v>
      </c>
      <c r="M138" s="442"/>
      <c r="N138" s="442"/>
      <c r="O138" s="442"/>
      <c r="P138" s="442"/>
      <c r="Q138" s="442"/>
      <c r="R138" s="442"/>
      <c r="S138" s="442"/>
    </row>
    <row r="139" ht="15" customHeight="1">
      <c r="I139" s="457" t="s">
        <v>73</v>
      </c>
      <c r="J139" s="462"/>
      <c r="K139" s="14">
        <v>1</v>
      </c>
      <c r="L139" s="551">
        <f t="shared" si="29"/>
        <v>1</v>
      </c>
      <c r="M139" s="442"/>
      <c r="N139" s="442"/>
      <c r="O139" s="442"/>
      <c r="P139" s="442"/>
      <c r="Q139" s="442"/>
      <c r="R139" s="442"/>
      <c r="S139" s="442"/>
    </row>
    <row r="140" ht="15" customHeight="1">
      <c r="I140" s="10" t="s">
        <v>74</v>
      </c>
      <c r="J140" s="9"/>
      <c r="K140" s="14">
        <v>1.02</v>
      </c>
      <c r="L140" s="551">
        <f t="shared" si="29"/>
        <v>1.02</v>
      </c>
      <c r="M140" s="442"/>
      <c r="N140" s="442"/>
      <c r="O140" s="442"/>
      <c r="P140" s="442"/>
      <c r="Q140" s="442"/>
      <c r="R140" s="442"/>
      <c r="S140" s="442"/>
    </row>
    <row r="141" ht="15" customHeight="1">
      <c r="I141" s="458" t="s">
        <v>75</v>
      </c>
      <c r="J141" s="463"/>
      <c r="K141" s="552">
        <v>1.01</v>
      </c>
      <c r="L141" s="553">
        <f t="shared" si="29"/>
        <v>1.01</v>
      </c>
      <c r="M141" s="442"/>
      <c r="N141" s="442"/>
      <c r="O141" s="442"/>
      <c r="P141" s="442"/>
      <c r="Q141" s="442"/>
      <c r="R141" s="442"/>
      <c r="S141" s="442"/>
    </row>
    <row r="142" ht="16.8" customHeight="1">
      <c r="L142" s="442"/>
      <c r="M142" s="442"/>
      <c r="N142" s="442"/>
      <c r="O142" s="442"/>
      <c r="P142" s="442"/>
      <c r="Q142" s="442"/>
      <c r="R142" s="442"/>
      <c r="S142" s="442"/>
    </row>
    <row r="143" ht="15" customHeight="1">
      <c r="I143" s="459" t="s">
        <v>4</v>
      </c>
      <c r="J143" s="460"/>
      <c r="K143" s="460" t="s">
        <v>61</v>
      </c>
      <c r="L143" s="460" t="s">
        <v>76</v>
      </c>
      <c r="M143" s="461" t="s">
        <v>62</v>
      </c>
      <c r="N143" s="442"/>
      <c r="O143" s="442"/>
      <c r="P143" s="556"/>
      <c r="Q143" s="442"/>
      <c r="R143" s="442"/>
      <c r="S143" s="442"/>
    </row>
    <row r="144" ht="15" customHeight="1">
      <c r="I144" s="10" t="s">
        <v>77</v>
      </c>
      <c r="J144" s="9"/>
      <c r="K144" s="14">
        <v>1</v>
      </c>
      <c r="L144" s="554">
        <v>1</v>
      </c>
      <c r="M144" s="551">
        <v>1</v>
      </c>
      <c r="N144" s="442"/>
      <c r="O144" s="442"/>
      <c r="P144" s="442"/>
      <c r="Q144" s="442"/>
      <c r="R144" s="442"/>
      <c r="S144" s="442"/>
    </row>
    <row r="145" ht="15" customHeight="1">
      <c r="I145" s="10" t="s">
        <v>78</v>
      </c>
      <c r="J145" s="9"/>
      <c r="K145" s="14">
        <v>1.15</v>
      </c>
      <c r="L145" s="554">
        <v>1.1</v>
      </c>
      <c r="M145" s="551">
        <v>1.2</v>
      </c>
      <c r="N145" s="442"/>
      <c r="O145" s="442"/>
      <c r="P145" s="442"/>
      <c r="Q145" s="442"/>
      <c r="R145" s="442"/>
      <c r="S145" s="442"/>
    </row>
    <row r="146" ht="15" customHeight="1">
      <c r="I146" s="21" t="s">
        <v>79</v>
      </c>
      <c r="J146" s="13"/>
      <c r="K146" s="552">
        <v>1.3</v>
      </c>
      <c r="L146" s="555">
        <v>1.2</v>
      </c>
      <c r="M146" s="553">
        <v>1.3</v>
      </c>
      <c r="N146" s="442"/>
      <c r="O146" s="442"/>
      <c r="P146" s="442"/>
      <c r="Q146" s="442"/>
      <c r="R146" s="442"/>
      <c r="S146" s="442"/>
    </row>
    <row r="147" ht="15" customHeight="1">
      <c r="L147" s="442"/>
      <c r="M147" s="442"/>
      <c r="N147" s="442"/>
      <c r="O147" s="442"/>
      <c r="P147" s="442"/>
      <c r="Q147" s="442"/>
      <c r="R147" s="442"/>
      <c r="S147" s="442"/>
    </row>
    <row r="148" ht="15">
      <c r="I148" s="9"/>
      <c r="J148" s="9"/>
      <c r="K148" s="9"/>
      <c r="L148" s="31"/>
      <c r="M148" s="9"/>
      <c r="N148" s="9"/>
      <c r="O148" s="9"/>
      <c r="P148" s="9"/>
      <c r="Q148" s="442"/>
      <c r="R148" s="442"/>
      <c r="S148" s="442"/>
    </row>
    <row r="149">
      <c r="I149" s="368" t="s">
        <v>80</v>
      </c>
      <c r="J149" s="559" t="s">
        <v>11</v>
      </c>
      <c r="K149" s="560" t="s">
        <v>12</v>
      </c>
      <c r="L149" s="31"/>
      <c r="M149" s="9"/>
      <c r="N149" s="9"/>
      <c r="O149" s="9"/>
      <c r="P149" s="9"/>
      <c r="Q149" s="442"/>
      <c r="R149" s="442"/>
      <c r="S149" s="442"/>
    </row>
    <row r="150">
      <c r="I150" s="10" t="s">
        <v>81</v>
      </c>
      <c r="J150" s="17">
        <f>M91</f>
        <v>3.9175400408774621</v>
      </c>
      <c r="K150" s="294">
        <f>M120</f>
        <v>0.69334772050490934</v>
      </c>
      <c r="L150" s="31"/>
      <c r="M150" s="9"/>
      <c r="N150" s="9"/>
      <c r="O150" s="9"/>
      <c r="P150" s="9"/>
      <c r="Q150" s="442"/>
      <c r="R150" s="442"/>
      <c r="S150" s="442"/>
    </row>
    <row r="151">
      <c r="I151" s="10" t="s">
        <v>82</v>
      </c>
      <c r="J151" s="14">
        <f>M93</f>
        <v>5.7072332966812258</v>
      </c>
      <c r="K151" s="566">
        <f>M122</f>
        <v>15.869438627701735</v>
      </c>
      <c r="L151" s="31"/>
      <c r="M151" s="9"/>
      <c r="N151" s="9"/>
      <c r="O151" s="9"/>
      <c r="P151" s="9"/>
      <c r="Q151" s="442"/>
      <c r="R151" s="442"/>
      <c r="S151" s="442"/>
    </row>
    <row r="152" ht="15">
      <c r="I152" s="21"/>
      <c r="J152" s="13"/>
      <c r="K152" s="22"/>
      <c r="L152" s="31"/>
      <c r="M152" s="9"/>
      <c r="N152" s="9"/>
      <c r="O152" s="9"/>
      <c r="P152" s="9"/>
      <c r="Q152" s="442"/>
      <c r="R152" s="442"/>
      <c r="S152" s="442"/>
    </row>
    <row r="153" ht="15">
      <c r="I153" s="9"/>
      <c r="J153" s="9"/>
      <c r="K153" s="9"/>
      <c r="L153" s="31"/>
      <c r="M153" s="9"/>
      <c r="N153" s="9"/>
      <c r="O153" s="9"/>
      <c r="P153" s="9"/>
      <c r="Q153" s="442"/>
      <c r="R153" s="442"/>
      <c r="S153" s="442"/>
    </row>
    <row r="154">
      <c r="I154" s="368" t="s">
        <v>83</v>
      </c>
      <c r="J154" s="559" t="s">
        <v>11</v>
      </c>
      <c r="K154" s="560" t="s">
        <v>12</v>
      </c>
      <c r="L154" s="31"/>
      <c r="M154" s="9"/>
      <c r="N154" s="9"/>
      <c r="O154" s="9"/>
      <c r="P154" s="9"/>
      <c r="Q154" s="442"/>
      <c r="R154" s="442"/>
      <c r="S154" s="442"/>
    </row>
    <row r="155">
      <c r="I155" s="561" t="s">
        <v>84</v>
      </c>
      <c r="J155" s="486"/>
      <c r="K155" s="562"/>
      <c r="L155" s="31"/>
      <c r="M155" s="9"/>
      <c r="N155" s="9"/>
      <c r="O155" s="9"/>
      <c r="P155" s="9"/>
      <c r="Q155" s="442"/>
      <c r="R155" s="442"/>
      <c r="S155" s="442"/>
    </row>
    <row r="156">
      <c r="I156" s="10" t="s">
        <v>22</v>
      </c>
      <c r="J156" s="12">
        <f ref="J156:K158" t="shared" si="30">J52</f>
        <v>800000</v>
      </c>
      <c r="K156" s="264">
        <f t="shared" si="30"/>
        <v>990285.50585838</v>
      </c>
      <c r="L156" s="31"/>
      <c r="M156" s="9"/>
      <c r="N156" s="9"/>
      <c r="O156" s="9"/>
      <c r="P156" s="9"/>
      <c r="Q156" s="442"/>
      <c r="R156" s="442"/>
      <c r="S156" s="442"/>
    </row>
    <row r="157">
      <c r="I157" s="10" t="s">
        <v>23</v>
      </c>
      <c r="J157" s="12">
        <f t="shared" si="30"/>
        <v>447709.3540499236</v>
      </c>
      <c r="K157" s="264">
        <f t="shared" si="30"/>
        <v>1885881.7106469688</v>
      </c>
      <c r="L157" s="31"/>
      <c r="M157" s="9"/>
      <c r="N157" s="9"/>
      <c r="O157" s="9"/>
      <c r="P157" s="9"/>
      <c r="Q157" s="442"/>
      <c r="R157" s="442"/>
      <c r="S157" s="442"/>
    </row>
    <row r="158">
      <c r="I158" s="10" t="s">
        <v>24</v>
      </c>
      <c r="J158" s="12">
        <f t="shared" si="30"/>
        <v>205406.20000000004</v>
      </c>
      <c r="K158" s="264">
        <f t="shared" si="30"/>
        <v>548783.12725420273</v>
      </c>
      <c r="L158" s="31"/>
      <c r="M158" s="9"/>
      <c r="N158" s="9"/>
      <c r="O158" s="9"/>
      <c r="P158" s="9"/>
      <c r="Q158" s="442"/>
      <c r="R158" s="442"/>
      <c r="S158" s="442"/>
    </row>
    <row r="159">
      <c r="I159" s="561" t="s">
        <v>85</v>
      </c>
      <c r="J159" s="465"/>
      <c r="K159" s="466"/>
      <c r="L159" s="31"/>
      <c r="M159" s="9"/>
      <c r="N159" s="9"/>
      <c r="O159" s="9"/>
      <c r="P159" s="9"/>
      <c r="Q159" s="442"/>
      <c r="R159" s="442"/>
      <c r="S159" s="442"/>
    </row>
    <row r="160">
      <c r="I160" s="10" t="s">
        <v>26</v>
      </c>
      <c r="J160" s="12">
        <f ref="J160:K162" t="shared" si="31">J56</f>
        <v>247549.485481406</v>
      </c>
      <c r="K160" s="264">
        <f t="shared" si="31"/>
        <v>201880.2241467142</v>
      </c>
      <c r="L160" s="31"/>
      <c r="M160" s="9"/>
      <c r="N160" s="9"/>
      <c r="O160" s="9"/>
      <c r="P160" s="9"/>
      <c r="Q160" s="442"/>
      <c r="R160" s="442"/>
      <c r="S160" s="442"/>
    </row>
    <row r="161">
      <c r="I161" s="10" t="s">
        <v>27</v>
      </c>
      <c r="J161" s="12">
        <f t="shared" si="31"/>
        <v>1136079.979623026</v>
      </c>
      <c r="K161" s="264">
        <f t="shared" si="31"/>
        <v>922813.44880285277</v>
      </c>
      <c r="L161" s="31"/>
      <c r="M161" s="9"/>
      <c r="N161" s="9"/>
      <c r="O161" s="9"/>
      <c r="P161" s="9"/>
      <c r="Q161" s="442"/>
      <c r="R161" s="442"/>
      <c r="S161" s="442"/>
    </row>
    <row r="162">
      <c r="I162" s="10" t="s">
        <v>28</v>
      </c>
      <c r="J162" s="12">
        <f t="shared" si="31"/>
        <v>1178695.8736627612</v>
      </c>
      <c r="K162" s="264">
        <f t="shared" si="31"/>
        <v>1061960.2649006622</v>
      </c>
      <c r="L162" s="31"/>
      <c r="M162" s="9"/>
      <c r="N162" s="9"/>
      <c r="O162" s="9"/>
      <c r="P162" s="9"/>
      <c r="Q162" s="442"/>
      <c r="R162" s="442"/>
      <c r="S162" s="442"/>
    </row>
    <row r="163">
      <c r="I163" s="561" t="s">
        <v>86</v>
      </c>
      <c r="J163" s="465"/>
      <c r="K163" s="466"/>
      <c r="L163" s="31"/>
      <c r="M163" s="9"/>
      <c r="N163" s="9"/>
      <c r="O163" s="9"/>
      <c r="P163" s="9"/>
      <c r="Q163" s="442"/>
      <c r="R163" s="442"/>
      <c r="S163" s="442"/>
    </row>
    <row r="164">
      <c r="I164" s="10" t="s">
        <v>30</v>
      </c>
      <c r="J164" s="12">
        <f ref="J164:K166" t="shared" si="32">J60</f>
        <v>1866999.49057565</v>
      </c>
      <c r="K164" s="264">
        <f t="shared" si="32"/>
        <v>1669079.5720835459</v>
      </c>
      <c r="L164" s="31"/>
      <c r="M164" s="9"/>
      <c r="N164" s="9"/>
      <c r="O164" s="9"/>
      <c r="P164" s="9"/>
      <c r="Q164" s="442"/>
      <c r="R164" s="442"/>
      <c r="S164" s="442"/>
    </row>
    <row r="165">
      <c r="I165" s="10" t="s">
        <v>31</v>
      </c>
      <c r="J165" s="12">
        <f t="shared" si="32"/>
        <v>1365692.5114620482</v>
      </c>
      <c r="K165" s="264">
        <f t="shared" si="32"/>
        <v>1101799.2868059096</v>
      </c>
      <c r="L165" s="31"/>
      <c r="M165" s="9"/>
      <c r="N165" s="9"/>
      <c r="O165" s="9"/>
      <c r="P165" s="9"/>
      <c r="Q165" s="442"/>
      <c r="R165" s="442"/>
      <c r="S165" s="442"/>
    </row>
    <row r="166">
      <c r="I166" s="10" t="s">
        <v>32</v>
      </c>
      <c r="J166" s="12">
        <f t="shared" si="32"/>
        <v>248832.07417068264</v>
      </c>
      <c r="K166" s="264">
        <f t="shared" si="32"/>
        <v>224746.93723892</v>
      </c>
      <c r="L166" s="31"/>
      <c r="M166" s="9"/>
      <c r="N166" s="9"/>
      <c r="O166" s="9"/>
      <c r="P166" s="9"/>
      <c r="Q166" s="442"/>
      <c r="R166" s="442"/>
      <c r="S166" s="442"/>
    </row>
    <row r="167">
      <c r="I167" s="561" t="s">
        <v>87</v>
      </c>
      <c r="J167" s="465"/>
      <c r="K167" s="466"/>
      <c r="L167" s="31"/>
      <c r="M167" s="9"/>
      <c r="N167" s="9"/>
      <c r="O167" s="9"/>
      <c r="P167" s="9"/>
      <c r="Q167" s="442"/>
      <c r="R167" s="442"/>
      <c r="S167" s="442"/>
    </row>
    <row r="168">
      <c r="I168" s="10" t="s">
        <v>34</v>
      </c>
      <c r="J168" s="12">
        <f ref="J168:K170" t="shared" si="33">J64</f>
        <v>1209464.9881269946</v>
      </c>
      <c r="K168" s="264">
        <f t="shared" si="33"/>
        <v>1036473.654412064</v>
      </c>
      <c r="L168" s="31"/>
      <c r="M168" s="9"/>
      <c r="N168" s="9"/>
      <c r="O168" s="9"/>
      <c r="P168" s="9"/>
      <c r="Q168" s="442"/>
      <c r="R168" s="442"/>
      <c r="S168" s="442"/>
    </row>
    <row r="169">
      <c r="I169" s="10" t="s">
        <v>35</v>
      </c>
      <c r="J169" s="12">
        <f t="shared" si="33"/>
        <v>1019405.8838512481</v>
      </c>
      <c r="K169" s="264">
        <f t="shared" si="33"/>
        <v>915203.26031584316</v>
      </c>
      <c r="L169" s="31"/>
      <c r="M169" s="9"/>
      <c r="N169" s="9"/>
      <c r="O169" s="9"/>
      <c r="P169" s="9"/>
      <c r="Q169" s="442"/>
      <c r="R169" s="442"/>
      <c r="S169" s="442"/>
    </row>
    <row r="170" ht="15">
      <c r="I170" s="16" t="s">
        <v>36</v>
      </c>
      <c r="J170" s="355">
        <f t="shared" si="33"/>
        <v>893220.0603974883</v>
      </c>
      <c r="K170" s="358">
        <f t="shared" si="33"/>
        <v>635581.72425862658</v>
      </c>
      <c r="L170" s="31"/>
      <c r="M170" s="9"/>
      <c r="N170" s="9"/>
      <c r="O170" s="9"/>
      <c r="P170" s="9"/>
      <c r="Q170" s="442"/>
      <c r="R170" s="442"/>
      <c r="S170" s="442"/>
    </row>
    <row r="171" ht="15">
      <c r="I171" s="10"/>
      <c r="J171" s="9"/>
      <c r="K171" s="11"/>
      <c r="L171" s="31"/>
      <c r="M171" s="9"/>
      <c r="N171" s="9"/>
      <c r="O171" s="9"/>
      <c r="P171" s="9"/>
      <c r="Q171" s="442"/>
      <c r="R171" s="442"/>
      <c r="S171" s="442"/>
    </row>
    <row r="172">
      <c r="I172" s="176" t="s">
        <v>16</v>
      </c>
      <c r="J172" s="563">
        <f>SUM(J156:J158)</f>
        <v>1453115.5540499236</v>
      </c>
      <c r="K172" s="564">
        <f>SUM(K156:K158)</f>
        <v>3424950.3437595516</v>
      </c>
      <c r="L172" s="31"/>
      <c r="M172" s="9"/>
      <c r="N172" s="9"/>
      <c r="O172" s="9"/>
      <c r="P172" s="9"/>
      <c r="Q172" s="442"/>
      <c r="R172" s="442"/>
      <c r="S172" s="442"/>
    </row>
    <row r="173">
      <c r="I173" s="88" t="s">
        <v>15</v>
      </c>
      <c r="J173" s="90">
        <f>SUM(J160:J170)</f>
        <v>9165940.3473513052</v>
      </c>
      <c r="K173" s="565">
        <f>SUM(K160:K170)</f>
        <v>7769538.3729651384</v>
      </c>
      <c r="L173" s="31"/>
      <c r="M173" s="9"/>
      <c r="N173" s="9"/>
      <c r="O173" s="9"/>
      <c r="P173" s="9"/>
      <c r="Q173" s="442"/>
      <c r="R173" s="442"/>
      <c r="S173" s="442"/>
    </row>
    <row r="174" ht="15">
      <c r="I174" s="21"/>
      <c r="J174" s="13"/>
      <c r="K174" s="22"/>
      <c r="L174" s="31"/>
      <c r="M174" s="9"/>
      <c r="N174" s="9"/>
      <c r="O174" s="9"/>
      <c r="P174" s="9"/>
      <c r="Q174" s="442"/>
      <c r="R174" s="442"/>
      <c r="S174" s="442"/>
    </row>
    <row r="175" ht="15">
      <c r="I175" s="9"/>
      <c r="J175" s="9"/>
      <c r="K175" s="9"/>
      <c r="L175" s="31"/>
      <c r="M175" s="9"/>
      <c r="N175" s="9"/>
      <c r="O175" s="9"/>
      <c r="P175" s="9"/>
      <c r="Q175" s="442"/>
      <c r="R175" s="442"/>
      <c r="S175" s="442"/>
    </row>
    <row r="176" ht="15" customHeight="1">
      <c r="I176" s="454"/>
      <c r="J176" s="356" t="s">
        <v>61</v>
      </c>
      <c r="K176" s="568" t="s">
        <v>62</v>
      </c>
      <c r="L176" s="569" t="s">
        <v>76</v>
      </c>
      <c r="M176" s="567"/>
      <c r="N176" s="442"/>
      <c r="O176" s="442"/>
      <c r="P176" s="442"/>
      <c r="Q176" s="442"/>
      <c r="R176" s="442"/>
      <c r="S176" s="442"/>
    </row>
    <row r="177">
      <c r="I177" s="339" t="s">
        <v>88</v>
      </c>
      <c r="J177" s="293">
        <f>IF( L5=I128,K128,IF(L5=I129,K129,IF(L5=I130,K130,IF(L5=I131,K131,1))))</f>
        <v>1.1</v>
      </c>
      <c r="K177" s="585">
        <f>IF( L5=I128,L128,IF(L5=I129,L129,IF(L5=I130,L130,IF(L5=I131,L131,1))))</f>
        <v>1.1</v>
      </c>
      <c r="L177" s="586">
        <v>1</v>
      </c>
    </row>
    <row r="178">
      <c r="I178" s="254" t="s">
        <v>89</v>
      </c>
      <c r="J178" s="45">
        <f>IF(L6=I134,L134,IF(L6=I135,L135, IF(L6=I136,L136,IF(L6=I137,L137,IF(L6=I138,L138,IF(L6=I139,L139, IF(L6=I140,L140, IF(L6=I141,L141,1))))))))</f>
        <v>1.05</v>
      </c>
      <c r="K178" s="587">
        <f>IF(L6=I134,L134,IF(L6=I135,L135, IF(L6=I136,L136,IF(L6=I137,L137,IF(L6=I138,L138,IF(L6=I139,L139, IF(L6=I140,L140, IF(L6=I141,L141,1))))))))</f>
        <v>1.05</v>
      </c>
      <c r="L178" s="588">
        <v>1</v>
      </c>
    </row>
    <row r="179" ht="15">
      <c r="I179" s="572" t="s">
        <v>90</v>
      </c>
      <c r="J179" s="589">
        <f>IF( L8=I144,K144,IF(L8=I145,K145,IF(L8=I146,K146,1)))</f>
        <v>1.3</v>
      </c>
      <c r="K179" s="590">
        <f>IF( L8=I144,L144,IF(L8=I145,L145,IF(L8=I146,L146,1)))</f>
        <v>1.2</v>
      </c>
      <c r="L179" s="591">
        <f>IF( L8=I144,M144,IF(L8=I145,M145,IF(L8=I146,M146,1)))</f>
        <v>1.3</v>
      </c>
    </row>
    <row r="180" ht="15.6">
      <c r="I180" s="557"/>
      <c r="J180" s="558">
        <f>J177*J178*J179</f>
        <v>1.5015000000000003</v>
      </c>
      <c r="K180" s="558">
        <f ref="K180:L180" t="shared" si="34">K177*K178*K179</f>
        <v>1.3860000000000003</v>
      </c>
      <c r="L180" s="602">
        <f t="shared" si="34"/>
        <v>1.3</v>
      </c>
    </row>
    <row r="181">
      <c r="L181" s="165"/>
    </row>
    <row r="182" ht="15">
      <c r="L182" s="165"/>
    </row>
    <row r="183">
      <c r="I183" s="454" t="s">
        <v>91</v>
      </c>
      <c r="J183" s="559" t="s">
        <v>11</v>
      </c>
      <c r="K183" s="560" t="s">
        <v>12</v>
      </c>
      <c r="L183" s="165"/>
    </row>
    <row r="184">
      <c r="I184" s="10"/>
      <c r="J184" s="9"/>
      <c r="K184" s="11"/>
      <c r="L184" s="165"/>
    </row>
    <row r="185">
      <c r="I185" s="10" t="s">
        <v>13</v>
      </c>
      <c r="J185" s="616">
        <f>J150*J180</f>
        <v>5.8821863713775109</v>
      </c>
      <c r="K185" s="617">
        <f>K150*J180</f>
        <v>1.0410616023381216</v>
      </c>
      <c r="L185" s="165"/>
    </row>
    <row r="186">
      <c r="I186" s="10" t="s">
        <v>92</v>
      </c>
      <c r="J186" s="618">
        <f>J151*J180</f>
        <v>8.5694107949668616</v>
      </c>
      <c r="K186" s="619">
        <f>K151*J180</f>
        <v>23.827962099494158</v>
      </c>
      <c r="L186" s="165"/>
    </row>
    <row r="187" ht="15">
      <c r="I187" s="21"/>
      <c r="J187" s="13"/>
      <c r="K187" s="22"/>
      <c r="L187" s="165"/>
    </row>
    <row r="188">
      <c r="L188" s="165"/>
    </row>
    <row r="189" ht="15">
      <c r="L189" s="165"/>
    </row>
    <row r="190">
      <c r="I190" s="250"/>
      <c r="J190" s="581" t="s">
        <v>11</v>
      </c>
      <c r="K190" s="582" t="s">
        <v>12</v>
      </c>
      <c r="L190" s="559" t="s">
        <v>11</v>
      </c>
      <c r="M190" s="560" t="s">
        <v>12</v>
      </c>
      <c r="N190" s="592" t="s">
        <v>93</v>
      </c>
    </row>
    <row r="191">
      <c r="I191" s="427" t="s">
        <v>21</v>
      </c>
      <c r="J191" s="573"/>
      <c r="K191" s="574"/>
      <c r="L191" s="549"/>
      <c r="M191" s="550"/>
      <c r="N191" s="593"/>
    </row>
    <row r="192">
      <c r="I192" s="254" t="s">
        <v>94</v>
      </c>
      <c r="J192" s="575">
        <f>J156</f>
        <v>800000</v>
      </c>
      <c r="K192" s="576">
        <f>K156</f>
        <v>990285.50585838</v>
      </c>
      <c r="L192" s="608">
        <f>J192*$L$180</f>
        <v>1040000</v>
      </c>
      <c r="M192" s="609">
        <f>K192*$L$180</f>
        <v>1287371.157615894</v>
      </c>
      <c r="N192" s="594">
        <f>L192/M192</f>
        <v>0.80784783304140106</v>
      </c>
    </row>
    <row r="193">
      <c r="I193" s="254" t="s">
        <v>95</v>
      </c>
      <c r="J193" s="575">
        <f ref="J193:K193" t="shared" si="35">J157</f>
        <v>447709.3540499236</v>
      </c>
      <c r="K193" s="576">
        <f t="shared" si="35"/>
        <v>1885881.7106469688</v>
      </c>
      <c r="L193" s="608">
        <f ref="L193:L194" t="shared" si="36">J193*$L$180</f>
        <v>582022.16026490065</v>
      </c>
      <c r="M193" s="609">
        <f ref="M193:M194" t="shared" si="37">K193*$L$180</f>
        <v>2451646.2238410595</v>
      </c>
      <c r="N193" s="594">
        <f ref="N193:N206" t="shared" si="38">L193/M193</f>
        <v>0.2374005493145871</v>
      </c>
    </row>
    <row r="194" ht="15">
      <c r="I194" s="572" t="s">
        <v>96</v>
      </c>
      <c r="J194" s="577">
        <f ref="J194:K194" t="shared" si="39">J158</f>
        <v>205406.20000000004</v>
      </c>
      <c r="K194" s="578">
        <f t="shared" si="39"/>
        <v>548783.12725420273</v>
      </c>
      <c r="L194" s="610">
        <f t="shared" si="36"/>
        <v>267028.06000000006</v>
      </c>
      <c r="M194" s="611">
        <f t="shared" si="37"/>
        <v>713418.06543046352</v>
      </c>
      <c r="N194" s="596">
        <f t="shared" si="38"/>
        <v>0.37429394199441834</v>
      </c>
    </row>
    <row r="195" ht="15">
      <c r="I195" s="427" t="s">
        <v>25</v>
      </c>
      <c r="J195" s="579"/>
      <c r="K195" s="580"/>
      <c r="L195" s="608"/>
      <c r="M195" s="609"/>
      <c r="N195" s="594"/>
    </row>
    <row r="196">
      <c r="I196" s="254" t="s">
        <v>97</v>
      </c>
      <c r="J196" s="575">
        <f ref="J196:K196" t="shared" si="40">J160</f>
        <v>247549.485481406</v>
      </c>
      <c r="K196" s="576">
        <f t="shared" si="40"/>
        <v>201880.2241467142</v>
      </c>
      <c r="L196" s="612">
        <f>J56*$K$180</f>
        <v>343103.58687722881</v>
      </c>
      <c r="M196" s="613">
        <f>K56*$K$180</f>
        <v>279805.99066734593</v>
      </c>
      <c r="N196" s="594">
        <f t="shared" si="38"/>
        <v>1.226219589004925</v>
      </c>
    </row>
    <row r="197">
      <c r="I197" s="254" t="s">
        <v>98</v>
      </c>
      <c r="J197" s="575">
        <f ref="J197:K197" t="shared" si="41">J161</f>
        <v>1136079.979623026</v>
      </c>
      <c r="K197" s="576">
        <f t="shared" si="41"/>
        <v>922813.44880285277</v>
      </c>
      <c r="L197" s="612">
        <f ref="L197:M197" t="shared" si="42">J57*$K$180</f>
        <v>1574606.8517575143</v>
      </c>
      <c r="M197" s="613">
        <f t="shared" si="42"/>
        <v>1279019.4400407542</v>
      </c>
      <c r="N197" s="594">
        <f t="shared" si="38"/>
        <v>1.2311047060452354</v>
      </c>
    </row>
    <row r="198" ht="15">
      <c r="I198" s="572" t="s">
        <v>99</v>
      </c>
      <c r="J198" s="577">
        <f ref="J198:K198" t="shared" si="43">J162</f>
        <v>1178695.8736627612</v>
      </c>
      <c r="K198" s="578">
        <f t="shared" si="43"/>
        <v>1061960.2649006622</v>
      </c>
      <c r="L198" s="614">
        <f ref="L198:M198" t="shared" si="44">J58*$K$180</f>
        <v>1633672.4808965875</v>
      </c>
      <c r="M198" s="615">
        <f t="shared" si="44"/>
        <v>1471876.9271523182</v>
      </c>
      <c r="N198" s="596">
        <f t="shared" si="38"/>
        <v>1.109924648426482</v>
      </c>
    </row>
    <row r="199" ht="15">
      <c r="I199" s="427" t="s">
        <v>29</v>
      </c>
      <c r="J199" s="579"/>
      <c r="K199" s="580"/>
      <c r="L199" s="612"/>
      <c r="M199" s="613"/>
      <c r="N199" s="594"/>
    </row>
    <row r="200">
      <c r="I200" s="254" t="s">
        <v>100</v>
      </c>
      <c r="J200" s="575">
        <f ref="J200:K200" t="shared" si="45">J164</f>
        <v>1866999.49057565</v>
      </c>
      <c r="K200" s="576">
        <f t="shared" si="45"/>
        <v>1669079.5720835459</v>
      </c>
      <c r="L200" s="612">
        <f ref="L200:M200" t="shared" si="46">J60*$K$180</f>
        <v>2587661.2939378517</v>
      </c>
      <c r="M200" s="613">
        <f t="shared" si="46"/>
        <v>2313344.2869077954</v>
      </c>
      <c r="N200" s="594">
        <f t="shared" si="38"/>
        <v>1.1185802772992042</v>
      </c>
    </row>
    <row r="201">
      <c r="I201" s="254" t="s">
        <v>101</v>
      </c>
      <c r="J201" s="575">
        <f ref="J201:K201" t="shared" si="47">J165</f>
        <v>1365692.5114620482</v>
      </c>
      <c r="K201" s="576">
        <f t="shared" si="47"/>
        <v>1101799.2868059096</v>
      </c>
      <c r="L201" s="612">
        <f ref="L201:M201" t="shared" si="48">J61*$K$180</f>
        <v>1892849.8208863991</v>
      </c>
      <c r="M201" s="613">
        <f t="shared" si="48"/>
        <v>1527093.8115129911</v>
      </c>
      <c r="N201" s="594">
        <f t="shared" si="38"/>
        <v>1.2395111594428045</v>
      </c>
    </row>
    <row r="202" ht="15">
      <c r="I202" s="572" t="s">
        <v>102</v>
      </c>
      <c r="J202" s="577">
        <f ref="J202:K202" t="shared" si="49">J166</f>
        <v>248832.07417068264</v>
      </c>
      <c r="K202" s="578">
        <f t="shared" si="49"/>
        <v>224746.93723892</v>
      </c>
      <c r="L202" s="614">
        <f ref="L202:M202" t="shared" si="50">J62*$K$180</f>
        <v>344881.25480056624</v>
      </c>
      <c r="M202" s="615">
        <f t="shared" si="50"/>
        <v>311499.25501314324</v>
      </c>
      <c r="N202" s="596">
        <f t="shared" si="38"/>
        <v>1.1071655846689408</v>
      </c>
    </row>
    <row r="203" ht="15">
      <c r="I203" s="425" t="s">
        <v>33</v>
      </c>
      <c r="J203" s="579"/>
      <c r="K203" s="580"/>
      <c r="L203" s="612"/>
      <c r="M203" s="613"/>
      <c r="N203" s="594"/>
    </row>
    <row r="204">
      <c r="I204" s="254" t="s">
        <v>103</v>
      </c>
      <c r="J204" s="575">
        <f ref="J204:K204" t="shared" si="51">J168</f>
        <v>1209464.9881269946</v>
      </c>
      <c r="K204" s="576">
        <f t="shared" si="51"/>
        <v>1036473.654412064</v>
      </c>
      <c r="L204" s="612">
        <f ref="L204:M204" t="shared" si="52">J64*$K$180</f>
        <v>1676318.4735440149</v>
      </c>
      <c r="M204" s="613">
        <f t="shared" si="52"/>
        <v>1436552.4850151211</v>
      </c>
      <c r="N204" s="594">
        <f t="shared" si="38"/>
        <v>1.1669037442278831</v>
      </c>
    </row>
    <row r="205">
      <c r="I205" s="254" t="s">
        <v>104</v>
      </c>
      <c r="J205" s="575">
        <f ref="J205:K205" t="shared" si="53">J169</f>
        <v>1019405.8838512481</v>
      </c>
      <c r="K205" s="576">
        <f t="shared" si="53"/>
        <v>915203.26031584316</v>
      </c>
      <c r="L205" s="612">
        <f ref="L205:M205" t="shared" si="54">J65*$K$180</f>
        <v>1412896.55501783</v>
      </c>
      <c r="M205" s="613">
        <f t="shared" si="54"/>
        <v>1268471.7187977589</v>
      </c>
      <c r="N205" s="594">
        <f t="shared" si="38"/>
        <v>1.1138573561237575</v>
      </c>
    </row>
    <row r="206" ht="15">
      <c r="I206" s="16" t="s">
        <v>105</v>
      </c>
      <c r="J206" s="577">
        <f ref="J206:K206" t="shared" si="55">J170</f>
        <v>893220.0603974883</v>
      </c>
      <c r="K206" s="578">
        <f t="shared" si="55"/>
        <v>635581.72425862658</v>
      </c>
      <c r="L206" s="614">
        <f ref="L206:M206" t="shared" si="56">J66*$K$180</f>
        <v>1238003.0037109191</v>
      </c>
      <c r="M206" s="615">
        <f t="shared" si="56"/>
        <v>880916.26982245664</v>
      </c>
      <c r="N206" s="596">
        <f t="shared" si="38"/>
        <v>1.4053583139750967</v>
      </c>
    </row>
    <row r="207" ht="15.6">
      <c r="I207" s="429"/>
      <c r="J207" s="583"/>
      <c r="K207" s="584"/>
      <c r="L207" s="570"/>
      <c r="M207" s="571"/>
      <c r="N207" s="595"/>
    </row>
    <row r="208">
      <c r="L208" s="143"/>
      <c r="M208" s="143"/>
    </row>
  </sheetData>
  <mergeCells>
    <mergeCell ref="L25:M25"/>
    <mergeCell ref="R25:S25"/>
    <mergeCell ref="E25:F25"/>
    <mergeCell ref="J13:K13"/>
    <mergeCell ref="R13:S13"/>
    <mergeCell ref="G25:H25"/>
    <mergeCell ref="J25:K25"/>
    <mergeCell ref="N13:O13"/>
    <mergeCell ref="P13:Q13"/>
    <mergeCell ref="N25:O25"/>
    <mergeCell ref="P25:Q25"/>
    <mergeCell ref="L5:M5"/>
    <mergeCell ref="L6:M6"/>
    <mergeCell ref="L7:M7"/>
    <mergeCell ref="L8:M8"/>
    <mergeCell ref="L13:M13"/>
  </mergeCells>
  <pageMargins left="0.7" right="0.7" top="0.75" bottom="0.75" header="0.3" footer="0.3"/>
  <pageSetup orientation="portrait" horizontalDpi="4294967295" verticalDpi="4294967295"/>
  <headerFooter/>
  <ignoredErrors>
    <ignoredError sqref="M75 G30:G31 G37:G40 G41:G43 G33:G35" formula="1"/>
    <ignoredError sqref="K93:L93 L122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4:E29"/>
  <sheetViews>
    <sheetView workbookViewId="0">
      <selection activeCell="D43" sqref="D43"/>
    </sheetView>
  </sheetViews>
  <sheetFormatPr defaultRowHeight="14.4" x14ac:dyDescent="0.3"/>
  <cols>
    <col min="3" max="3" width="40" customWidth="1"/>
    <col min="4" max="4" width="21.6640625" customWidth="1"/>
    <col min="5" max="5" width="17.44140625" customWidth="1"/>
  </cols>
  <sheetData>
    <row r="3" ht="15"/>
    <row r="4">
      <c r="C4" s="599" t="s">
        <v>645</v>
      </c>
      <c r="D4" s="600" t="s">
        <v>11</v>
      </c>
      <c r="E4" s="601" t="s">
        <v>12</v>
      </c>
    </row>
    <row r="5">
      <c r="C5" s="10" t="s">
        <v>13</v>
      </c>
      <c r="D5" s="17">
        <f>Calculator!J185</f>
        <v>5.8821863713775109</v>
      </c>
      <c r="E5" s="294">
        <f>Calculator!K185</f>
        <v>1.0410616023381216</v>
      </c>
    </row>
    <row r="6" ht="15">
      <c r="C6" s="21"/>
      <c r="D6" s="321"/>
      <c r="E6" s="332"/>
    </row>
    <row r="7" ht="15">
      <c r="C7" s="9"/>
      <c r="D7" s="17"/>
      <c r="E7" s="17"/>
    </row>
    <row r="8">
      <c r="C8" s="599" t="s">
        <v>645</v>
      </c>
      <c r="D8" s="600" t="s">
        <v>11</v>
      </c>
      <c r="E8" s="601" t="s">
        <v>12</v>
      </c>
    </row>
    <row r="9">
      <c r="C9" s="10" t="s">
        <v>646</v>
      </c>
      <c r="D9" s="14">
        <f>Calculator!J186</f>
        <v>8.5694107949668616</v>
      </c>
      <c r="E9" s="302">
        <f>Calculator!K186</f>
        <v>23.827962099494158</v>
      </c>
    </row>
    <row r="10" ht="15">
      <c r="C10" s="21"/>
      <c r="D10" s="13"/>
      <c r="E10" s="22"/>
    </row>
    <row r="11">
      <c r="C11" s="9"/>
      <c r="D11" s="9"/>
      <c r="E11" s="9"/>
    </row>
    <row r="12">
      <c r="C12" s="597"/>
      <c r="D12" s="597" t="s">
        <v>11</v>
      </c>
      <c r="E12" s="597" t="s">
        <v>12</v>
      </c>
    </row>
    <row r="13">
      <c r="C13" s="426" t="s">
        <v>21</v>
      </c>
      <c r="D13" s="486"/>
      <c r="E13" s="486"/>
    </row>
    <row r="14">
      <c r="C14" s="45" t="s">
        <v>94</v>
      </c>
      <c r="D14" s="12">
        <f>Calculator!L192</f>
        <v>1040000</v>
      </c>
      <c r="E14" s="12">
        <f>Calculator!M192</f>
        <v>1287371.157615894</v>
      </c>
    </row>
    <row r="15">
      <c r="C15" s="45" t="s">
        <v>95</v>
      </c>
      <c r="D15" s="12">
        <f>Calculator!L193</f>
        <v>582022.16026490065</v>
      </c>
      <c r="E15" s="12">
        <f>Calculator!M193</f>
        <v>2451646.2238410595</v>
      </c>
    </row>
    <row r="16">
      <c r="C16" s="45" t="s">
        <v>96</v>
      </c>
      <c r="D16" s="12">
        <f>Calculator!L194</f>
        <v>267028.06000000006</v>
      </c>
      <c r="E16" s="12">
        <f>Calculator!M194</f>
        <v>713418.06543046352</v>
      </c>
    </row>
    <row r="17">
      <c r="C17" s="426" t="s">
        <v>25</v>
      </c>
      <c r="D17" s="465"/>
      <c r="E17" s="465"/>
    </row>
    <row r="18">
      <c r="C18" s="45" t="s">
        <v>97</v>
      </c>
      <c r="D18" s="12">
        <f>Calculator!L196</f>
        <v>343103.58687722881</v>
      </c>
      <c r="E18" s="12">
        <f>Calculator!M196</f>
        <v>279805.99066734593</v>
      </c>
    </row>
    <row r="19">
      <c r="C19" s="45" t="s">
        <v>98</v>
      </c>
      <c r="D19" s="12">
        <f>Calculator!L197</f>
        <v>1574606.8517575143</v>
      </c>
      <c r="E19" s="12">
        <f>Calculator!M197</f>
        <v>1279019.4400407542</v>
      </c>
    </row>
    <row r="20">
      <c r="C20" s="45" t="s">
        <v>99</v>
      </c>
      <c r="D20" s="12">
        <f>Calculator!L198</f>
        <v>1633672.4808965875</v>
      </c>
      <c r="E20" s="12">
        <f>Calculator!M198</f>
        <v>1471876.9271523182</v>
      </c>
    </row>
    <row r="21">
      <c r="C21" s="426" t="s">
        <v>29</v>
      </c>
      <c r="D21" s="465"/>
      <c r="E21" s="465"/>
    </row>
    <row r="22">
      <c r="C22" s="45" t="s">
        <v>100</v>
      </c>
      <c r="D22" s="12">
        <f>Calculator!L200</f>
        <v>2587661.2939378517</v>
      </c>
      <c r="E22" s="12">
        <f>Calculator!M200</f>
        <v>2313344.2869077954</v>
      </c>
    </row>
    <row r="23">
      <c r="C23" s="45" t="s">
        <v>101</v>
      </c>
      <c r="D23" s="12">
        <f>Calculator!L201</f>
        <v>1892849.8208863991</v>
      </c>
      <c r="E23" s="12">
        <f>Calculator!M201</f>
        <v>1527093.8115129911</v>
      </c>
    </row>
    <row r="24">
      <c r="C24" s="45" t="s">
        <v>102</v>
      </c>
      <c r="D24" s="12">
        <f>Calculator!L202</f>
        <v>344881.25480056624</v>
      </c>
      <c r="E24" s="12">
        <f>Calculator!M202</f>
        <v>311499.25501314324</v>
      </c>
    </row>
    <row r="25">
      <c r="C25" s="598" t="s">
        <v>33</v>
      </c>
      <c r="D25" s="465"/>
      <c r="E25" s="465"/>
    </row>
    <row r="26">
      <c r="C26" s="45" t="s">
        <v>103</v>
      </c>
      <c r="D26" s="12">
        <f>Calculator!L204</f>
        <v>1676318.4735440149</v>
      </c>
      <c r="E26" s="12">
        <f>Calculator!M204</f>
        <v>1436552.4850151211</v>
      </c>
    </row>
    <row r="27">
      <c r="C27" s="45" t="s">
        <v>104</v>
      </c>
      <c r="D27" s="12">
        <f>Calculator!L205</f>
        <v>1412896.55501783</v>
      </c>
      <c r="E27" s="12">
        <f>Calculator!M205</f>
        <v>1268471.7187977589</v>
      </c>
    </row>
    <row r="28">
      <c r="C28" s="9" t="s">
        <v>105</v>
      </c>
      <c r="D28" s="12">
        <f>Calculator!L206</f>
        <v>1238003.0037109191</v>
      </c>
      <c r="E28" s="12">
        <f>Calculator!M206</f>
        <v>880916.26982245664</v>
      </c>
    </row>
    <row r="29">
      <c r="C29" s="486"/>
      <c r="D29" s="486"/>
      <c r="E29" s="486"/>
    </row>
  </sheetData>
  <pageMargins left="0.7" right="0.7" top="0.75" bottom="0.75" header="0.3" footer="0.3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theme="7" tint="0.59999389629810485"/>
  </sheetPr>
  <dimension ref="B3:AS339"/>
  <sheetViews>
    <sheetView topLeftCell="A328" workbookViewId="0">
      <selection activeCell="F339" sqref="F339"/>
    </sheetView>
  </sheetViews>
  <sheetFormatPr defaultRowHeight="14.4" x14ac:dyDescent="0.3"/>
  <cols>
    <col min="2" max="2" bestFit="1" width="13.109375" customWidth="1"/>
    <col min="3" max="3" width="30.5546875" customWidth="1" style="603"/>
    <col min="4" max="4" width="12.109375" customWidth="1"/>
    <col min="5" max="5" width="15.77734375" customWidth="1"/>
    <col min="6" max="7" width="11.6640625" customWidth="1"/>
    <col min="8" max="8" width="12.109375" customWidth="1"/>
    <col min="9" max="9" width="12.88671875" customWidth="1"/>
    <col min="10" max="13" bestFit="1" width="13.109375" customWidth="1"/>
    <col min="14" max="17" bestFit="1" width="11.5546875" customWidth="1"/>
    <col min="18" max="26" bestFit="1" width="13.109375" customWidth="1"/>
    <col min="27" max="27" bestFit="1" width="11.5546875" customWidth="1"/>
    <col min="28" max="32" bestFit="1" width="13.109375" customWidth="1"/>
    <col min="33" max="33" width="18.88671875" customWidth="1"/>
  </cols>
  <sheetData>
    <row r="3" ht="28.8">
      <c r="B3" s="469" t="s">
        <v>3</v>
      </c>
      <c r="C3" s="606" t="s">
        <v>4</v>
      </c>
      <c r="D3" s="469" t="s">
        <v>1</v>
      </c>
      <c r="E3" s="469" t="s">
        <v>108</v>
      </c>
      <c r="F3" s="607" t="s">
        <v>605</v>
      </c>
      <c r="G3" s="607" t="s">
        <v>606</v>
      </c>
      <c r="H3" s="607" t="s">
        <v>607</v>
      </c>
      <c r="I3" s="607" t="s">
        <v>608</v>
      </c>
      <c r="J3" s="607" t="s">
        <v>609</v>
      </c>
      <c r="K3" s="607" t="s">
        <v>610</v>
      </c>
      <c r="L3" s="607" t="s">
        <v>611</v>
      </c>
      <c r="M3" s="607" t="s">
        <v>612</v>
      </c>
      <c r="N3" s="607" t="s">
        <v>613</v>
      </c>
      <c r="O3" s="607" t="s">
        <v>614</v>
      </c>
      <c r="P3" s="607" t="s">
        <v>615</v>
      </c>
      <c r="Q3" s="607" t="s">
        <v>616</v>
      </c>
      <c r="R3" s="607" t="s">
        <v>617</v>
      </c>
      <c r="S3" s="607" t="s">
        <v>618</v>
      </c>
      <c r="T3" s="607" t="s">
        <v>619</v>
      </c>
      <c r="U3" s="607" t="s">
        <v>620</v>
      </c>
      <c r="V3" s="607" t="s">
        <v>621</v>
      </c>
      <c r="W3" s="607" t="s">
        <v>622</v>
      </c>
      <c r="X3" s="607" t="s">
        <v>623</v>
      </c>
      <c r="Y3" s="607" t="s">
        <v>624</v>
      </c>
      <c r="Z3" s="607" t="s">
        <v>625</v>
      </c>
      <c r="AA3" s="607" t="s">
        <v>626</v>
      </c>
      <c r="AB3" s="607" t="s">
        <v>627</v>
      </c>
      <c r="AC3" s="607" t="s">
        <v>628</v>
      </c>
      <c r="AD3" s="607" t="s">
        <v>629</v>
      </c>
      <c r="AE3" s="607" t="s">
        <v>630</v>
      </c>
      <c r="AF3" s="607" t="s">
        <v>631</v>
      </c>
      <c r="AG3" s="607" t="s">
        <v>632</v>
      </c>
      <c r="AH3" s="69" t="s">
        <v>633</v>
      </c>
      <c r="AI3" s="69" t="s">
        <v>634</v>
      </c>
      <c r="AJ3" s="69" t="s">
        <v>635</v>
      </c>
      <c r="AK3" s="69" t="s">
        <v>636</v>
      </c>
      <c r="AL3" s="69" t="s">
        <v>637</v>
      </c>
      <c r="AM3" s="69" t="s">
        <v>638</v>
      </c>
      <c r="AN3" s="69" t="s">
        <v>639</v>
      </c>
      <c r="AO3" s="69" t="s">
        <v>640</v>
      </c>
      <c r="AP3" s="69" t="s">
        <v>641</v>
      </c>
      <c r="AQ3" s="69" t="s">
        <v>642</v>
      </c>
      <c r="AR3" s="69" t="s">
        <v>643</v>
      </c>
      <c r="AS3" s="69" t="s">
        <v>644</v>
      </c>
    </row>
    <row r="4" ht="13.8" customHeight="1">
      <c r="B4" s="623">
        <v>600001</v>
      </c>
      <c r="C4" s="603" t="s">
        <v>77</v>
      </c>
      <c r="D4" s="0" t="s">
        <v>63</v>
      </c>
      <c r="E4" s="0" t="s">
        <v>68</v>
      </c>
      <c r="F4" s="625">
        <v>3.7576551351237111</v>
      </c>
      <c r="G4" s="625">
        <v>0.58359353240375278</v>
      </c>
      <c r="H4" s="624">
        <v>6.79484058680917</v>
      </c>
      <c r="I4" s="624">
        <v>21.493390194430159</v>
      </c>
      <c r="J4" s="626">
        <v>600.001</v>
      </c>
      <c r="K4" s="626">
        <v>858.4606922</v>
      </c>
      <c r="L4" s="626">
        <v>358.2406927</v>
      </c>
      <c r="M4" s="626">
        <v>1175.7521359999998</v>
      </c>
      <c r="N4" s="626">
        <v>184.2486551</v>
      </c>
      <c r="O4" s="626">
        <v>381.6353122</v>
      </c>
      <c r="P4" s="626">
        <v>223.7827022</v>
      </c>
      <c r="Q4" s="626">
        <v>144.72651449999998</v>
      </c>
      <c r="R4" s="626">
        <v>1033.440951</v>
      </c>
      <c r="S4" s="626">
        <v>708.61743880000006</v>
      </c>
      <c r="T4" s="626">
        <v>1010.1302528</v>
      </c>
      <c r="U4" s="626">
        <v>724.1169317</v>
      </c>
      <c r="V4" s="626">
        <v>1740.532128</v>
      </c>
      <c r="W4" s="626">
        <v>1220.5850621</v>
      </c>
      <c r="X4" s="626">
        <v>1102.3370144</v>
      </c>
      <c r="Y4" s="626">
        <v>678.1028123</v>
      </c>
      <c r="Z4" s="626">
        <v>214.6267961</v>
      </c>
      <c r="AA4" s="626">
        <v>150.5115918</v>
      </c>
      <c r="AB4" s="626">
        <v>1040.6544621</v>
      </c>
      <c r="AC4" s="626">
        <v>683.590037</v>
      </c>
      <c r="AD4" s="626">
        <v>916.8874603</v>
      </c>
      <c r="AE4" s="626">
        <v>646.6194674</v>
      </c>
      <c r="AF4" s="626">
        <v>792.5562774</v>
      </c>
      <c r="AG4" s="626">
        <v>441.1089793</v>
      </c>
      <c r="AH4" s="625">
        <v>0.69892658501900129</v>
      </c>
      <c r="AI4" s="625">
        <v>0.30469065866147471</v>
      </c>
      <c r="AJ4" s="625">
        <v>0.48278722964362553</v>
      </c>
      <c r="AK4" s="625">
        <v>1.5462453644339016</v>
      </c>
      <c r="AL4" s="625">
        <v>1.4583905141819755</v>
      </c>
      <c r="AM4" s="625">
        <v>1.394982230956672</v>
      </c>
      <c r="AN4" s="625">
        <v>1.4259818360890424</v>
      </c>
      <c r="AO4" s="625">
        <v>1.625619293141509</v>
      </c>
      <c r="AP4" s="625">
        <v>1.4259818360890426</v>
      </c>
      <c r="AQ4" s="625">
        <v>1.5223370818363748</v>
      </c>
      <c r="AR4" s="625">
        <v>1.4179707021784296</v>
      </c>
      <c r="AS4" s="625">
        <v>1.796735760623547</v>
      </c>
    </row>
    <row r="5">
      <c r="B5" s="623">
        <v>600001</v>
      </c>
      <c r="C5" s="603" t="s">
        <v>78</v>
      </c>
      <c r="D5" s="0" t="s">
        <v>63</v>
      </c>
      <c r="E5" s="0" t="s">
        <v>68</v>
      </c>
      <c r="F5" s="625">
        <v>4.3213034053922676</v>
      </c>
      <c r="G5" s="625">
        <v>0.67113256226431561</v>
      </c>
      <c r="H5" s="624">
        <v>7.8140666748305447</v>
      </c>
      <c r="I5" s="624">
        <v>24.71739872359468</v>
      </c>
      <c r="J5" s="626">
        <v>720.00119999999993</v>
      </c>
      <c r="K5" s="626">
        <v>1030.1528307</v>
      </c>
      <c r="L5" s="626">
        <v>429.8888313</v>
      </c>
      <c r="M5" s="626">
        <v>1410.9025632</v>
      </c>
      <c r="N5" s="626">
        <v>221.0983861</v>
      </c>
      <c r="O5" s="626">
        <v>457.9623746</v>
      </c>
      <c r="P5" s="626">
        <v>246.1609724</v>
      </c>
      <c r="Q5" s="626">
        <v>159.199166</v>
      </c>
      <c r="R5" s="626">
        <v>1136.7850460999998</v>
      </c>
      <c r="S5" s="626">
        <v>779.4791827</v>
      </c>
      <c r="T5" s="626">
        <v>1111.1432781</v>
      </c>
      <c r="U5" s="626">
        <v>796.52862490000007</v>
      </c>
      <c r="V5" s="626">
        <v>1914.5853407999998</v>
      </c>
      <c r="W5" s="626">
        <v>1342.6435683</v>
      </c>
      <c r="X5" s="626">
        <v>1212.5707157999998</v>
      </c>
      <c r="Y5" s="626">
        <v>745.9130935</v>
      </c>
      <c r="Z5" s="626">
        <v>236.0894757</v>
      </c>
      <c r="AA5" s="626">
        <v>165.562751</v>
      </c>
      <c r="AB5" s="626">
        <v>1144.7199083</v>
      </c>
      <c r="AC5" s="626">
        <v>751.94904070000007</v>
      </c>
      <c r="AD5" s="626">
        <v>1008.5762063</v>
      </c>
      <c r="AE5" s="626">
        <v>711.2814142</v>
      </c>
      <c r="AF5" s="626">
        <v>871.81190520000007</v>
      </c>
      <c r="AG5" s="626">
        <v>485.2198772</v>
      </c>
      <c r="AH5" s="625">
        <v>0.69892658501900129</v>
      </c>
      <c r="AI5" s="625">
        <v>0.30469065866147471</v>
      </c>
      <c r="AJ5" s="625">
        <v>0.48278722964362558</v>
      </c>
      <c r="AK5" s="625">
        <v>1.5462453644339014</v>
      </c>
      <c r="AL5" s="625">
        <v>1.4583905141819755</v>
      </c>
      <c r="AM5" s="625">
        <v>1.394982230956672</v>
      </c>
      <c r="AN5" s="625">
        <v>1.4259818360890426</v>
      </c>
      <c r="AO5" s="625">
        <v>1.625619293141509</v>
      </c>
      <c r="AP5" s="625">
        <v>1.4259818360890424</v>
      </c>
      <c r="AQ5" s="625">
        <v>1.5223370818363744</v>
      </c>
      <c r="AR5" s="625">
        <v>1.4179707021784296</v>
      </c>
      <c r="AS5" s="625">
        <v>1.796735760623547</v>
      </c>
    </row>
    <row r="6">
      <c r="B6" s="623">
        <v>600001</v>
      </c>
      <c r="C6" s="603" t="s">
        <v>79</v>
      </c>
      <c r="D6" s="0" t="s">
        <v>63</v>
      </c>
      <c r="E6" s="0" t="s">
        <v>68</v>
      </c>
      <c r="F6" s="625">
        <v>4.8849516756608242</v>
      </c>
      <c r="G6" s="625">
        <v>0.75867159212487856</v>
      </c>
      <c r="H6" s="624">
        <v>8.83329276285192</v>
      </c>
      <c r="I6" s="624">
        <v>27.941407252759205</v>
      </c>
      <c r="J6" s="626">
        <v>780.0013</v>
      </c>
      <c r="K6" s="626">
        <v>1115.9988999</v>
      </c>
      <c r="L6" s="626">
        <v>465.7129006</v>
      </c>
      <c r="M6" s="626">
        <v>1528.4777768000001</v>
      </c>
      <c r="N6" s="626">
        <v>239.52325159999998</v>
      </c>
      <c r="O6" s="626">
        <v>496.1259059</v>
      </c>
      <c r="P6" s="626">
        <v>268.5392426</v>
      </c>
      <c r="Q6" s="626">
        <v>173.6718174</v>
      </c>
      <c r="R6" s="626">
        <v>1240.1291412</v>
      </c>
      <c r="S6" s="626">
        <v>850.3409266</v>
      </c>
      <c r="T6" s="626">
        <v>1212.1563034</v>
      </c>
      <c r="U6" s="626">
        <v>868.94031799999993</v>
      </c>
      <c r="V6" s="626">
        <v>2088.6385536</v>
      </c>
      <c r="W6" s="626">
        <v>1464.7020745000002</v>
      </c>
      <c r="X6" s="626">
        <v>1322.8044173</v>
      </c>
      <c r="Y6" s="626">
        <v>813.7233747</v>
      </c>
      <c r="Z6" s="626">
        <v>257.55215530000004</v>
      </c>
      <c r="AA6" s="626">
        <v>180.61391020000002</v>
      </c>
      <c r="AB6" s="626">
        <v>1248.7853544999998</v>
      </c>
      <c r="AC6" s="626">
        <v>820.3080444</v>
      </c>
      <c r="AD6" s="626">
        <v>1100.2649523</v>
      </c>
      <c r="AE6" s="626">
        <v>775.9433609</v>
      </c>
      <c r="AF6" s="626">
        <v>951.0675329</v>
      </c>
      <c r="AG6" s="626">
        <v>529.3307751</v>
      </c>
      <c r="AH6" s="625">
        <v>0.69892658501900129</v>
      </c>
      <c r="AI6" s="625">
        <v>0.30469065866147466</v>
      </c>
      <c r="AJ6" s="625">
        <v>0.48278722964362553</v>
      </c>
      <c r="AK6" s="625">
        <v>1.5462453644339016</v>
      </c>
      <c r="AL6" s="625">
        <v>1.4583905141819755</v>
      </c>
      <c r="AM6" s="625">
        <v>1.394982230956672</v>
      </c>
      <c r="AN6" s="625">
        <v>1.4259818360890426</v>
      </c>
      <c r="AO6" s="625">
        <v>1.6256192931415092</v>
      </c>
      <c r="AP6" s="625">
        <v>1.4259818360890426</v>
      </c>
      <c r="AQ6" s="625">
        <v>1.5223370818363746</v>
      </c>
      <c r="AR6" s="625">
        <v>1.4179707021784296</v>
      </c>
      <c r="AS6" s="625">
        <v>1.796735760623547</v>
      </c>
    </row>
    <row r="7">
      <c r="B7" s="623">
        <v>668900</v>
      </c>
      <c r="C7" s="603" t="s">
        <v>77</v>
      </c>
      <c r="D7" s="0" t="s">
        <v>63</v>
      </c>
      <c r="E7" s="0" t="s">
        <v>68</v>
      </c>
      <c r="F7" s="625">
        <v>4.1891522178867229</v>
      </c>
      <c r="G7" s="625">
        <v>0.65060843869405249</v>
      </c>
      <c r="H7" s="624">
        <v>6.7948405868091681</v>
      </c>
      <c r="I7" s="624">
        <v>19.806938148675282</v>
      </c>
      <c r="J7" s="626">
        <v>668.9</v>
      </c>
      <c r="K7" s="626">
        <v>957.039</v>
      </c>
      <c r="L7" s="626">
        <v>399.378</v>
      </c>
      <c r="M7" s="626">
        <v>1682.215</v>
      </c>
      <c r="N7" s="626">
        <v>205.4062</v>
      </c>
      <c r="O7" s="626">
        <v>546.0272</v>
      </c>
      <c r="P7" s="626">
        <v>249.48</v>
      </c>
      <c r="Q7" s="626">
        <v>207.0684</v>
      </c>
      <c r="R7" s="626">
        <v>1152.1125</v>
      </c>
      <c r="S7" s="626">
        <v>1013.859</v>
      </c>
      <c r="T7" s="626">
        <v>1126.125</v>
      </c>
      <c r="U7" s="626">
        <v>1036.035</v>
      </c>
      <c r="V7" s="626">
        <v>1940.4</v>
      </c>
      <c r="W7" s="626">
        <v>1746.36</v>
      </c>
      <c r="X7" s="626">
        <v>1228.92</v>
      </c>
      <c r="Y7" s="626">
        <v>970.2</v>
      </c>
      <c r="Z7" s="626">
        <v>239.2727077</v>
      </c>
      <c r="AA7" s="626">
        <v>215.3454369</v>
      </c>
      <c r="AB7" s="626">
        <v>1160.1543492</v>
      </c>
      <c r="AC7" s="626">
        <v>978.0508823</v>
      </c>
      <c r="AD7" s="626">
        <v>1022.175</v>
      </c>
      <c r="AE7" s="626">
        <v>925.155</v>
      </c>
      <c r="AF7" s="626">
        <v>883.566684</v>
      </c>
      <c r="AG7" s="626">
        <v>631.11953520000009</v>
      </c>
      <c r="AH7" s="625">
        <v>0.69892658501900129</v>
      </c>
      <c r="AI7" s="625">
        <v>0.23741198360494942</v>
      </c>
      <c r="AJ7" s="625">
        <v>0.37618309124527138</v>
      </c>
      <c r="AK7" s="625">
        <v>1.2048192771084336</v>
      </c>
      <c r="AL7" s="625">
        <v>1.1363636363636362</v>
      </c>
      <c r="AM7" s="625">
        <v>1.0869565217391304</v>
      </c>
      <c r="AN7" s="625">
        <v>1.1111111111111112</v>
      </c>
      <c r="AO7" s="625">
        <v>1.2666666666666668</v>
      </c>
      <c r="AP7" s="625">
        <v>1.1111111111111114</v>
      </c>
      <c r="AQ7" s="625">
        <v>1.1861901769548482</v>
      </c>
      <c r="AR7" s="625">
        <v>1.1048689138576779</v>
      </c>
      <c r="AS7" s="625">
        <v>1.3999989458735556</v>
      </c>
    </row>
    <row r="8">
      <c r="B8" s="623">
        <v>668900</v>
      </c>
      <c r="C8" s="603" t="s">
        <v>78</v>
      </c>
      <c r="D8" s="0" t="s">
        <v>63</v>
      </c>
      <c r="E8" s="0" t="s">
        <v>68</v>
      </c>
      <c r="F8" s="625">
        <v>4.8175250505697313</v>
      </c>
      <c r="G8" s="625">
        <v>0.74819970449816031</v>
      </c>
      <c r="H8" s="624">
        <v>7.814066674830543</v>
      </c>
      <c r="I8" s="624">
        <v>22.777978870976575</v>
      </c>
      <c r="J8" s="626">
        <v>802.68</v>
      </c>
      <c r="K8" s="626">
        <v>1148.4468</v>
      </c>
      <c r="L8" s="626">
        <v>479.25359999999995</v>
      </c>
      <c r="M8" s="626">
        <v>2018.658</v>
      </c>
      <c r="N8" s="626">
        <v>246.48744</v>
      </c>
      <c r="O8" s="626">
        <v>655.23264000000006</v>
      </c>
      <c r="P8" s="626">
        <v>274.428</v>
      </c>
      <c r="Q8" s="626">
        <v>227.77524</v>
      </c>
      <c r="R8" s="626">
        <v>1267.32375</v>
      </c>
      <c r="S8" s="626">
        <v>1115.2449</v>
      </c>
      <c r="T8" s="626">
        <v>1238.7375</v>
      </c>
      <c r="U8" s="626">
        <v>1139.6385</v>
      </c>
      <c r="V8" s="626">
        <v>2134.44</v>
      </c>
      <c r="W8" s="626">
        <v>1920.996</v>
      </c>
      <c r="X8" s="626">
        <v>1351.812</v>
      </c>
      <c r="Y8" s="626">
        <v>1067.22</v>
      </c>
      <c r="Z8" s="626">
        <v>263.19997850000004</v>
      </c>
      <c r="AA8" s="626">
        <v>236.8799806</v>
      </c>
      <c r="AB8" s="626">
        <v>1276.1697841</v>
      </c>
      <c r="AC8" s="626">
        <v>1075.8559705999999</v>
      </c>
      <c r="AD8" s="626">
        <v>1124.3925</v>
      </c>
      <c r="AE8" s="626">
        <v>1017.6705</v>
      </c>
      <c r="AF8" s="626">
        <v>971.9233524</v>
      </c>
      <c r="AG8" s="626">
        <v>694.2314887</v>
      </c>
      <c r="AH8" s="625">
        <v>0.69892658501900129</v>
      </c>
      <c r="AI8" s="625">
        <v>0.23741198360494942</v>
      </c>
      <c r="AJ8" s="625">
        <v>0.37618309124527138</v>
      </c>
      <c r="AK8" s="625">
        <v>1.2048192771084338</v>
      </c>
      <c r="AL8" s="625">
        <v>1.1363636363636365</v>
      </c>
      <c r="AM8" s="625">
        <v>1.0869565217391304</v>
      </c>
      <c r="AN8" s="625">
        <v>1.1111111111111114</v>
      </c>
      <c r="AO8" s="625">
        <v>1.2666666666666671</v>
      </c>
      <c r="AP8" s="625">
        <v>1.1111111111111112</v>
      </c>
      <c r="AQ8" s="625">
        <v>1.1861901769548482</v>
      </c>
      <c r="AR8" s="625">
        <v>1.1048689138576779</v>
      </c>
      <c r="AS8" s="625">
        <v>1.3999989458735556</v>
      </c>
    </row>
    <row r="9">
      <c r="B9" s="623">
        <v>668900</v>
      </c>
      <c r="C9" s="603" t="s">
        <v>79</v>
      </c>
      <c r="D9" s="0" t="s">
        <v>63</v>
      </c>
      <c r="E9" s="0" t="s">
        <v>68</v>
      </c>
      <c r="F9" s="625">
        <v>5.44589788325274</v>
      </c>
      <c r="G9" s="625">
        <v>0.84579097030226824</v>
      </c>
      <c r="H9" s="624">
        <v>8.8332927628519187</v>
      </c>
      <c r="I9" s="624">
        <v>25.749019593277868</v>
      </c>
      <c r="J9" s="626">
        <v>869.57</v>
      </c>
      <c r="K9" s="626">
        <v>1244.1507</v>
      </c>
      <c r="L9" s="626">
        <v>519.1914</v>
      </c>
      <c r="M9" s="626">
        <v>2186.8795</v>
      </c>
      <c r="N9" s="626">
        <v>267.02806</v>
      </c>
      <c r="O9" s="626">
        <v>709.83536</v>
      </c>
      <c r="P9" s="626">
        <v>299.376</v>
      </c>
      <c r="Q9" s="626">
        <v>248.48208</v>
      </c>
      <c r="R9" s="626">
        <v>1382.535</v>
      </c>
      <c r="S9" s="626">
        <v>1216.6308000000001</v>
      </c>
      <c r="T9" s="626">
        <v>1351.35</v>
      </c>
      <c r="U9" s="626">
        <v>1243.242</v>
      </c>
      <c r="V9" s="626">
        <v>2328.48</v>
      </c>
      <c r="W9" s="626">
        <v>2095.632</v>
      </c>
      <c r="X9" s="626">
        <v>1474.704</v>
      </c>
      <c r="Y9" s="626">
        <v>1164.24</v>
      </c>
      <c r="Z9" s="626">
        <v>287.1272493</v>
      </c>
      <c r="AA9" s="626">
        <v>258.4145243</v>
      </c>
      <c r="AB9" s="626">
        <v>1392.185219</v>
      </c>
      <c r="AC9" s="626">
        <v>1173.6610588</v>
      </c>
      <c r="AD9" s="626">
        <v>1226.61</v>
      </c>
      <c r="AE9" s="626">
        <v>1110.186</v>
      </c>
      <c r="AF9" s="626">
        <v>1060.2800208</v>
      </c>
      <c r="AG9" s="626">
        <v>757.3434422</v>
      </c>
      <c r="AH9" s="625">
        <v>0.69892658501900129</v>
      </c>
      <c r="AI9" s="625">
        <v>0.23741198360494945</v>
      </c>
      <c r="AJ9" s="625">
        <v>0.37618309124527138</v>
      </c>
      <c r="AK9" s="625">
        <v>1.2048192771084336</v>
      </c>
      <c r="AL9" s="625">
        <v>1.1363636363636362</v>
      </c>
      <c r="AM9" s="625">
        <v>1.0869565217391304</v>
      </c>
      <c r="AN9" s="625">
        <v>1.1111111111111114</v>
      </c>
      <c r="AO9" s="625">
        <v>1.2666666666666671</v>
      </c>
      <c r="AP9" s="625">
        <v>1.1111111111111114</v>
      </c>
      <c r="AQ9" s="625">
        <v>1.1861901769548482</v>
      </c>
      <c r="AR9" s="625">
        <v>1.1048689138576779</v>
      </c>
      <c r="AS9" s="625">
        <v>1.3999989458735556</v>
      </c>
    </row>
    <row r="10">
      <c r="B10" s="623">
        <v>700000</v>
      </c>
      <c r="C10" s="603" t="s">
        <v>77</v>
      </c>
      <c r="D10" s="0" t="s">
        <v>63</v>
      </c>
      <c r="E10" s="0" t="s">
        <v>68</v>
      </c>
      <c r="F10" s="625">
        <v>4.2750751935252778</v>
      </c>
      <c r="G10" s="625">
        <v>0.686241347549976</v>
      </c>
      <c r="H10" s="624">
        <v>6.7404818551805636</v>
      </c>
      <c r="I10" s="624">
        <v>19.414686705769224</v>
      </c>
      <c r="J10" s="626">
        <v>700</v>
      </c>
      <c r="K10" s="626">
        <v>964.9258523</v>
      </c>
      <c r="L10" s="626">
        <v>410.8433327</v>
      </c>
      <c r="M10" s="626">
        <v>1730.5295286</v>
      </c>
      <c r="N10" s="626">
        <v>205.4062</v>
      </c>
      <c r="O10" s="626">
        <v>546.6809707</v>
      </c>
      <c r="P10" s="626">
        <v>258.1243424</v>
      </c>
      <c r="Q10" s="626">
        <v>213.26070629999998</v>
      </c>
      <c r="R10" s="626">
        <v>1190.0824631</v>
      </c>
      <c r="S10" s="626">
        <v>1026.192376</v>
      </c>
      <c r="T10" s="626">
        <v>1181.936271</v>
      </c>
      <c r="U10" s="626">
        <v>1081.2329801</v>
      </c>
      <c r="V10" s="626">
        <v>1991.6365767000002</v>
      </c>
      <c r="W10" s="626">
        <v>1789.3987244</v>
      </c>
      <c r="X10" s="626">
        <v>1311.581677</v>
      </c>
      <c r="Y10" s="626">
        <v>1041.9312073</v>
      </c>
      <c r="Z10" s="626">
        <v>250.6898802</v>
      </c>
      <c r="AA10" s="626">
        <v>225.83955799999998</v>
      </c>
      <c r="AB10" s="626">
        <v>1216.3235852</v>
      </c>
      <c r="AC10" s="626">
        <v>1030.0209011</v>
      </c>
      <c r="AD10" s="626">
        <v>1059.0012895</v>
      </c>
      <c r="AE10" s="626">
        <v>956.4459093</v>
      </c>
      <c r="AF10" s="626">
        <v>918.7000731</v>
      </c>
      <c r="AG10" s="626">
        <v>655.5481834</v>
      </c>
      <c r="AH10" s="625">
        <v>0.7254443420242731</v>
      </c>
      <c r="AI10" s="625">
        <v>0.23740902761911614</v>
      </c>
      <c r="AJ10" s="625">
        <v>0.37573321738330068</v>
      </c>
      <c r="AK10" s="625">
        <v>1.2103699127451422</v>
      </c>
      <c r="AL10" s="625">
        <v>1.1597069818015522</v>
      </c>
      <c r="AM10" s="625">
        <v>1.0931374576356041</v>
      </c>
      <c r="AN10" s="625">
        <v>1.1130200047139238</v>
      </c>
      <c r="AO10" s="625">
        <v>1.2587987266249237</v>
      </c>
      <c r="AP10" s="625">
        <v>1.1100352941010683</v>
      </c>
      <c r="AQ10" s="625">
        <v>1.1808727220160202</v>
      </c>
      <c r="AR10" s="625">
        <v>1.1072254888209732</v>
      </c>
      <c r="AS10" s="625">
        <v>1.4014226510077712</v>
      </c>
    </row>
    <row r="11">
      <c r="B11" s="623">
        <v>700000</v>
      </c>
      <c r="C11" s="603" t="s">
        <v>78</v>
      </c>
      <c r="D11" s="0" t="s">
        <v>63</v>
      </c>
      <c r="E11" s="0" t="s">
        <v>68</v>
      </c>
      <c r="F11" s="625">
        <v>4.916336472554069</v>
      </c>
      <c r="G11" s="625">
        <v>0.78917754968247233</v>
      </c>
      <c r="H11" s="624">
        <v>7.7515541334576472</v>
      </c>
      <c r="I11" s="624">
        <v>22.326889711634603</v>
      </c>
      <c r="J11" s="626">
        <v>840</v>
      </c>
      <c r="K11" s="626">
        <v>1157.9110227</v>
      </c>
      <c r="L11" s="626">
        <v>493.01199920000005</v>
      </c>
      <c r="M11" s="626">
        <v>2076.6354343000003</v>
      </c>
      <c r="N11" s="626">
        <v>246.48744</v>
      </c>
      <c r="O11" s="626">
        <v>656.0171648</v>
      </c>
      <c r="P11" s="626">
        <v>283.9367767</v>
      </c>
      <c r="Q11" s="626">
        <v>234.5867769</v>
      </c>
      <c r="R11" s="626">
        <v>1309.0907094000002</v>
      </c>
      <c r="S11" s="626">
        <v>1128.8116136</v>
      </c>
      <c r="T11" s="626">
        <v>1300.1298981000002</v>
      </c>
      <c r="U11" s="626">
        <v>1189.3562781</v>
      </c>
      <c r="V11" s="626">
        <v>2190.8002343000003</v>
      </c>
      <c r="W11" s="626">
        <v>1968.3385968</v>
      </c>
      <c r="X11" s="626">
        <v>1442.7398447</v>
      </c>
      <c r="Y11" s="626">
        <v>1146.1243281</v>
      </c>
      <c r="Z11" s="626">
        <v>275.75886820000005</v>
      </c>
      <c r="AA11" s="626">
        <v>248.4235138</v>
      </c>
      <c r="AB11" s="626">
        <v>1337.9559438</v>
      </c>
      <c r="AC11" s="626">
        <v>1133.0229912</v>
      </c>
      <c r="AD11" s="626">
        <v>1164.9014184</v>
      </c>
      <c r="AE11" s="626">
        <v>1052.0905003</v>
      </c>
      <c r="AF11" s="626">
        <v>1010.5700803999999</v>
      </c>
      <c r="AG11" s="626">
        <v>721.1030018</v>
      </c>
      <c r="AH11" s="625">
        <v>0.7254443420242731</v>
      </c>
      <c r="AI11" s="625">
        <v>0.23740902761911614</v>
      </c>
      <c r="AJ11" s="625">
        <v>0.37573321738330068</v>
      </c>
      <c r="AK11" s="625">
        <v>1.2103699127451422</v>
      </c>
      <c r="AL11" s="625">
        <v>1.159706981801552</v>
      </c>
      <c r="AM11" s="625">
        <v>1.0931374576356041</v>
      </c>
      <c r="AN11" s="625">
        <v>1.1130200047139238</v>
      </c>
      <c r="AO11" s="625">
        <v>1.2587987266249239</v>
      </c>
      <c r="AP11" s="625">
        <v>1.1100352941010683</v>
      </c>
      <c r="AQ11" s="625">
        <v>1.1808727220160202</v>
      </c>
      <c r="AR11" s="625">
        <v>1.1072254888209729</v>
      </c>
      <c r="AS11" s="625">
        <v>1.4014226510077712</v>
      </c>
    </row>
    <row r="12">
      <c r="B12" s="623">
        <v>700000</v>
      </c>
      <c r="C12" s="603" t="s">
        <v>79</v>
      </c>
      <c r="D12" s="0" t="s">
        <v>63</v>
      </c>
      <c r="E12" s="0" t="s">
        <v>68</v>
      </c>
      <c r="F12" s="625">
        <v>5.5575977515828612</v>
      </c>
      <c r="G12" s="625">
        <v>0.89211375181496877</v>
      </c>
      <c r="H12" s="624">
        <v>8.7626264117347326</v>
      </c>
      <c r="I12" s="624">
        <v>25.23909271749999</v>
      </c>
      <c r="J12" s="626">
        <v>910</v>
      </c>
      <c r="K12" s="626">
        <v>1254.4036079</v>
      </c>
      <c r="L12" s="626">
        <v>534.0963325</v>
      </c>
      <c r="M12" s="626">
        <v>2249.6883872000003</v>
      </c>
      <c r="N12" s="626">
        <v>267.02806</v>
      </c>
      <c r="O12" s="626">
        <v>710.6852619</v>
      </c>
      <c r="P12" s="626">
        <v>309.7492109</v>
      </c>
      <c r="Q12" s="626">
        <v>255.9128475</v>
      </c>
      <c r="R12" s="626">
        <v>1428.0989557</v>
      </c>
      <c r="S12" s="626">
        <v>1231.4308511000002</v>
      </c>
      <c r="T12" s="626">
        <v>1418.3235252</v>
      </c>
      <c r="U12" s="626">
        <v>1297.4795762</v>
      </c>
      <c r="V12" s="626">
        <v>2389.963892</v>
      </c>
      <c r="W12" s="626">
        <v>2147.2784693</v>
      </c>
      <c r="X12" s="626">
        <v>1573.8980124</v>
      </c>
      <c r="Y12" s="626">
        <v>1250.3174488</v>
      </c>
      <c r="Z12" s="626">
        <v>300.8278562</v>
      </c>
      <c r="AA12" s="626">
        <v>271.00746960000004</v>
      </c>
      <c r="AB12" s="626">
        <v>1459.5883023000001</v>
      </c>
      <c r="AC12" s="626">
        <v>1236.0250814</v>
      </c>
      <c r="AD12" s="626">
        <v>1270.8015474000001</v>
      </c>
      <c r="AE12" s="626">
        <v>1147.7350912</v>
      </c>
      <c r="AF12" s="626">
        <v>1102.4400877</v>
      </c>
      <c r="AG12" s="626">
        <v>786.6578201</v>
      </c>
      <c r="AH12" s="625">
        <v>0.7254443420242731</v>
      </c>
      <c r="AI12" s="625">
        <v>0.23740902761911611</v>
      </c>
      <c r="AJ12" s="625">
        <v>0.37573321738330068</v>
      </c>
      <c r="AK12" s="625">
        <v>1.2103699127451422</v>
      </c>
      <c r="AL12" s="625">
        <v>1.1597069818015522</v>
      </c>
      <c r="AM12" s="625">
        <v>1.0931374576356043</v>
      </c>
      <c r="AN12" s="625">
        <v>1.1130200047139238</v>
      </c>
      <c r="AO12" s="625">
        <v>1.2587987266249237</v>
      </c>
      <c r="AP12" s="625">
        <v>1.1100352941010681</v>
      </c>
      <c r="AQ12" s="625">
        <v>1.1808727220160205</v>
      </c>
      <c r="AR12" s="625">
        <v>1.1072254888209729</v>
      </c>
      <c r="AS12" s="625">
        <v>1.401422651007771</v>
      </c>
    </row>
    <row r="13">
      <c r="B13" s="623">
        <v>800000</v>
      </c>
      <c r="C13" s="603" t="s">
        <v>77</v>
      </c>
      <c r="D13" s="0" t="s">
        <v>63</v>
      </c>
      <c r="E13" s="0" t="s">
        <v>68</v>
      </c>
      <c r="F13" s="625">
        <v>4.52475874721347</v>
      </c>
      <c r="G13" s="625">
        <v>0.80081661718317043</v>
      </c>
      <c r="H13" s="624">
        <v>6.591854457666817</v>
      </c>
      <c r="I13" s="624">
        <v>18.329201614995508</v>
      </c>
      <c r="J13" s="626">
        <v>800</v>
      </c>
      <c r="K13" s="626">
        <v>990.2855059</v>
      </c>
      <c r="L13" s="626">
        <v>447.709354</v>
      </c>
      <c r="M13" s="626">
        <v>1885.8817106000001</v>
      </c>
      <c r="N13" s="626">
        <v>205.4062</v>
      </c>
      <c r="O13" s="626">
        <v>548.7831273</v>
      </c>
      <c r="P13" s="626">
        <v>285.9196557</v>
      </c>
      <c r="Q13" s="626">
        <v>233.1716589</v>
      </c>
      <c r="R13" s="626">
        <v>1312.1723765</v>
      </c>
      <c r="S13" s="626">
        <v>1065.8495334000002</v>
      </c>
      <c r="T13" s="626">
        <v>1361.3937341</v>
      </c>
      <c r="U13" s="626">
        <v>1226.5641059999998</v>
      </c>
      <c r="V13" s="626">
        <v>2156.3844116</v>
      </c>
      <c r="W13" s="626">
        <v>1927.7869058</v>
      </c>
      <c r="X13" s="626">
        <v>1577.3748507</v>
      </c>
      <c r="Y13" s="626">
        <v>1272.5781763</v>
      </c>
      <c r="Z13" s="626">
        <v>287.4010457</v>
      </c>
      <c r="AA13" s="626">
        <v>259.5827125</v>
      </c>
      <c r="AB13" s="626">
        <v>1396.9320613</v>
      </c>
      <c r="AC13" s="626">
        <v>1197.1270708000002</v>
      </c>
      <c r="AD13" s="626">
        <v>1177.4137958</v>
      </c>
      <c r="AE13" s="626">
        <v>1057.0597657</v>
      </c>
      <c r="AF13" s="626">
        <v>1031.6691698</v>
      </c>
      <c r="AG13" s="626">
        <v>734.09689150000008</v>
      </c>
      <c r="AH13" s="625">
        <v>0.80784783304140106</v>
      </c>
      <c r="AI13" s="625">
        <v>0.2374005493145871</v>
      </c>
      <c r="AJ13" s="625">
        <v>0.37429394199441829</v>
      </c>
      <c r="AK13" s="625">
        <v>1.2262195890049248</v>
      </c>
      <c r="AL13" s="625">
        <v>1.2311047060452354</v>
      </c>
      <c r="AM13" s="625">
        <v>1.1099246484264822</v>
      </c>
      <c r="AN13" s="625">
        <v>1.1185802772992044</v>
      </c>
      <c r="AO13" s="625">
        <v>1.2395111594428045</v>
      </c>
      <c r="AP13" s="625">
        <v>1.107165584668941</v>
      </c>
      <c r="AQ13" s="625">
        <v>1.1669037442278833</v>
      </c>
      <c r="AR13" s="625">
        <v>1.1138573561237575</v>
      </c>
      <c r="AS13" s="625">
        <v>1.4053583139750967</v>
      </c>
    </row>
    <row r="14">
      <c r="B14" s="623">
        <v>800000</v>
      </c>
      <c r="C14" s="603" t="s">
        <v>78</v>
      </c>
      <c r="D14" s="0" t="s">
        <v>63</v>
      </c>
      <c r="E14" s="0" t="s">
        <v>68</v>
      </c>
      <c r="F14" s="625">
        <v>5.20347255929549</v>
      </c>
      <c r="G14" s="625">
        <v>0.920939109760646</v>
      </c>
      <c r="H14" s="624">
        <v>7.5806326263168389</v>
      </c>
      <c r="I14" s="624">
        <v>21.078581857244831</v>
      </c>
      <c r="J14" s="626">
        <v>960</v>
      </c>
      <c r="K14" s="626">
        <v>1188.342607</v>
      </c>
      <c r="L14" s="626">
        <v>537.2512249</v>
      </c>
      <c r="M14" s="626">
        <v>2263.0580528</v>
      </c>
      <c r="N14" s="626">
        <v>246.48744</v>
      </c>
      <c r="O14" s="626">
        <v>658.5397527</v>
      </c>
      <c r="P14" s="626">
        <v>314.5116213</v>
      </c>
      <c r="Q14" s="626">
        <v>256.4888248</v>
      </c>
      <c r="R14" s="626">
        <v>1443.3896140999998</v>
      </c>
      <c r="S14" s="626">
        <v>1172.4344867</v>
      </c>
      <c r="T14" s="626">
        <v>1497.5331075</v>
      </c>
      <c r="U14" s="626">
        <v>1349.2205165999999</v>
      </c>
      <c r="V14" s="626">
        <v>2372.0228528</v>
      </c>
      <c r="W14" s="626">
        <v>2120.5655963</v>
      </c>
      <c r="X14" s="626">
        <v>1735.1123358</v>
      </c>
      <c r="Y14" s="626">
        <v>1399.8359939</v>
      </c>
      <c r="Z14" s="626">
        <v>316.14115019999997</v>
      </c>
      <c r="AA14" s="626">
        <v>285.5409838</v>
      </c>
      <c r="AB14" s="626">
        <v>1536.6252674</v>
      </c>
      <c r="AC14" s="626">
        <v>1316.8397779000002</v>
      </c>
      <c r="AD14" s="626">
        <v>1295.1551754</v>
      </c>
      <c r="AE14" s="626">
        <v>1162.7657422</v>
      </c>
      <c r="AF14" s="626">
        <v>1134.8360867000001</v>
      </c>
      <c r="AG14" s="626">
        <v>807.50658070000009</v>
      </c>
      <c r="AH14" s="625">
        <v>0.80784783304140118</v>
      </c>
      <c r="AI14" s="625">
        <v>0.23740054931458715</v>
      </c>
      <c r="AJ14" s="625">
        <v>0.37429394199441829</v>
      </c>
      <c r="AK14" s="625">
        <v>1.226219589004925</v>
      </c>
      <c r="AL14" s="625">
        <v>1.2311047060452356</v>
      </c>
      <c r="AM14" s="625">
        <v>1.109924648426482</v>
      </c>
      <c r="AN14" s="625">
        <v>1.1185802772992042</v>
      </c>
      <c r="AO14" s="625">
        <v>1.2395111594428048</v>
      </c>
      <c r="AP14" s="625">
        <v>1.107165584668941</v>
      </c>
      <c r="AQ14" s="625">
        <v>1.1669037442278833</v>
      </c>
      <c r="AR14" s="625">
        <v>1.1138573561237575</v>
      </c>
      <c r="AS14" s="625">
        <v>1.4053583139750967</v>
      </c>
    </row>
    <row r="15">
      <c r="B15" s="623">
        <v>800000</v>
      </c>
      <c r="C15" s="603" t="s">
        <v>79</v>
      </c>
      <c r="D15" s="0" t="s">
        <v>63</v>
      </c>
      <c r="E15" s="0" t="s">
        <v>68</v>
      </c>
      <c r="F15" s="625">
        <v>5.8821863713775109</v>
      </c>
      <c r="G15" s="625">
        <v>1.0410616023381216</v>
      </c>
      <c r="H15" s="624">
        <v>8.5694107949668616</v>
      </c>
      <c r="I15" s="624">
        <v>23.827962099494158</v>
      </c>
      <c r="J15" s="626">
        <v>1040</v>
      </c>
      <c r="K15" s="626">
        <v>1287.3711576</v>
      </c>
      <c r="L15" s="626">
        <v>582.0221603</v>
      </c>
      <c r="M15" s="626">
        <v>2451.6462238</v>
      </c>
      <c r="N15" s="626">
        <v>267.02806</v>
      </c>
      <c r="O15" s="626">
        <v>713.41806539999993</v>
      </c>
      <c r="P15" s="626">
        <v>343.1035869</v>
      </c>
      <c r="Q15" s="626">
        <v>279.80599070000005</v>
      </c>
      <c r="R15" s="626">
        <v>1574.6068518</v>
      </c>
      <c r="S15" s="626">
        <v>1279.01944</v>
      </c>
      <c r="T15" s="626">
        <v>1633.6724809</v>
      </c>
      <c r="U15" s="626">
        <v>1471.8769272</v>
      </c>
      <c r="V15" s="626">
        <v>2587.6612939</v>
      </c>
      <c r="W15" s="626">
        <v>2313.3442869</v>
      </c>
      <c r="X15" s="626">
        <v>1892.8498209</v>
      </c>
      <c r="Y15" s="626">
        <v>1527.0938115000001</v>
      </c>
      <c r="Z15" s="626">
        <v>344.8812548</v>
      </c>
      <c r="AA15" s="626">
        <v>311.499255</v>
      </c>
      <c r="AB15" s="626">
        <v>1676.3184735</v>
      </c>
      <c r="AC15" s="626">
        <v>1436.5524850000002</v>
      </c>
      <c r="AD15" s="626">
        <v>1412.896555</v>
      </c>
      <c r="AE15" s="626">
        <v>1268.4717188</v>
      </c>
      <c r="AF15" s="626">
        <v>1238.0030037</v>
      </c>
      <c r="AG15" s="626">
        <v>880.9162698</v>
      </c>
      <c r="AH15" s="625">
        <v>0.80784783304140106</v>
      </c>
      <c r="AI15" s="625">
        <v>0.2374005493145871</v>
      </c>
      <c r="AJ15" s="625">
        <v>0.37429394199441834</v>
      </c>
      <c r="AK15" s="625">
        <v>1.226219589004925</v>
      </c>
      <c r="AL15" s="625">
        <v>1.2311047060452354</v>
      </c>
      <c r="AM15" s="625">
        <v>1.109924648426482</v>
      </c>
      <c r="AN15" s="625">
        <v>1.1185802772992042</v>
      </c>
      <c r="AO15" s="625">
        <v>1.2395111594428045</v>
      </c>
      <c r="AP15" s="625">
        <v>1.1071655846689408</v>
      </c>
      <c r="AQ15" s="625">
        <v>1.1669037442278831</v>
      </c>
      <c r="AR15" s="625">
        <v>1.1138573561237575</v>
      </c>
      <c r="AS15" s="625">
        <v>1.4053583139750967</v>
      </c>
    </row>
    <row r="16">
      <c r="B16" s="623">
        <v>957039</v>
      </c>
      <c r="C16" s="603" t="s">
        <v>77</v>
      </c>
      <c r="D16" s="0" t="s">
        <v>63</v>
      </c>
      <c r="E16" s="0" t="s">
        <v>68</v>
      </c>
      <c r="F16" s="625">
        <v>4.8505053693233151</v>
      </c>
      <c r="G16" s="625">
        <v>0.98074447486244287</v>
      </c>
      <c r="H16" s="624">
        <v>6.4165289353976451</v>
      </c>
      <c r="I16" s="624">
        <v>17.023710567456593</v>
      </c>
      <c r="J16" s="626">
        <v>957.039</v>
      </c>
      <c r="K16" s="626">
        <v>1030.1100523</v>
      </c>
      <c r="L16" s="626">
        <v>505.60338540000004</v>
      </c>
      <c r="M16" s="626">
        <v>2129.8452238</v>
      </c>
      <c r="N16" s="626">
        <v>205.4062</v>
      </c>
      <c r="O16" s="626">
        <v>552.0843329</v>
      </c>
      <c r="P16" s="626">
        <v>329.5691378</v>
      </c>
      <c r="Q16" s="626">
        <v>264.4396198</v>
      </c>
      <c r="R16" s="626">
        <v>1503.9011556</v>
      </c>
      <c r="S16" s="626">
        <v>1128.1267368000001</v>
      </c>
      <c r="T16" s="626">
        <v>1643.2119395000002</v>
      </c>
      <c r="U16" s="626">
        <v>1454.7906526</v>
      </c>
      <c r="V16" s="626">
        <v>2415.1027640999996</v>
      </c>
      <c r="W16" s="626">
        <v>2145.1103218999997</v>
      </c>
      <c r="X16" s="626">
        <v>1994.7737928</v>
      </c>
      <c r="Y16" s="626">
        <v>1634.7838698</v>
      </c>
      <c r="Z16" s="626">
        <v>345.05189279999996</v>
      </c>
      <c r="AA16" s="626">
        <v>312.5726249</v>
      </c>
      <c r="AB16" s="626">
        <v>1680.557806</v>
      </c>
      <c r="AC16" s="626">
        <v>1459.5489287</v>
      </c>
      <c r="AD16" s="626">
        <v>1363.3676117</v>
      </c>
      <c r="AE16" s="626">
        <v>1215.0627594999999</v>
      </c>
      <c r="AF16" s="626">
        <v>1209.0747095000002</v>
      </c>
      <c r="AG16" s="626">
        <v>857.4489972</v>
      </c>
      <c r="AH16" s="625">
        <v>0.92906481001578445</v>
      </c>
      <c r="AI16" s="625">
        <v>0.2373897313014941</v>
      </c>
      <c r="AJ16" s="625">
        <v>0.37205583958758104</v>
      </c>
      <c r="AK16" s="625">
        <v>1.2462925867620145</v>
      </c>
      <c r="AL16" s="625">
        <v>1.3330959248754912</v>
      </c>
      <c r="AM16" s="625">
        <v>1.1295178014195777</v>
      </c>
      <c r="AN16" s="625">
        <v>1.1258641289954212</v>
      </c>
      <c r="AO16" s="625">
        <v>1.2202064319742678</v>
      </c>
      <c r="AP16" s="625">
        <v>1.1039095087565887</v>
      </c>
      <c r="AQ16" s="625">
        <v>1.1514227258270724</v>
      </c>
      <c r="AR16" s="625">
        <v>1.1220553021102528</v>
      </c>
      <c r="AS16" s="625">
        <v>1.4100835308129294</v>
      </c>
    </row>
    <row r="17">
      <c r="B17" s="623">
        <v>957039</v>
      </c>
      <c r="C17" s="603" t="s">
        <v>78</v>
      </c>
      <c r="D17" s="0" t="s">
        <v>63</v>
      </c>
      <c r="E17" s="0" t="s">
        <v>68</v>
      </c>
      <c r="F17" s="625">
        <v>5.5780811747218113</v>
      </c>
      <c r="G17" s="625">
        <v>1.1278561460918091</v>
      </c>
      <c r="H17" s="624">
        <v>7.3790082757072906</v>
      </c>
      <c r="I17" s="624">
        <v>19.577267152575082</v>
      </c>
      <c r="J17" s="626">
        <v>1148.4468</v>
      </c>
      <c r="K17" s="626">
        <v>1236.1320627</v>
      </c>
      <c r="L17" s="626">
        <v>606.7240625</v>
      </c>
      <c r="M17" s="626">
        <v>2555.8142686</v>
      </c>
      <c r="N17" s="626">
        <v>246.48744</v>
      </c>
      <c r="O17" s="626">
        <v>662.5011995</v>
      </c>
      <c r="P17" s="626">
        <v>362.5260516</v>
      </c>
      <c r="Q17" s="626">
        <v>290.8835818</v>
      </c>
      <c r="R17" s="626">
        <v>1654.2912711</v>
      </c>
      <c r="S17" s="626">
        <v>1240.9394105</v>
      </c>
      <c r="T17" s="626">
        <v>1807.5331335</v>
      </c>
      <c r="U17" s="626">
        <v>1600.2697179000002</v>
      </c>
      <c r="V17" s="626">
        <v>2656.6130405999997</v>
      </c>
      <c r="W17" s="626">
        <v>2359.6213541</v>
      </c>
      <c r="X17" s="626">
        <v>2194.2511721</v>
      </c>
      <c r="Y17" s="626">
        <v>1798.2622568000002</v>
      </c>
      <c r="Z17" s="626">
        <v>379.5570821</v>
      </c>
      <c r="AA17" s="626">
        <v>343.8298874</v>
      </c>
      <c r="AB17" s="626">
        <v>1848.6135866</v>
      </c>
      <c r="AC17" s="626">
        <v>1605.5038215999998</v>
      </c>
      <c r="AD17" s="626">
        <v>1499.7043729000002</v>
      </c>
      <c r="AE17" s="626">
        <v>1336.5690355</v>
      </c>
      <c r="AF17" s="626">
        <v>1329.9821805</v>
      </c>
      <c r="AG17" s="626">
        <v>943.193897</v>
      </c>
      <c r="AH17" s="625">
        <v>0.92906481001578445</v>
      </c>
      <c r="AI17" s="625">
        <v>0.2373897313014941</v>
      </c>
      <c r="AJ17" s="625">
        <v>0.37205583958758104</v>
      </c>
      <c r="AK17" s="625">
        <v>1.2462925867620147</v>
      </c>
      <c r="AL17" s="625">
        <v>1.333095924875491</v>
      </c>
      <c r="AM17" s="625">
        <v>1.1295178014195777</v>
      </c>
      <c r="AN17" s="625">
        <v>1.1258641289954212</v>
      </c>
      <c r="AO17" s="625">
        <v>1.220206431974268</v>
      </c>
      <c r="AP17" s="625">
        <v>1.1039095087565889</v>
      </c>
      <c r="AQ17" s="625">
        <v>1.1514227258270724</v>
      </c>
      <c r="AR17" s="625">
        <v>1.1220553021102528</v>
      </c>
      <c r="AS17" s="625">
        <v>1.4100835308129294</v>
      </c>
    </row>
    <row r="18">
      <c r="B18" s="623">
        <v>957039</v>
      </c>
      <c r="C18" s="603" t="s">
        <v>79</v>
      </c>
      <c r="D18" s="0" t="s">
        <v>63</v>
      </c>
      <c r="E18" s="0" t="s">
        <v>68</v>
      </c>
      <c r="F18" s="625">
        <v>6.3056569801203093</v>
      </c>
      <c r="G18" s="625">
        <v>1.2749678173211756</v>
      </c>
      <c r="H18" s="624">
        <v>8.3414876160169378</v>
      </c>
      <c r="I18" s="624">
        <v>22.130823737693571</v>
      </c>
      <c r="J18" s="626">
        <v>1244.1507</v>
      </c>
      <c r="K18" s="626">
        <v>1339.1430679</v>
      </c>
      <c r="L18" s="626">
        <v>657.284401</v>
      </c>
      <c r="M18" s="626">
        <v>2768.7987909</v>
      </c>
      <c r="N18" s="626">
        <v>267.02806</v>
      </c>
      <c r="O18" s="626">
        <v>717.7096328</v>
      </c>
      <c r="P18" s="626">
        <v>395.4829653</v>
      </c>
      <c r="Q18" s="626">
        <v>317.3275437</v>
      </c>
      <c r="R18" s="626">
        <v>1804.6813866999999</v>
      </c>
      <c r="S18" s="626">
        <v>1353.7520842</v>
      </c>
      <c r="T18" s="626">
        <v>1971.8543274</v>
      </c>
      <c r="U18" s="626">
        <v>1745.7487832</v>
      </c>
      <c r="V18" s="626">
        <v>2898.1233169999996</v>
      </c>
      <c r="W18" s="626">
        <v>2574.1323862</v>
      </c>
      <c r="X18" s="626">
        <v>2393.7285514</v>
      </c>
      <c r="Y18" s="626">
        <v>1961.7406437</v>
      </c>
      <c r="Z18" s="626">
        <v>414.06227140000004</v>
      </c>
      <c r="AA18" s="626">
        <v>375.08714990000004</v>
      </c>
      <c r="AB18" s="626">
        <v>2016.6693672</v>
      </c>
      <c r="AC18" s="626">
        <v>1751.4587145</v>
      </c>
      <c r="AD18" s="626">
        <v>1636.0411341</v>
      </c>
      <c r="AE18" s="626">
        <v>1458.0753114</v>
      </c>
      <c r="AF18" s="626">
        <v>1450.8896514</v>
      </c>
      <c r="AG18" s="626">
        <v>1028.9387967</v>
      </c>
      <c r="AH18" s="625">
        <v>0.92906481001578434</v>
      </c>
      <c r="AI18" s="625">
        <v>0.2373897313014941</v>
      </c>
      <c r="AJ18" s="625">
        <v>0.37205583958758104</v>
      </c>
      <c r="AK18" s="625">
        <v>1.2462925867620147</v>
      </c>
      <c r="AL18" s="625">
        <v>1.3330959248754912</v>
      </c>
      <c r="AM18" s="625">
        <v>1.1295178014195777</v>
      </c>
      <c r="AN18" s="625">
        <v>1.125864128995421</v>
      </c>
      <c r="AO18" s="625">
        <v>1.2202064319742678</v>
      </c>
      <c r="AP18" s="625">
        <v>1.1039095087565889</v>
      </c>
      <c r="AQ18" s="625">
        <v>1.1514227258270724</v>
      </c>
      <c r="AR18" s="625">
        <v>1.1220553021102531</v>
      </c>
      <c r="AS18" s="625">
        <v>1.4100835308129294</v>
      </c>
    </row>
    <row r="19">
      <c r="B19" s="623">
        <v>1000000</v>
      </c>
      <c r="C19" s="603" t="s">
        <v>77</v>
      </c>
      <c r="D19" s="0" t="s">
        <v>63</v>
      </c>
      <c r="E19" s="0" t="s">
        <v>68</v>
      </c>
      <c r="F19" s="625">
        <v>4.9282082774678662</v>
      </c>
      <c r="G19" s="625">
        <v>1.0299671564495594</v>
      </c>
      <c r="H19" s="624">
        <v>6.3774808543111332</v>
      </c>
      <c r="I19" s="624">
        <v>16.72918646825044</v>
      </c>
      <c r="J19" s="626">
        <v>1000</v>
      </c>
      <c r="K19" s="626">
        <v>1041.004813</v>
      </c>
      <c r="L19" s="626">
        <v>521.4413968</v>
      </c>
      <c r="M19" s="626">
        <v>2196.5860747</v>
      </c>
      <c r="N19" s="626">
        <v>205.4062</v>
      </c>
      <c r="O19" s="626">
        <v>552.9874404</v>
      </c>
      <c r="P19" s="626">
        <v>341.51028230000003</v>
      </c>
      <c r="Q19" s="626">
        <v>272.9935641</v>
      </c>
      <c r="R19" s="626">
        <v>1556.3522033</v>
      </c>
      <c r="S19" s="626">
        <v>1145.1638481999999</v>
      </c>
      <c r="T19" s="626">
        <v>1720.3086602</v>
      </c>
      <c r="U19" s="626">
        <v>1517.2263576</v>
      </c>
      <c r="V19" s="626">
        <v>2485.8800815</v>
      </c>
      <c r="W19" s="626">
        <v>2204.5632684999996</v>
      </c>
      <c r="X19" s="626">
        <v>2108.9611982</v>
      </c>
      <c r="Y19" s="626">
        <v>1733.8721140999999</v>
      </c>
      <c r="Z19" s="626">
        <v>360.8233766</v>
      </c>
      <c r="AA19" s="626">
        <v>327.06902149999996</v>
      </c>
      <c r="AB19" s="626">
        <v>1758.1490134</v>
      </c>
      <c r="AC19" s="626">
        <v>1531.3394103</v>
      </c>
      <c r="AD19" s="626">
        <v>1414.2388086</v>
      </c>
      <c r="AE19" s="626">
        <v>1258.2874783</v>
      </c>
      <c r="AF19" s="626">
        <v>1257.6073631</v>
      </c>
      <c r="AG19" s="626">
        <v>891.1943077</v>
      </c>
      <c r="AH19" s="625">
        <v>0.96061035210637591</v>
      </c>
      <c r="AI19" s="625">
        <v>0.23738719044237258</v>
      </c>
      <c r="AJ19" s="625">
        <v>0.37144821925559873</v>
      </c>
      <c r="AK19" s="625">
        <v>1.2509829065134432</v>
      </c>
      <c r="AL19" s="625">
        <v>1.3590650855055593</v>
      </c>
      <c r="AM19" s="625">
        <v>1.1338510246534201</v>
      </c>
      <c r="AN19" s="625">
        <v>1.1276065954037831</v>
      </c>
      <c r="AO19" s="625">
        <v>1.2163303054489247</v>
      </c>
      <c r="AP19" s="625">
        <v>1.10320254404423</v>
      </c>
      <c r="AQ19" s="625">
        <v>1.1481119088025609</v>
      </c>
      <c r="AR19" s="625">
        <v>1.1239393484539013</v>
      </c>
      <c r="AS19" s="625">
        <v>1.4111483345944735</v>
      </c>
    </row>
    <row r="20">
      <c r="B20" s="623">
        <v>1000000</v>
      </c>
      <c r="C20" s="603" t="s">
        <v>78</v>
      </c>
      <c r="D20" s="0" t="s">
        <v>63</v>
      </c>
      <c r="E20" s="0" t="s">
        <v>68</v>
      </c>
      <c r="F20" s="625">
        <v>5.6674395190880453</v>
      </c>
      <c r="G20" s="625">
        <v>1.1844622299169934</v>
      </c>
      <c r="H20" s="624">
        <v>7.3341029824578028</v>
      </c>
      <c r="I20" s="624">
        <v>19.238564438488005</v>
      </c>
      <c r="J20" s="626">
        <v>1200</v>
      </c>
      <c r="K20" s="626">
        <v>1249.2057756000002</v>
      </c>
      <c r="L20" s="626">
        <v>625.7296762</v>
      </c>
      <c r="M20" s="626">
        <v>2635.9032897</v>
      </c>
      <c r="N20" s="626">
        <v>246.48744</v>
      </c>
      <c r="O20" s="626">
        <v>663.5849285</v>
      </c>
      <c r="P20" s="626">
        <v>375.66131060000004</v>
      </c>
      <c r="Q20" s="626">
        <v>300.2929206</v>
      </c>
      <c r="R20" s="626">
        <v>1711.9874236</v>
      </c>
      <c r="S20" s="626">
        <v>1259.680233</v>
      </c>
      <c r="T20" s="626">
        <v>1892.3395262</v>
      </c>
      <c r="U20" s="626">
        <v>1668.9489934</v>
      </c>
      <c r="V20" s="626">
        <v>2734.4680897</v>
      </c>
      <c r="W20" s="626">
        <v>2425.0195953</v>
      </c>
      <c r="X20" s="626">
        <v>2319.857318</v>
      </c>
      <c r="Y20" s="626">
        <v>1907.2593255</v>
      </c>
      <c r="Z20" s="626">
        <v>396.9057143</v>
      </c>
      <c r="AA20" s="626">
        <v>359.77592369999996</v>
      </c>
      <c r="AB20" s="626">
        <v>1933.9639147</v>
      </c>
      <c r="AC20" s="626">
        <v>1684.4733512999999</v>
      </c>
      <c r="AD20" s="626">
        <v>1555.6626894</v>
      </c>
      <c r="AE20" s="626">
        <v>1384.1162262</v>
      </c>
      <c r="AF20" s="626">
        <v>1383.3680995</v>
      </c>
      <c r="AG20" s="626">
        <v>980.3137385</v>
      </c>
      <c r="AH20" s="625">
        <v>0.960610352106376</v>
      </c>
      <c r="AI20" s="625">
        <v>0.23738719044237255</v>
      </c>
      <c r="AJ20" s="625">
        <v>0.37144821925559868</v>
      </c>
      <c r="AK20" s="625">
        <v>1.2509829065134432</v>
      </c>
      <c r="AL20" s="625">
        <v>1.3590650855055595</v>
      </c>
      <c r="AM20" s="625">
        <v>1.1338510246534201</v>
      </c>
      <c r="AN20" s="625">
        <v>1.1276065954037831</v>
      </c>
      <c r="AO20" s="625">
        <v>1.216330305448925</v>
      </c>
      <c r="AP20" s="625">
        <v>1.10320254404423</v>
      </c>
      <c r="AQ20" s="625">
        <v>1.1481119088025611</v>
      </c>
      <c r="AR20" s="625">
        <v>1.1239393484539013</v>
      </c>
      <c r="AS20" s="625">
        <v>1.4111483345944738</v>
      </c>
    </row>
    <row r="21">
      <c r="B21" s="623">
        <v>1000000</v>
      </c>
      <c r="C21" s="603" t="s">
        <v>79</v>
      </c>
      <c r="D21" s="0" t="s">
        <v>63</v>
      </c>
      <c r="E21" s="0" t="s">
        <v>68</v>
      </c>
      <c r="F21" s="625">
        <v>6.4066707607082254</v>
      </c>
      <c r="G21" s="625">
        <v>1.3389573033844273</v>
      </c>
      <c r="H21" s="624">
        <v>8.2907251106044733</v>
      </c>
      <c r="I21" s="624">
        <v>21.747942408725574</v>
      </c>
      <c r="J21" s="626">
        <v>1300</v>
      </c>
      <c r="K21" s="626">
        <v>1353.306257</v>
      </c>
      <c r="L21" s="626">
        <v>677.87381590000007</v>
      </c>
      <c r="M21" s="626">
        <v>2855.5618971000004</v>
      </c>
      <c r="N21" s="626">
        <v>267.02806</v>
      </c>
      <c r="O21" s="626">
        <v>718.8836725</v>
      </c>
      <c r="P21" s="626">
        <v>409.8123388</v>
      </c>
      <c r="Q21" s="626">
        <v>327.592277</v>
      </c>
      <c r="R21" s="626">
        <v>1867.6226439</v>
      </c>
      <c r="S21" s="626">
        <v>1374.1966177999998</v>
      </c>
      <c r="T21" s="626">
        <v>2064.3703923</v>
      </c>
      <c r="U21" s="626">
        <v>1820.6716291</v>
      </c>
      <c r="V21" s="626">
        <v>2983.0560978000003</v>
      </c>
      <c r="W21" s="626">
        <v>2645.4759222</v>
      </c>
      <c r="X21" s="626">
        <v>2530.7534378</v>
      </c>
      <c r="Y21" s="626">
        <v>2080.6465369</v>
      </c>
      <c r="Z21" s="626">
        <v>432.98805200000004</v>
      </c>
      <c r="AA21" s="626">
        <v>392.4828259</v>
      </c>
      <c r="AB21" s="626">
        <v>2109.778816</v>
      </c>
      <c r="AC21" s="626">
        <v>1837.6072923000002</v>
      </c>
      <c r="AD21" s="626">
        <v>1697.0865703</v>
      </c>
      <c r="AE21" s="626">
        <v>1509.944974</v>
      </c>
      <c r="AF21" s="626">
        <v>1509.1288358</v>
      </c>
      <c r="AG21" s="626">
        <v>1069.4331693</v>
      </c>
      <c r="AH21" s="625">
        <v>0.9606103521063758</v>
      </c>
      <c r="AI21" s="625">
        <v>0.23738719044237255</v>
      </c>
      <c r="AJ21" s="625">
        <v>0.37144821925559868</v>
      </c>
      <c r="AK21" s="625">
        <v>1.2509829065134432</v>
      </c>
      <c r="AL21" s="625">
        <v>1.3590650855055595</v>
      </c>
      <c r="AM21" s="625">
        <v>1.1338510246534201</v>
      </c>
      <c r="AN21" s="625">
        <v>1.1276065954037833</v>
      </c>
      <c r="AO21" s="625">
        <v>1.2163303054489247</v>
      </c>
      <c r="AP21" s="625">
        <v>1.1032025440442297</v>
      </c>
      <c r="AQ21" s="625">
        <v>1.1481119088025609</v>
      </c>
      <c r="AR21" s="625">
        <v>1.1239393484539013</v>
      </c>
      <c r="AS21" s="625">
        <v>1.4111483345944735</v>
      </c>
    </row>
    <row r="22">
      <c r="B22" s="623">
        <v>1101400</v>
      </c>
      <c r="C22" s="603" t="s">
        <v>77</v>
      </c>
      <c r="D22" s="0" t="s">
        <v>63</v>
      </c>
      <c r="E22" s="0" t="s">
        <v>68</v>
      </c>
      <c r="F22" s="625">
        <v>5.095690871302768</v>
      </c>
      <c r="G22" s="625">
        <v>1.1461464798576186</v>
      </c>
      <c r="H22" s="624">
        <v>6.2966171485807507</v>
      </c>
      <c r="I22" s="624">
        <v>16.114820494227224</v>
      </c>
      <c r="J22" s="626">
        <v>1101.4</v>
      </c>
      <c r="K22" s="626">
        <v>1066.7195018</v>
      </c>
      <c r="L22" s="626">
        <v>558.8235425</v>
      </c>
      <c r="M22" s="626">
        <v>2354.1131873</v>
      </c>
      <c r="N22" s="626">
        <v>205.4062</v>
      </c>
      <c r="O22" s="626">
        <v>555.11902709999993</v>
      </c>
      <c r="P22" s="626">
        <v>369.69473</v>
      </c>
      <c r="Q22" s="626">
        <v>293.1832701</v>
      </c>
      <c r="R22" s="626">
        <v>1680.1513754</v>
      </c>
      <c r="S22" s="626">
        <v>1185.3762058000002</v>
      </c>
      <c r="T22" s="626">
        <v>1902.2785278000001</v>
      </c>
      <c r="U22" s="626">
        <v>1664.5921192</v>
      </c>
      <c r="V22" s="626">
        <v>2652.9343860999998</v>
      </c>
      <c r="W22" s="626">
        <v>2344.8888844</v>
      </c>
      <c r="X22" s="626">
        <v>2378.4754763</v>
      </c>
      <c r="Y22" s="626">
        <v>1967.7481406</v>
      </c>
      <c r="Z22" s="626">
        <v>398.04849839999997</v>
      </c>
      <c r="AA22" s="626">
        <v>361.28458020000005</v>
      </c>
      <c r="AB22" s="626">
        <v>1941.2860081</v>
      </c>
      <c r="AC22" s="626">
        <v>1700.7850664</v>
      </c>
      <c r="AD22" s="626">
        <v>1534.3090900000002</v>
      </c>
      <c r="AE22" s="626">
        <v>1360.3099287</v>
      </c>
      <c r="AF22" s="626">
        <v>1372.1580271999999</v>
      </c>
      <c r="AG22" s="626">
        <v>970.8426977</v>
      </c>
      <c r="AH22" s="625">
        <v>1.0325113566959707</v>
      </c>
      <c r="AI22" s="625">
        <v>0.23738176462885158</v>
      </c>
      <c r="AJ22" s="625">
        <v>0.37002190513985461</v>
      </c>
      <c r="AK22" s="625">
        <v>1.2609680282338223</v>
      </c>
      <c r="AL22" s="625">
        <v>1.4173992756175535</v>
      </c>
      <c r="AM22" s="625">
        <v>1.1427895793906584</v>
      </c>
      <c r="AN22" s="625">
        <v>1.1313689121209567</v>
      </c>
      <c r="AO22" s="625">
        <v>1.2087296271489172</v>
      </c>
      <c r="AP22" s="625">
        <v>1.1017588910239302</v>
      </c>
      <c r="AQ22" s="625">
        <v>1.1414058404232947</v>
      </c>
      <c r="AR22" s="625">
        <v>1.1279114102540813</v>
      </c>
      <c r="AS22" s="625">
        <v>1.4133680259278505</v>
      </c>
    </row>
    <row r="23">
      <c r="B23" s="623">
        <v>1101400</v>
      </c>
      <c r="C23" s="603" t="s">
        <v>78</v>
      </c>
      <c r="D23" s="0" t="s">
        <v>63</v>
      </c>
      <c r="E23" s="0" t="s">
        <v>68</v>
      </c>
      <c r="F23" s="625">
        <v>5.8600445019981828</v>
      </c>
      <c r="G23" s="625">
        <v>1.3180684518362613</v>
      </c>
      <c r="H23" s="624">
        <v>7.2411097208678621</v>
      </c>
      <c r="I23" s="624">
        <v>18.532043568361306</v>
      </c>
      <c r="J23" s="626">
        <v>1321.68</v>
      </c>
      <c r="K23" s="626">
        <v>1280.0634021</v>
      </c>
      <c r="L23" s="626">
        <v>670.588251</v>
      </c>
      <c r="M23" s="626">
        <v>2824.9358248</v>
      </c>
      <c r="N23" s="626">
        <v>246.48744</v>
      </c>
      <c r="O23" s="626">
        <v>666.1428326</v>
      </c>
      <c r="P23" s="626">
        <v>406.664203</v>
      </c>
      <c r="Q23" s="626">
        <v>322.5015971</v>
      </c>
      <c r="R23" s="626">
        <v>1848.1665130000001</v>
      </c>
      <c r="S23" s="626">
        <v>1303.9138263999998</v>
      </c>
      <c r="T23" s="626">
        <v>2092.5063805</v>
      </c>
      <c r="U23" s="626">
        <v>1831.0513311</v>
      </c>
      <c r="V23" s="626">
        <v>2918.2278248000002</v>
      </c>
      <c r="W23" s="626">
        <v>2579.3777728</v>
      </c>
      <c r="X23" s="626">
        <v>2616.3230239</v>
      </c>
      <c r="Y23" s="626">
        <v>2164.5229547</v>
      </c>
      <c r="Z23" s="626">
        <v>437.8533483</v>
      </c>
      <c r="AA23" s="626">
        <v>397.4130382</v>
      </c>
      <c r="AB23" s="626">
        <v>2135.4146089</v>
      </c>
      <c r="AC23" s="626">
        <v>1870.863573</v>
      </c>
      <c r="AD23" s="626">
        <v>1687.7399990000001</v>
      </c>
      <c r="AE23" s="626">
        <v>1496.3409215</v>
      </c>
      <c r="AF23" s="626">
        <v>1509.3738299</v>
      </c>
      <c r="AG23" s="626">
        <v>1067.9269675</v>
      </c>
      <c r="AH23" s="625">
        <v>1.0325113566959707</v>
      </c>
      <c r="AI23" s="625">
        <v>0.23738176462885158</v>
      </c>
      <c r="AJ23" s="625">
        <v>0.37002190513985461</v>
      </c>
      <c r="AK23" s="625">
        <v>1.2609680282338223</v>
      </c>
      <c r="AL23" s="625">
        <v>1.4173992756175535</v>
      </c>
      <c r="AM23" s="625">
        <v>1.1427895793906584</v>
      </c>
      <c r="AN23" s="625">
        <v>1.1313689121209569</v>
      </c>
      <c r="AO23" s="625">
        <v>1.208729627148917</v>
      </c>
      <c r="AP23" s="625">
        <v>1.1017588910239302</v>
      </c>
      <c r="AQ23" s="625">
        <v>1.141405840423295</v>
      </c>
      <c r="AR23" s="625">
        <v>1.1279114102540813</v>
      </c>
      <c r="AS23" s="625">
        <v>1.4133680259278503</v>
      </c>
    </row>
    <row r="24">
      <c r="B24" s="623">
        <v>1101400</v>
      </c>
      <c r="C24" s="603" t="s">
        <v>79</v>
      </c>
      <c r="D24" s="0" t="s">
        <v>63</v>
      </c>
      <c r="E24" s="0" t="s">
        <v>68</v>
      </c>
      <c r="F24" s="625">
        <v>6.6243981326935986</v>
      </c>
      <c r="G24" s="625">
        <v>1.4899904238149042</v>
      </c>
      <c r="H24" s="624">
        <v>8.1856022931549752</v>
      </c>
      <c r="I24" s="624">
        <v>20.949266642495388</v>
      </c>
      <c r="J24" s="626">
        <v>1431.82</v>
      </c>
      <c r="K24" s="626">
        <v>1386.7353523</v>
      </c>
      <c r="L24" s="626">
        <v>726.4706053000001</v>
      </c>
      <c r="M24" s="626">
        <v>3060.3471434999997</v>
      </c>
      <c r="N24" s="626">
        <v>267.02806</v>
      </c>
      <c r="O24" s="626">
        <v>721.6547353</v>
      </c>
      <c r="P24" s="626">
        <v>443.633676</v>
      </c>
      <c r="Q24" s="626">
        <v>351.8199241</v>
      </c>
      <c r="R24" s="626">
        <v>2016.1816505</v>
      </c>
      <c r="S24" s="626">
        <v>1422.451447</v>
      </c>
      <c r="T24" s="626">
        <v>2282.7342333</v>
      </c>
      <c r="U24" s="626">
        <v>1997.510543</v>
      </c>
      <c r="V24" s="626">
        <v>3183.5212634</v>
      </c>
      <c r="W24" s="626">
        <v>2813.8666612</v>
      </c>
      <c r="X24" s="626">
        <v>2854.1705716</v>
      </c>
      <c r="Y24" s="626">
        <v>2361.2977687</v>
      </c>
      <c r="Z24" s="626">
        <v>477.6581981</v>
      </c>
      <c r="AA24" s="626">
        <v>433.5414963</v>
      </c>
      <c r="AB24" s="626">
        <v>2329.5432097</v>
      </c>
      <c r="AC24" s="626">
        <v>2040.9420796999998</v>
      </c>
      <c r="AD24" s="626">
        <v>1841.170908</v>
      </c>
      <c r="AE24" s="626">
        <v>1632.3719144</v>
      </c>
      <c r="AF24" s="626">
        <v>1646.5896326</v>
      </c>
      <c r="AG24" s="626">
        <v>1165.0112373</v>
      </c>
      <c r="AH24" s="625">
        <v>1.0325113566959707</v>
      </c>
      <c r="AI24" s="625">
        <v>0.23738176462885161</v>
      </c>
      <c r="AJ24" s="625">
        <v>0.37002190513985456</v>
      </c>
      <c r="AK24" s="625">
        <v>1.2609680282338225</v>
      </c>
      <c r="AL24" s="625">
        <v>1.4173992756175537</v>
      </c>
      <c r="AM24" s="625">
        <v>1.1427895793906584</v>
      </c>
      <c r="AN24" s="625">
        <v>1.1313689121209567</v>
      </c>
      <c r="AO24" s="625">
        <v>1.208729627148917</v>
      </c>
      <c r="AP24" s="625">
        <v>1.1017588910239302</v>
      </c>
      <c r="AQ24" s="625">
        <v>1.1414058404232947</v>
      </c>
      <c r="AR24" s="625">
        <v>1.127911410254081</v>
      </c>
      <c r="AS24" s="625">
        <v>1.4133680259278503</v>
      </c>
    </row>
    <row r="25">
      <c r="B25" s="623">
        <v>1257800</v>
      </c>
      <c r="C25" s="603" t="s">
        <v>77</v>
      </c>
      <c r="D25" s="0" t="s">
        <v>63</v>
      </c>
      <c r="E25" s="0" t="s">
        <v>68</v>
      </c>
      <c r="F25" s="625">
        <v>5.317418826264336</v>
      </c>
      <c r="G25" s="625">
        <v>1.3253422015639349</v>
      </c>
      <c r="H25" s="624">
        <v>6.1960003518974309</v>
      </c>
      <c r="I25" s="624">
        <v>15.341899249459923</v>
      </c>
      <c r="J25" s="626">
        <v>1257.8</v>
      </c>
      <c r="K25" s="626">
        <v>1106.382</v>
      </c>
      <c r="L25" s="626">
        <v>616.482</v>
      </c>
      <c r="M25" s="626">
        <v>2597.084</v>
      </c>
      <c r="N25" s="626">
        <v>205.4062</v>
      </c>
      <c r="O25" s="626">
        <v>558.40680000000009</v>
      </c>
      <c r="P25" s="626">
        <v>413.16659999999996</v>
      </c>
      <c r="Q25" s="626">
        <v>324.324</v>
      </c>
      <c r="R25" s="626">
        <v>1871.1</v>
      </c>
      <c r="S25" s="626">
        <v>1247.4</v>
      </c>
      <c r="T25" s="626">
        <v>2182.95</v>
      </c>
      <c r="U25" s="626">
        <v>1891.89</v>
      </c>
      <c r="V25" s="626">
        <v>2910.6</v>
      </c>
      <c r="W25" s="626">
        <v>2561.328</v>
      </c>
      <c r="X25" s="626">
        <v>2794.176</v>
      </c>
      <c r="Y25" s="626">
        <v>2328.48</v>
      </c>
      <c r="Z25" s="626">
        <v>455.4647613</v>
      </c>
      <c r="AA25" s="626">
        <v>414.0588739</v>
      </c>
      <c r="AB25" s="626">
        <v>2223.7576645999998</v>
      </c>
      <c r="AC25" s="626">
        <v>1962.1391158000001</v>
      </c>
      <c r="AD25" s="626">
        <v>1719.50625</v>
      </c>
      <c r="AE25" s="626">
        <v>1517.67</v>
      </c>
      <c r="AF25" s="626">
        <v>1548.8416943999998</v>
      </c>
      <c r="AG25" s="626">
        <v>1093.6928771999999</v>
      </c>
      <c r="AH25" s="625">
        <v>1.1368586979903868</v>
      </c>
      <c r="AI25" s="625">
        <v>0.23737468637903125</v>
      </c>
      <c r="AJ25" s="625">
        <v>0.36784329990250847</v>
      </c>
      <c r="AK25" s="625">
        <v>1.2739316239316241</v>
      </c>
      <c r="AL25" s="625">
        <v>1.5</v>
      </c>
      <c r="AM25" s="625">
        <v>1.1538461538461537</v>
      </c>
      <c r="AN25" s="625">
        <v>1.1363636363636365</v>
      </c>
      <c r="AO25" s="625">
        <v>1.1999999999999997</v>
      </c>
      <c r="AP25" s="625">
        <v>1.0999999999999999</v>
      </c>
      <c r="AQ25" s="625">
        <v>1.1333333333333338</v>
      </c>
      <c r="AR25" s="625">
        <v>1.1329908675799087</v>
      </c>
      <c r="AS25" s="625">
        <v>1.4161577959311642</v>
      </c>
    </row>
    <row r="26">
      <c r="B26" s="623">
        <v>1257800</v>
      </c>
      <c r="C26" s="603" t="s">
        <v>78</v>
      </c>
      <c r="D26" s="0" t="s">
        <v>63</v>
      </c>
      <c r="E26" s="0" t="s">
        <v>68</v>
      </c>
      <c r="F26" s="625">
        <v>6.1150316502039859</v>
      </c>
      <c r="G26" s="625">
        <v>1.524143531798525</v>
      </c>
      <c r="H26" s="624">
        <v>7.1254004046820452</v>
      </c>
      <c r="I26" s="624">
        <v>17.643184136878908</v>
      </c>
      <c r="J26" s="626">
        <v>1509.36</v>
      </c>
      <c r="K26" s="626">
        <v>1327.6583999999998</v>
      </c>
      <c r="L26" s="626">
        <v>739.7784</v>
      </c>
      <c r="M26" s="626">
        <v>3116.5008</v>
      </c>
      <c r="N26" s="626">
        <v>246.48744</v>
      </c>
      <c r="O26" s="626">
        <v>670.08816</v>
      </c>
      <c r="P26" s="626">
        <v>454.48326000000003</v>
      </c>
      <c r="Q26" s="626">
        <v>356.75640000000004</v>
      </c>
      <c r="R26" s="626">
        <v>2058.21</v>
      </c>
      <c r="S26" s="626">
        <v>1372.14</v>
      </c>
      <c r="T26" s="626">
        <v>2401.245</v>
      </c>
      <c r="U26" s="626">
        <v>2081.079</v>
      </c>
      <c r="V26" s="626">
        <v>3201.66</v>
      </c>
      <c r="W26" s="626">
        <v>2817.4608</v>
      </c>
      <c r="X26" s="626">
        <v>3073.5936</v>
      </c>
      <c r="Y26" s="626">
        <v>2561.328</v>
      </c>
      <c r="Z26" s="626">
        <v>501.01123739999997</v>
      </c>
      <c r="AA26" s="626">
        <v>455.4647613</v>
      </c>
      <c r="AB26" s="626">
        <v>2446.1334311</v>
      </c>
      <c r="AC26" s="626">
        <v>2158.3530274</v>
      </c>
      <c r="AD26" s="626">
        <v>1891.456875</v>
      </c>
      <c r="AE26" s="626">
        <v>1669.437</v>
      </c>
      <c r="AF26" s="626">
        <v>1703.7258637999998</v>
      </c>
      <c r="AG26" s="626">
        <v>1203.0621649</v>
      </c>
      <c r="AH26" s="625">
        <v>1.1368586979903868</v>
      </c>
      <c r="AI26" s="625">
        <v>0.23737468637903128</v>
      </c>
      <c r="AJ26" s="625">
        <v>0.36784329990250847</v>
      </c>
      <c r="AK26" s="625">
        <v>1.2739316239316239</v>
      </c>
      <c r="AL26" s="625">
        <v>1.5</v>
      </c>
      <c r="AM26" s="625">
        <v>1.153846153846154</v>
      </c>
      <c r="AN26" s="625">
        <v>1.1363636363636362</v>
      </c>
      <c r="AO26" s="625">
        <v>1.1999999999999997</v>
      </c>
      <c r="AP26" s="625">
        <v>1.0999999999999999</v>
      </c>
      <c r="AQ26" s="625">
        <v>1.1333333333333338</v>
      </c>
      <c r="AR26" s="625">
        <v>1.1329908675799087</v>
      </c>
      <c r="AS26" s="625">
        <v>1.416157795931164</v>
      </c>
    </row>
    <row r="27">
      <c r="B27" s="623">
        <v>1257800</v>
      </c>
      <c r="C27" s="603" t="s">
        <v>79</v>
      </c>
      <c r="D27" s="0" t="s">
        <v>63</v>
      </c>
      <c r="E27" s="0" t="s">
        <v>68</v>
      </c>
      <c r="F27" s="625">
        <v>6.9126444741436366</v>
      </c>
      <c r="G27" s="625">
        <v>1.7229448620331154</v>
      </c>
      <c r="H27" s="624">
        <v>8.05480045746666</v>
      </c>
      <c r="I27" s="624">
        <v>19.9444690242979</v>
      </c>
      <c r="J27" s="626">
        <v>1635.14</v>
      </c>
      <c r="K27" s="626">
        <v>1438.2966000000001</v>
      </c>
      <c r="L27" s="626">
        <v>801.4266</v>
      </c>
      <c r="M27" s="626">
        <v>3376.2092000000002</v>
      </c>
      <c r="N27" s="626">
        <v>267.02806</v>
      </c>
      <c r="O27" s="626">
        <v>725.92883999999992</v>
      </c>
      <c r="P27" s="626">
        <v>495.79992</v>
      </c>
      <c r="Q27" s="626">
        <v>389.1888</v>
      </c>
      <c r="R27" s="626">
        <v>2245.32</v>
      </c>
      <c r="S27" s="626">
        <v>1496.88</v>
      </c>
      <c r="T27" s="626">
        <v>2619.54</v>
      </c>
      <c r="U27" s="626">
        <v>2270.268</v>
      </c>
      <c r="V27" s="626">
        <v>3492.72</v>
      </c>
      <c r="W27" s="626">
        <v>3073.5936</v>
      </c>
      <c r="X27" s="626">
        <v>3353.0112000000004</v>
      </c>
      <c r="Y27" s="626">
        <v>2794.176</v>
      </c>
      <c r="Z27" s="626">
        <v>546.5577135</v>
      </c>
      <c r="AA27" s="626">
        <v>496.8706487</v>
      </c>
      <c r="AB27" s="626">
        <v>2668.5091974999996</v>
      </c>
      <c r="AC27" s="626">
        <v>2354.566939</v>
      </c>
      <c r="AD27" s="626">
        <v>2063.4075</v>
      </c>
      <c r="AE27" s="626">
        <v>1821.204</v>
      </c>
      <c r="AF27" s="626">
        <v>1858.6100333</v>
      </c>
      <c r="AG27" s="626">
        <v>1312.4314526</v>
      </c>
      <c r="AH27" s="625">
        <v>1.1368586979903865</v>
      </c>
      <c r="AI27" s="625">
        <v>0.23737468637903122</v>
      </c>
      <c r="AJ27" s="625">
        <v>0.36784329990250847</v>
      </c>
      <c r="AK27" s="625">
        <v>1.2739316239316239</v>
      </c>
      <c r="AL27" s="625">
        <v>1.4999999999999998</v>
      </c>
      <c r="AM27" s="625">
        <v>1.1538461538461537</v>
      </c>
      <c r="AN27" s="625">
        <v>1.1363636363636362</v>
      </c>
      <c r="AO27" s="625">
        <v>1.1999999999999997</v>
      </c>
      <c r="AP27" s="625">
        <v>1.0999999999999999</v>
      </c>
      <c r="AQ27" s="625">
        <v>1.1333333333333338</v>
      </c>
      <c r="AR27" s="625">
        <v>1.1329908675799087</v>
      </c>
      <c r="AS27" s="625">
        <v>1.4161577959311642</v>
      </c>
    </row>
    <row r="28">
      <c r="B28" s="623">
        <v>1300000</v>
      </c>
      <c r="C28" s="603" t="s">
        <v>77</v>
      </c>
      <c r="D28" s="0" t="s">
        <v>63</v>
      </c>
      <c r="E28" s="0" t="s">
        <v>68</v>
      </c>
      <c r="F28" s="625">
        <v>5.4318197657947467</v>
      </c>
      <c r="G28" s="625">
        <v>1.368669468064305</v>
      </c>
      <c r="H28" s="624">
        <v>6.1154490777138486</v>
      </c>
      <c r="I28" s="624">
        <v>15.019031192914563</v>
      </c>
      <c r="J28" s="626">
        <v>1300</v>
      </c>
      <c r="K28" s="626">
        <v>1123.8741510999998</v>
      </c>
      <c r="L28" s="626">
        <v>631.61180110000009</v>
      </c>
      <c r="M28" s="626">
        <v>2666.6856833</v>
      </c>
      <c r="N28" s="626">
        <v>205.4062</v>
      </c>
      <c r="O28" s="626">
        <v>565.4588807</v>
      </c>
      <c r="P28" s="626">
        <v>431.2005942</v>
      </c>
      <c r="Q28" s="626">
        <v>338.8476177</v>
      </c>
      <c r="R28" s="626">
        <v>1919.0286918</v>
      </c>
      <c r="S28" s="626">
        <v>1316.4022502999999</v>
      </c>
      <c r="T28" s="626">
        <v>2282.7622069999998</v>
      </c>
      <c r="U28" s="626">
        <v>1980.2143869000001</v>
      </c>
      <c r="V28" s="626">
        <v>2926.4192932</v>
      </c>
      <c r="W28" s="626">
        <v>2584.52963</v>
      </c>
      <c r="X28" s="626">
        <v>2986.3804122</v>
      </c>
      <c r="Y28" s="626">
        <v>2498.5374017</v>
      </c>
      <c r="Z28" s="626">
        <v>475.71079840000004</v>
      </c>
      <c r="AA28" s="626">
        <v>431.1552471</v>
      </c>
      <c r="AB28" s="626">
        <v>2297.3447104</v>
      </c>
      <c r="AC28" s="626">
        <v>2025.6390851</v>
      </c>
      <c r="AD28" s="626">
        <v>1753.1693292</v>
      </c>
      <c r="AE28" s="626">
        <v>1542.8113767</v>
      </c>
      <c r="AF28" s="626">
        <v>1710.0836097</v>
      </c>
      <c r="AG28" s="626">
        <v>1210.6817481</v>
      </c>
      <c r="AH28" s="625">
        <v>1.1567131415272258</v>
      </c>
      <c r="AI28" s="625">
        <v>0.23685273637364315</v>
      </c>
      <c r="AJ28" s="625">
        <v>0.36325576804890486</v>
      </c>
      <c r="AK28" s="625">
        <v>1.272550171970622</v>
      </c>
      <c r="AL28" s="625">
        <v>1.4577829014313086</v>
      </c>
      <c r="AM28" s="625">
        <v>1.1527853862920181</v>
      </c>
      <c r="AN28" s="625">
        <v>1.1322831277350043</v>
      </c>
      <c r="AO28" s="625">
        <v>1.1952514339469207</v>
      </c>
      <c r="AP28" s="625">
        <v>1.1033399260096626</v>
      </c>
      <c r="AQ28" s="625">
        <v>1.1341332852603931</v>
      </c>
      <c r="AR28" s="625">
        <v>1.1363471619147387</v>
      </c>
      <c r="AS28" s="625">
        <v>1.4124963991783763</v>
      </c>
    </row>
    <row r="29">
      <c r="B29" s="623">
        <v>1300000</v>
      </c>
      <c r="C29" s="603" t="s">
        <v>78</v>
      </c>
      <c r="D29" s="0" t="s">
        <v>63</v>
      </c>
      <c r="E29" s="0" t="s">
        <v>68</v>
      </c>
      <c r="F29" s="625">
        <v>6.2465927306639575</v>
      </c>
      <c r="G29" s="625">
        <v>1.5739698882739506</v>
      </c>
      <c r="H29" s="624">
        <v>7.0327664393709259</v>
      </c>
      <c r="I29" s="624">
        <v>17.271885871851747</v>
      </c>
      <c r="J29" s="626">
        <v>1560</v>
      </c>
      <c r="K29" s="626">
        <v>1348.6489813</v>
      </c>
      <c r="L29" s="626">
        <v>757.9341614</v>
      </c>
      <c r="M29" s="626">
        <v>3200.0228199999997</v>
      </c>
      <c r="N29" s="626">
        <v>246.48744</v>
      </c>
      <c r="O29" s="626">
        <v>678.5506568</v>
      </c>
      <c r="P29" s="626">
        <v>474.32065370000004</v>
      </c>
      <c r="Q29" s="626">
        <v>372.7323795</v>
      </c>
      <c r="R29" s="626">
        <v>2110.9315610000003</v>
      </c>
      <c r="S29" s="626">
        <v>1448.0424753</v>
      </c>
      <c r="T29" s="626">
        <v>2511.0384277</v>
      </c>
      <c r="U29" s="626">
        <v>2178.2358256</v>
      </c>
      <c r="V29" s="626">
        <v>3219.0612225</v>
      </c>
      <c r="W29" s="626">
        <v>2842.9825929999997</v>
      </c>
      <c r="X29" s="626">
        <v>3285.0184534</v>
      </c>
      <c r="Y29" s="626">
        <v>2748.3911419</v>
      </c>
      <c r="Z29" s="626">
        <v>523.28187819999994</v>
      </c>
      <c r="AA29" s="626">
        <v>474.2707718</v>
      </c>
      <c r="AB29" s="626">
        <v>2527.0791814</v>
      </c>
      <c r="AC29" s="626">
        <v>2228.2029936000004</v>
      </c>
      <c r="AD29" s="626">
        <v>1928.4862622</v>
      </c>
      <c r="AE29" s="626">
        <v>1697.0925143</v>
      </c>
      <c r="AF29" s="626">
        <v>1881.0919707</v>
      </c>
      <c r="AG29" s="626">
        <v>1331.7499229</v>
      </c>
      <c r="AH29" s="625">
        <v>1.156713141527226</v>
      </c>
      <c r="AI29" s="625">
        <v>0.23685273637364315</v>
      </c>
      <c r="AJ29" s="625">
        <v>0.3632557680489048</v>
      </c>
      <c r="AK29" s="625">
        <v>1.272550171970622</v>
      </c>
      <c r="AL29" s="625">
        <v>1.4577829014313084</v>
      </c>
      <c r="AM29" s="625">
        <v>1.1527853862920179</v>
      </c>
      <c r="AN29" s="625">
        <v>1.1322831277350043</v>
      </c>
      <c r="AO29" s="625">
        <v>1.1952514339469209</v>
      </c>
      <c r="AP29" s="625">
        <v>1.1033399260096626</v>
      </c>
      <c r="AQ29" s="625">
        <v>1.1341332852603931</v>
      </c>
      <c r="AR29" s="625">
        <v>1.1363471619147387</v>
      </c>
      <c r="AS29" s="625">
        <v>1.4124963991783763</v>
      </c>
    </row>
    <row r="30">
      <c r="B30" s="623">
        <v>1300000</v>
      </c>
      <c r="C30" s="603" t="s">
        <v>79</v>
      </c>
      <c r="D30" s="0" t="s">
        <v>63</v>
      </c>
      <c r="E30" s="0" t="s">
        <v>68</v>
      </c>
      <c r="F30" s="625">
        <v>7.06136569553317</v>
      </c>
      <c r="G30" s="625">
        <v>1.7792703084835964</v>
      </c>
      <c r="H30" s="624">
        <v>7.9500838010280033</v>
      </c>
      <c r="I30" s="624">
        <v>19.52474055078893</v>
      </c>
      <c r="J30" s="626">
        <v>1690</v>
      </c>
      <c r="K30" s="626">
        <v>1461.0363964</v>
      </c>
      <c r="L30" s="626">
        <v>821.0953415</v>
      </c>
      <c r="M30" s="626">
        <v>3466.6913883</v>
      </c>
      <c r="N30" s="626">
        <v>267.02806</v>
      </c>
      <c r="O30" s="626">
        <v>735.0965449</v>
      </c>
      <c r="P30" s="626">
        <v>517.4407131</v>
      </c>
      <c r="Q30" s="626">
        <v>406.6171413</v>
      </c>
      <c r="R30" s="626">
        <v>2302.8344302</v>
      </c>
      <c r="S30" s="626">
        <v>1579.6827002999999</v>
      </c>
      <c r="T30" s="626">
        <v>2739.3146484</v>
      </c>
      <c r="U30" s="626">
        <v>2376.2572643</v>
      </c>
      <c r="V30" s="626">
        <v>3511.7031518</v>
      </c>
      <c r="W30" s="626">
        <v>3101.435556</v>
      </c>
      <c r="X30" s="626">
        <v>3583.6564946</v>
      </c>
      <c r="Y30" s="626">
        <v>2998.2448821000003</v>
      </c>
      <c r="Z30" s="626">
        <v>570.8529581</v>
      </c>
      <c r="AA30" s="626">
        <v>517.3862965</v>
      </c>
      <c r="AB30" s="626">
        <v>2756.8136524</v>
      </c>
      <c r="AC30" s="626">
        <v>2430.7669021</v>
      </c>
      <c r="AD30" s="626">
        <v>2103.8031951000003</v>
      </c>
      <c r="AE30" s="626">
        <v>1851.373652</v>
      </c>
      <c r="AF30" s="626">
        <v>2052.1003316</v>
      </c>
      <c r="AG30" s="626">
        <v>1452.8180977</v>
      </c>
      <c r="AH30" s="625">
        <v>1.1567131415272258</v>
      </c>
      <c r="AI30" s="625">
        <v>0.23685273637364313</v>
      </c>
      <c r="AJ30" s="625">
        <v>0.36325576804890486</v>
      </c>
      <c r="AK30" s="625">
        <v>1.2725501719706218</v>
      </c>
      <c r="AL30" s="625">
        <v>1.4577829014313084</v>
      </c>
      <c r="AM30" s="625">
        <v>1.1527853862920181</v>
      </c>
      <c r="AN30" s="625">
        <v>1.1322831277350045</v>
      </c>
      <c r="AO30" s="625">
        <v>1.1952514339469209</v>
      </c>
      <c r="AP30" s="625">
        <v>1.1033399260096626</v>
      </c>
      <c r="AQ30" s="625">
        <v>1.1341332852603931</v>
      </c>
      <c r="AR30" s="625">
        <v>1.1363471619147385</v>
      </c>
      <c r="AS30" s="625">
        <v>1.4124963991783766</v>
      </c>
    </row>
    <row r="31">
      <c r="B31" s="623">
        <v>1428221</v>
      </c>
      <c r="C31" s="603" t="s">
        <v>77</v>
      </c>
      <c r="D31" s="0" t="s">
        <v>63</v>
      </c>
      <c r="E31" s="0" t="s">
        <v>68</v>
      </c>
      <c r="F31" s="625">
        <v>5.7498521342443807</v>
      </c>
      <c r="G31" s="625">
        <v>1.5003155684895173</v>
      </c>
      <c r="H31" s="624">
        <v>5.9055423411361563</v>
      </c>
      <c r="I31" s="624">
        <v>14.186217584950429</v>
      </c>
      <c r="J31" s="626">
        <v>1428.221</v>
      </c>
      <c r="K31" s="626">
        <v>1177.0225185</v>
      </c>
      <c r="L31" s="626">
        <v>677.5823754</v>
      </c>
      <c r="M31" s="626">
        <v>2878.1642956</v>
      </c>
      <c r="N31" s="626">
        <v>205.4062</v>
      </c>
      <c r="O31" s="626">
        <v>586.8860095</v>
      </c>
      <c r="P31" s="626">
        <v>485.99530450000003</v>
      </c>
      <c r="Q31" s="626">
        <v>382.97635690000004</v>
      </c>
      <c r="R31" s="626">
        <v>2064.6558198</v>
      </c>
      <c r="S31" s="626">
        <v>1526.0595378</v>
      </c>
      <c r="T31" s="626">
        <v>2586.0328465999996</v>
      </c>
      <c r="U31" s="626">
        <v>2248.5802925999997</v>
      </c>
      <c r="V31" s="626">
        <v>2974.4848285</v>
      </c>
      <c r="W31" s="626">
        <v>2655.0257485</v>
      </c>
      <c r="X31" s="626">
        <v>3570.3766666</v>
      </c>
      <c r="Y31" s="626">
        <v>3015.2419065999998</v>
      </c>
      <c r="Z31" s="626">
        <v>537.2266071</v>
      </c>
      <c r="AA31" s="626">
        <v>483.101078</v>
      </c>
      <c r="AB31" s="626">
        <v>2520.932497</v>
      </c>
      <c r="AC31" s="626">
        <v>2218.5781743000002</v>
      </c>
      <c r="AD31" s="626">
        <v>1855.451644</v>
      </c>
      <c r="AE31" s="626">
        <v>1619.2012453</v>
      </c>
      <c r="AF31" s="626">
        <v>2200.003032</v>
      </c>
      <c r="AG31" s="626">
        <v>1566.1421748999999</v>
      </c>
      <c r="AH31" s="625">
        <v>1.2134185858785853</v>
      </c>
      <c r="AI31" s="625">
        <v>0.23542171529655226</v>
      </c>
      <c r="AJ31" s="625">
        <v>0.34999334909219965</v>
      </c>
      <c r="AK31" s="625">
        <v>1.2689955811086264</v>
      </c>
      <c r="AL31" s="625">
        <v>1.3529326796726353</v>
      </c>
      <c r="AM31" s="625">
        <v>1.1500736065146382</v>
      </c>
      <c r="AN31" s="625">
        <v>1.1203224037287429</v>
      </c>
      <c r="AO31" s="625">
        <v>1.1841095265729047</v>
      </c>
      <c r="AP31" s="625">
        <v>1.1120376905098832</v>
      </c>
      <c r="AQ31" s="625">
        <v>1.1362829248757911</v>
      </c>
      <c r="AR31" s="625">
        <v>1.1459055193912668</v>
      </c>
      <c r="AS31" s="625">
        <v>1.4047275319460559</v>
      </c>
    </row>
    <row r="32">
      <c r="B32" s="623">
        <v>1428221</v>
      </c>
      <c r="C32" s="603" t="s">
        <v>78</v>
      </c>
      <c r="D32" s="0" t="s">
        <v>63</v>
      </c>
      <c r="E32" s="0" t="s">
        <v>68</v>
      </c>
      <c r="F32" s="625">
        <v>6.6123299543810372</v>
      </c>
      <c r="G32" s="625">
        <v>1.7253629037629445</v>
      </c>
      <c r="H32" s="624">
        <v>6.7913736923065793</v>
      </c>
      <c r="I32" s="624">
        <v>16.314150222692991</v>
      </c>
      <c r="J32" s="626">
        <v>1713.8652</v>
      </c>
      <c r="K32" s="626">
        <v>1412.4270223</v>
      </c>
      <c r="L32" s="626">
        <v>813.0988504</v>
      </c>
      <c r="M32" s="626">
        <v>3453.7971546999997</v>
      </c>
      <c r="N32" s="626">
        <v>246.48744</v>
      </c>
      <c r="O32" s="626">
        <v>704.2632114</v>
      </c>
      <c r="P32" s="626">
        <v>534.594835</v>
      </c>
      <c r="Q32" s="626">
        <v>421.2739925</v>
      </c>
      <c r="R32" s="626">
        <v>2271.1214016999998</v>
      </c>
      <c r="S32" s="626">
        <v>1678.6654915</v>
      </c>
      <c r="T32" s="626">
        <v>2844.6361313</v>
      </c>
      <c r="U32" s="626">
        <v>2473.4383218999997</v>
      </c>
      <c r="V32" s="626">
        <v>3271.9333114</v>
      </c>
      <c r="W32" s="626">
        <v>2920.5283234000003</v>
      </c>
      <c r="X32" s="626">
        <v>3927.4143332000003</v>
      </c>
      <c r="Y32" s="626">
        <v>3316.7660973</v>
      </c>
      <c r="Z32" s="626">
        <v>590.9492678</v>
      </c>
      <c r="AA32" s="626">
        <v>531.4111858</v>
      </c>
      <c r="AB32" s="626">
        <v>2773.0257467</v>
      </c>
      <c r="AC32" s="626">
        <v>2440.4359917</v>
      </c>
      <c r="AD32" s="626">
        <v>2040.9968084</v>
      </c>
      <c r="AE32" s="626">
        <v>1781.1213699</v>
      </c>
      <c r="AF32" s="626">
        <v>2420.0033352</v>
      </c>
      <c r="AG32" s="626">
        <v>1722.7563924</v>
      </c>
      <c r="AH32" s="625">
        <v>1.2134185858785853</v>
      </c>
      <c r="AI32" s="625">
        <v>0.23542171529655223</v>
      </c>
      <c r="AJ32" s="625">
        <v>0.34999334909219959</v>
      </c>
      <c r="AK32" s="625">
        <v>1.2689955811086264</v>
      </c>
      <c r="AL32" s="625">
        <v>1.3529326796726353</v>
      </c>
      <c r="AM32" s="625">
        <v>1.150073606514638</v>
      </c>
      <c r="AN32" s="625">
        <v>1.1203224037287429</v>
      </c>
      <c r="AO32" s="625">
        <v>1.1841095265729045</v>
      </c>
      <c r="AP32" s="625">
        <v>1.1120376905098832</v>
      </c>
      <c r="AQ32" s="625">
        <v>1.1362829248757911</v>
      </c>
      <c r="AR32" s="625">
        <v>1.1459055193912671</v>
      </c>
      <c r="AS32" s="625">
        <v>1.4047275319460559</v>
      </c>
    </row>
    <row r="33">
      <c r="B33" s="623">
        <v>1428221</v>
      </c>
      <c r="C33" s="603" t="s">
        <v>79</v>
      </c>
      <c r="D33" s="0" t="s">
        <v>63</v>
      </c>
      <c r="E33" s="0" t="s">
        <v>68</v>
      </c>
      <c r="F33" s="625">
        <v>7.4748077745176946</v>
      </c>
      <c r="G33" s="625">
        <v>1.9504102390363722</v>
      </c>
      <c r="H33" s="624">
        <v>7.6772050434770032</v>
      </c>
      <c r="I33" s="624">
        <v>18.442082860435555</v>
      </c>
      <c r="J33" s="626">
        <v>1856.6873</v>
      </c>
      <c r="K33" s="626">
        <v>1530.1292741</v>
      </c>
      <c r="L33" s="626">
        <v>880.857088</v>
      </c>
      <c r="M33" s="626">
        <v>3741.6135843</v>
      </c>
      <c r="N33" s="626">
        <v>267.02806</v>
      </c>
      <c r="O33" s="626">
        <v>762.9518123</v>
      </c>
      <c r="P33" s="626">
        <v>583.1943654</v>
      </c>
      <c r="Q33" s="626">
        <v>459.57162819999996</v>
      </c>
      <c r="R33" s="626">
        <v>2477.5869837</v>
      </c>
      <c r="S33" s="626">
        <v>1831.2714453</v>
      </c>
      <c r="T33" s="626">
        <v>3103.2394160000003</v>
      </c>
      <c r="U33" s="626">
        <v>2698.2963511000003</v>
      </c>
      <c r="V33" s="626">
        <v>3569.3817942</v>
      </c>
      <c r="W33" s="626">
        <v>3186.0308982</v>
      </c>
      <c r="X33" s="626">
        <v>4284.4519999</v>
      </c>
      <c r="Y33" s="626">
        <v>3618.290288</v>
      </c>
      <c r="Z33" s="626">
        <v>644.6719285</v>
      </c>
      <c r="AA33" s="626">
        <v>579.7212936</v>
      </c>
      <c r="AB33" s="626">
        <v>3025.1189964</v>
      </c>
      <c r="AC33" s="626">
        <v>2662.2938092</v>
      </c>
      <c r="AD33" s="626">
        <v>2226.5419728</v>
      </c>
      <c r="AE33" s="626">
        <v>1943.0414944</v>
      </c>
      <c r="AF33" s="626">
        <v>2640.0036384</v>
      </c>
      <c r="AG33" s="626">
        <v>1879.3706098</v>
      </c>
      <c r="AH33" s="625">
        <v>1.2134185858785853</v>
      </c>
      <c r="AI33" s="625">
        <v>0.23542171529655226</v>
      </c>
      <c r="AJ33" s="625">
        <v>0.34999334909219965</v>
      </c>
      <c r="AK33" s="625">
        <v>1.2689955811086264</v>
      </c>
      <c r="AL33" s="625">
        <v>1.3529326796726353</v>
      </c>
      <c r="AM33" s="625">
        <v>1.1500736065146382</v>
      </c>
      <c r="AN33" s="625">
        <v>1.1203224037287429</v>
      </c>
      <c r="AO33" s="625">
        <v>1.1841095265729047</v>
      </c>
      <c r="AP33" s="625">
        <v>1.1120376905098832</v>
      </c>
      <c r="AQ33" s="625">
        <v>1.1362829248757913</v>
      </c>
      <c r="AR33" s="625">
        <v>1.1459055193912671</v>
      </c>
      <c r="AS33" s="625">
        <v>1.4047275319460559</v>
      </c>
    </row>
    <row r="34">
      <c r="B34" s="623">
        <v>1500000</v>
      </c>
      <c r="C34" s="603" t="s">
        <v>77</v>
      </c>
      <c r="D34" s="0" t="s">
        <v>63</v>
      </c>
      <c r="E34" s="0" t="s">
        <v>68</v>
      </c>
      <c r="F34" s="625">
        <v>5.9107322971541816</v>
      </c>
      <c r="G34" s="625">
        <v>1.5740119633267227</v>
      </c>
      <c r="H34" s="624">
        <v>5.8065557994382342</v>
      </c>
      <c r="I34" s="624">
        <v>13.797709627164897</v>
      </c>
      <c r="J34" s="626">
        <v>1500</v>
      </c>
      <c r="K34" s="626">
        <v>1206.7753411</v>
      </c>
      <c r="L34" s="626">
        <v>703.3170198</v>
      </c>
      <c r="M34" s="626">
        <v>2996.5514811</v>
      </c>
      <c r="N34" s="626">
        <v>205.4062</v>
      </c>
      <c r="O34" s="626">
        <v>598.881064</v>
      </c>
      <c r="P34" s="626">
        <v>516.6697612</v>
      </c>
      <c r="Q34" s="626">
        <v>407.6799293</v>
      </c>
      <c r="R34" s="626">
        <v>2146.1788902</v>
      </c>
      <c r="S34" s="626">
        <v>1643.4271331</v>
      </c>
      <c r="T34" s="626">
        <v>2755.805842</v>
      </c>
      <c r="U34" s="626">
        <v>2398.8133772</v>
      </c>
      <c r="V34" s="626">
        <v>3001.3922467</v>
      </c>
      <c r="W34" s="626">
        <v>2694.4899618</v>
      </c>
      <c r="X34" s="626">
        <v>3897.3017969999996</v>
      </c>
      <c r="Y34" s="626">
        <v>3304.4966516</v>
      </c>
      <c r="Z34" s="626">
        <v>571.663581</v>
      </c>
      <c r="AA34" s="626">
        <v>512.18071240000006</v>
      </c>
      <c r="AB34" s="626">
        <v>2646.0984818</v>
      </c>
      <c r="AC34" s="626">
        <v>2326.5868069000003</v>
      </c>
      <c r="AD34" s="626">
        <v>1912.7099891999999</v>
      </c>
      <c r="AE34" s="626">
        <v>1661.9648206</v>
      </c>
      <c r="AF34" s="626">
        <v>2474.2633029999997</v>
      </c>
      <c r="AG34" s="626">
        <v>1765.131373</v>
      </c>
      <c r="AH34" s="625">
        <v>1.2429819775523276</v>
      </c>
      <c r="AI34" s="625">
        <v>0.23470880586492648</v>
      </c>
      <c r="AJ34" s="625">
        <v>0.34298329393982224</v>
      </c>
      <c r="AK34" s="625">
        <v>1.2673416669323021</v>
      </c>
      <c r="AL34" s="625">
        <v>1.3059166707217675</v>
      </c>
      <c r="AM34" s="625">
        <v>1.1488204410694556</v>
      </c>
      <c r="AN34" s="625">
        <v>1.1138999548129411</v>
      </c>
      <c r="AO34" s="625">
        <v>1.1793934773804702</v>
      </c>
      <c r="AP34" s="625">
        <v>1.1161364868939359</v>
      </c>
      <c r="AQ34" s="625">
        <v>1.1373306484315164</v>
      </c>
      <c r="AR34" s="625">
        <v>1.1508727293642391</v>
      </c>
      <c r="AS34" s="625">
        <v>1.4017445618159139</v>
      </c>
    </row>
    <row r="35">
      <c r="B35" s="623">
        <v>1500000</v>
      </c>
      <c r="C35" s="603" t="s">
        <v>78</v>
      </c>
      <c r="D35" s="0" t="s">
        <v>63</v>
      </c>
      <c r="E35" s="0" t="s">
        <v>68</v>
      </c>
      <c r="F35" s="625">
        <v>6.7973421417273086</v>
      </c>
      <c r="G35" s="625">
        <v>1.8101137578257307</v>
      </c>
      <c r="H35" s="624">
        <v>6.6775391693539685</v>
      </c>
      <c r="I35" s="624">
        <v>15.86736607123963</v>
      </c>
      <c r="J35" s="626">
        <v>1800</v>
      </c>
      <c r="K35" s="626">
        <v>1448.1304094</v>
      </c>
      <c r="L35" s="626">
        <v>843.9804238</v>
      </c>
      <c r="M35" s="626">
        <v>3595.8617773</v>
      </c>
      <c r="N35" s="626">
        <v>246.48744</v>
      </c>
      <c r="O35" s="626">
        <v>718.6572768</v>
      </c>
      <c r="P35" s="626">
        <v>568.3367373</v>
      </c>
      <c r="Q35" s="626">
        <v>448.44792229999996</v>
      </c>
      <c r="R35" s="626">
        <v>2360.7967792000004</v>
      </c>
      <c r="S35" s="626">
        <v>1807.7698464</v>
      </c>
      <c r="T35" s="626">
        <v>3031.3864263</v>
      </c>
      <c r="U35" s="626">
        <v>2638.6947149000002</v>
      </c>
      <c r="V35" s="626">
        <v>3301.5314713</v>
      </c>
      <c r="W35" s="626">
        <v>2963.938958</v>
      </c>
      <c r="X35" s="626">
        <v>4287.0319767</v>
      </c>
      <c r="Y35" s="626">
        <v>3634.9463168</v>
      </c>
      <c r="Z35" s="626">
        <v>628.82993909999993</v>
      </c>
      <c r="AA35" s="626">
        <v>563.39878370000008</v>
      </c>
      <c r="AB35" s="626">
        <v>2910.7083298999996</v>
      </c>
      <c r="AC35" s="626">
        <v>2559.2454876</v>
      </c>
      <c r="AD35" s="626">
        <v>2103.9809881</v>
      </c>
      <c r="AE35" s="626">
        <v>1828.1613026999999</v>
      </c>
      <c r="AF35" s="626">
        <v>2721.6896333</v>
      </c>
      <c r="AG35" s="626">
        <v>1941.6445102999999</v>
      </c>
      <c r="AH35" s="625">
        <v>1.2429819775523276</v>
      </c>
      <c r="AI35" s="625">
        <v>0.23470880586492646</v>
      </c>
      <c r="AJ35" s="625">
        <v>0.34298329393982224</v>
      </c>
      <c r="AK35" s="625">
        <v>1.2673416669323021</v>
      </c>
      <c r="AL35" s="625">
        <v>1.3059166707217673</v>
      </c>
      <c r="AM35" s="625">
        <v>1.1488204410694556</v>
      </c>
      <c r="AN35" s="625">
        <v>1.1138999548129411</v>
      </c>
      <c r="AO35" s="625">
        <v>1.1793934773804702</v>
      </c>
      <c r="AP35" s="625">
        <v>1.1161364868939359</v>
      </c>
      <c r="AQ35" s="625">
        <v>1.1373306484315164</v>
      </c>
      <c r="AR35" s="625">
        <v>1.1508727293642389</v>
      </c>
      <c r="AS35" s="625">
        <v>1.4017445618159139</v>
      </c>
    </row>
    <row r="36">
      <c r="B36" s="623">
        <v>1500000</v>
      </c>
      <c r="C36" s="603" t="s">
        <v>79</v>
      </c>
      <c r="D36" s="0" t="s">
        <v>63</v>
      </c>
      <c r="E36" s="0" t="s">
        <v>68</v>
      </c>
      <c r="F36" s="625">
        <v>7.6839519863004364</v>
      </c>
      <c r="G36" s="625">
        <v>2.0462155523247394</v>
      </c>
      <c r="H36" s="624">
        <v>7.5485225392697037</v>
      </c>
      <c r="I36" s="624">
        <v>17.937022515314364</v>
      </c>
      <c r="J36" s="626">
        <v>1950</v>
      </c>
      <c r="K36" s="626">
        <v>1568.8079435</v>
      </c>
      <c r="L36" s="626">
        <v>914.3121258</v>
      </c>
      <c r="M36" s="626">
        <v>3895.5169254</v>
      </c>
      <c r="N36" s="626">
        <v>267.02806</v>
      </c>
      <c r="O36" s="626">
        <v>778.54538320000006</v>
      </c>
      <c r="P36" s="626">
        <v>620.0037134</v>
      </c>
      <c r="Q36" s="626">
        <v>489.2159152</v>
      </c>
      <c r="R36" s="626">
        <v>2575.4146682</v>
      </c>
      <c r="S36" s="626">
        <v>1972.1125597</v>
      </c>
      <c r="T36" s="626">
        <v>3306.9670105</v>
      </c>
      <c r="U36" s="626">
        <v>2878.5760526999998</v>
      </c>
      <c r="V36" s="626">
        <v>3601.670696</v>
      </c>
      <c r="W36" s="626">
        <v>3233.3879541</v>
      </c>
      <c r="X36" s="626">
        <v>4676.7621564</v>
      </c>
      <c r="Y36" s="626">
        <v>3965.395982</v>
      </c>
      <c r="Z36" s="626">
        <v>685.99629720000007</v>
      </c>
      <c r="AA36" s="626">
        <v>614.6168549</v>
      </c>
      <c r="AB36" s="626">
        <v>3175.3181781000003</v>
      </c>
      <c r="AC36" s="626">
        <v>2791.9041683</v>
      </c>
      <c r="AD36" s="626">
        <v>2295.251987</v>
      </c>
      <c r="AE36" s="626">
        <v>1994.3577847</v>
      </c>
      <c r="AF36" s="626">
        <v>2969.1159635999998</v>
      </c>
      <c r="AG36" s="626">
        <v>2118.1576476</v>
      </c>
      <c r="AH36" s="625">
        <v>1.2429819775523274</v>
      </c>
      <c r="AI36" s="625">
        <v>0.23470880586492648</v>
      </c>
      <c r="AJ36" s="625">
        <v>0.34298329393982219</v>
      </c>
      <c r="AK36" s="625">
        <v>1.2673416669323021</v>
      </c>
      <c r="AL36" s="625">
        <v>1.3059166707217675</v>
      </c>
      <c r="AM36" s="625">
        <v>1.1488204410694556</v>
      </c>
      <c r="AN36" s="625">
        <v>1.1138999548129411</v>
      </c>
      <c r="AO36" s="625">
        <v>1.1793934773804702</v>
      </c>
      <c r="AP36" s="625">
        <v>1.1161364868939356</v>
      </c>
      <c r="AQ36" s="625">
        <v>1.1373306484315164</v>
      </c>
      <c r="AR36" s="625">
        <v>1.1508727293642389</v>
      </c>
      <c r="AS36" s="625">
        <v>1.4017445618159139</v>
      </c>
    </row>
    <row r="37">
      <c r="B37" s="623">
        <v>1800000</v>
      </c>
      <c r="C37" s="603" t="s">
        <v>77</v>
      </c>
      <c r="D37" s="0" t="s">
        <v>63</v>
      </c>
      <c r="E37" s="0" t="s">
        <v>68</v>
      </c>
      <c r="F37" s="625">
        <v>6.4778933942514936</v>
      </c>
      <c r="G37" s="625">
        <v>1.8820257062203487</v>
      </c>
      <c r="H37" s="624">
        <v>5.4908771033926884</v>
      </c>
      <c r="I37" s="624">
        <v>12.576415574811009</v>
      </c>
      <c r="J37" s="626">
        <v>1800</v>
      </c>
      <c r="K37" s="626">
        <v>1331.1271262</v>
      </c>
      <c r="L37" s="626">
        <v>810.87484790000008</v>
      </c>
      <c r="M37" s="626">
        <v>3491.3501776999997</v>
      </c>
      <c r="N37" s="626">
        <v>205.4062</v>
      </c>
      <c r="O37" s="626">
        <v>649.0143389</v>
      </c>
      <c r="P37" s="626">
        <v>644.87351159999992</v>
      </c>
      <c r="Q37" s="626">
        <v>510.9283967</v>
      </c>
      <c r="R37" s="626">
        <v>2486.9041877</v>
      </c>
      <c r="S37" s="626">
        <v>2133.9644573</v>
      </c>
      <c r="T37" s="626">
        <v>3465.3712946</v>
      </c>
      <c r="U37" s="626">
        <v>3026.7118626</v>
      </c>
      <c r="V37" s="626">
        <v>3113.8516769</v>
      </c>
      <c r="W37" s="626">
        <v>2859.4304594</v>
      </c>
      <c r="X37" s="626">
        <v>5263.6838740999992</v>
      </c>
      <c r="Y37" s="626">
        <v>4513.4355264999995</v>
      </c>
      <c r="Z37" s="626">
        <v>715.5927549</v>
      </c>
      <c r="AA37" s="626">
        <v>633.7189104</v>
      </c>
      <c r="AB37" s="626">
        <v>3169.2291388</v>
      </c>
      <c r="AC37" s="626">
        <v>2778.0083896</v>
      </c>
      <c r="AD37" s="626">
        <v>2152.0209791</v>
      </c>
      <c r="AE37" s="626">
        <v>1840.6949865000001</v>
      </c>
      <c r="AF37" s="626">
        <v>3620.532843</v>
      </c>
      <c r="AG37" s="626">
        <v>2596.8058105</v>
      </c>
      <c r="AH37" s="625">
        <v>1.3522374869749581</v>
      </c>
      <c r="AI37" s="625">
        <v>0.23225251166525782</v>
      </c>
      <c r="AJ37" s="625">
        <v>0.31648946360941621</v>
      </c>
      <c r="AK37" s="625">
        <v>1.2621602475718943</v>
      </c>
      <c r="AL37" s="625">
        <v>1.165391569308726</v>
      </c>
      <c r="AM37" s="625">
        <v>1.1449293662349909</v>
      </c>
      <c r="AN37" s="625">
        <v>1.0889761863643004</v>
      </c>
      <c r="AO37" s="625">
        <v>1.1662255599381071</v>
      </c>
      <c r="AP37" s="625">
        <v>1.12919583610739</v>
      </c>
      <c r="AQ37" s="625">
        <v>1.1408277781555873</v>
      </c>
      <c r="AR37" s="625">
        <v>1.1691350250283406</v>
      </c>
      <c r="AS37" s="625">
        <v>1.3942254859571224</v>
      </c>
    </row>
    <row r="38">
      <c r="B38" s="623">
        <v>1800000</v>
      </c>
      <c r="C38" s="603" t="s">
        <v>78</v>
      </c>
      <c r="D38" s="0" t="s">
        <v>63</v>
      </c>
      <c r="E38" s="0" t="s">
        <v>68</v>
      </c>
      <c r="F38" s="625">
        <v>7.4495774033892168</v>
      </c>
      <c r="G38" s="625">
        <v>2.1643295621534007</v>
      </c>
      <c r="H38" s="624">
        <v>6.314508668901591</v>
      </c>
      <c r="I38" s="624">
        <v>14.462877911032658</v>
      </c>
      <c r="J38" s="626">
        <v>2160</v>
      </c>
      <c r="K38" s="626">
        <v>1597.3525515000001</v>
      </c>
      <c r="L38" s="626">
        <v>973.0498174</v>
      </c>
      <c r="M38" s="626">
        <v>4189.6202132</v>
      </c>
      <c r="N38" s="626">
        <v>246.48744</v>
      </c>
      <c r="O38" s="626">
        <v>778.81720669999993</v>
      </c>
      <c r="P38" s="626">
        <v>709.3608628</v>
      </c>
      <c r="Q38" s="626">
        <v>562.0212364</v>
      </c>
      <c r="R38" s="626">
        <v>2735.5946065000003</v>
      </c>
      <c r="S38" s="626">
        <v>2347.360903</v>
      </c>
      <c r="T38" s="626">
        <v>3811.9084241</v>
      </c>
      <c r="U38" s="626">
        <v>3329.3830488999997</v>
      </c>
      <c r="V38" s="626">
        <v>3425.2368446</v>
      </c>
      <c r="W38" s="626">
        <v>3145.3735054000003</v>
      </c>
      <c r="X38" s="626">
        <v>5790.0522616</v>
      </c>
      <c r="Y38" s="626">
        <v>4964.7790792</v>
      </c>
      <c r="Z38" s="626">
        <v>787.15203040000006</v>
      </c>
      <c r="AA38" s="626">
        <v>697.0908015</v>
      </c>
      <c r="AB38" s="626">
        <v>3486.1520527</v>
      </c>
      <c r="AC38" s="626">
        <v>3055.8092286</v>
      </c>
      <c r="AD38" s="626">
        <v>2367.223077</v>
      </c>
      <c r="AE38" s="626">
        <v>2024.7644851</v>
      </c>
      <c r="AF38" s="626">
        <v>3982.5861273</v>
      </c>
      <c r="AG38" s="626">
        <v>2856.4863915</v>
      </c>
      <c r="AH38" s="625">
        <v>1.3522374869749581</v>
      </c>
      <c r="AI38" s="625">
        <v>0.23225251166525782</v>
      </c>
      <c r="AJ38" s="625">
        <v>0.31648946360941621</v>
      </c>
      <c r="AK38" s="625">
        <v>1.2621602475718945</v>
      </c>
      <c r="AL38" s="625">
        <v>1.165391569308726</v>
      </c>
      <c r="AM38" s="625">
        <v>1.1449293662349906</v>
      </c>
      <c r="AN38" s="625">
        <v>1.0889761863643006</v>
      </c>
      <c r="AO38" s="625">
        <v>1.1662255599381071</v>
      </c>
      <c r="AP38" s="625">
        <v>1.12919583610739</v>
      </c>
      <c r="AQ38" s="625">
        <v>1.1408277781555873</v>
      </c>
      <c r="AR38" s="625">
        <v>1.1691350250283406</v>
      </c>
      <c r="AS38" s="625">
        <v>1.3942254859571224</v>
      </c>
    </row>
    <row r="39">
      <c r="B39" s="623">
        <v>1800000</v>
      </c>
      <c r="C39" s="603" t="s">
        <v>79</v>
      </c>
      <c r="D39" s="0" t="s">
        <v>63</v>
      </c>
      <c r="E39" s="0" t="s">
        <v>68</v>
      </c>
      <c r="F39" s="625">
        <v>8.4212614125269418</v>
      </c>
      <c r="G39" s="625">
        <v>2.4466334180864533</v>
      </c>
      <c r="H39" s="624">
        <v>7.1381402344104954</v>
      </c>
      <c r="I39" s="624">
        <v>16.349340247254311</v>
      </c>
      <c r="J39" s="626">
        <v>2340</v>
      </c>
      <c r="K39" s="626">
        <v>1730.4652641</v>
      </c>
      <c r="L39" s="626">
        <v>1054.1373022</v>
      </c>
      <c r="M39" s="626">
        <v>4538.755231</v>
      </c>
      <c r="N39" s="626">
        <v>267.02806</v>
      </c>
      <c r="O39" s="626">
        <v>843.71864060000007</v>
      </c>
      <c r="P39" s="626">
        <v>773.848214</v>
      </c>
      <c r="Q39" s="626">
        <v>613.114076</v>
      </c>
      <c r="R39" s="626">
        <v>2984.2850252</v>
      </c>
      <c r="S39" s="626">
        <v>2560.7573487</v>
      </c>
      <c r="T39" s="626">
        <v>4158.4455536000005</v>
      </c>
      <c r="U39" s="626">
        <v>3632.0542351000004</v>
      </c>
      <c r="V39" s="626">
        <v>3736.6220123000003</v>
      </c>
      <c r="W39" s="626">
        <v>3431.3165513</v>
      </c>
      <c r="X39" s="626">
        <v>6316.4206490000006</v>
      </c>
      <c r="Y39" s="626">
        <v>5416.1226318</v>
      </c>
      <c r="Z39" s="626">
        <v>858.71130590000007</v>
      </c>
      <c r="AA39" s="626">
        <v>760.4626925</v>
      </c>
      <c r="AB39" s="626">
        <v>3803.0749666</v>
      </c>
      <c r="AC39" s="626">
        <v>3333.6100676</v>
      </c>
      <c r="AD39" s="626">
        <v>2582.4251749</v>
      </c>
      <c r="AE39" s="626">
        <v>2208.8339838</v>
      </c>
      <c r="AF39" s="626">
        <v>4344.6394116</v>
      </c>
      <c r="AG39" s="626">
        <v>3116.1669725</v>
      </c>
      <c r="AH39" s="625">
        <v>1.3522374869749581</v>
      </c>
      <c r="AI39" s="625">
        <v>0.23225251166525779</v>
      </c>
      <c r="AJ39" s="625">
        <v>0.31648946360941621</v>
      </c>
      <c r="AK39" s="625">
        <v>1.2621602475718943</v>
      </c>
      <c r="AL39" s="625">
        <v>1.165391569308726</v>
      </c>
      <c r="AM39" s="625">
        <v>1.1449293662349906</v>
      </c>
      <c r="AN39" s="625">
        <v>1.0889761863643004</v>
      </c>
      <c r="AO39" s="625">
        <v>1.1662255599381071</v>
      </c>
      <c r="AP39" s="625">
        <v>1.12919583610739</v>
      </c>
      <c r="AQ39" s="625">
        <v>1.1408277781555871</v>
      </c>
      <c r="AR39" s="625">
        <v>1.1691350250283406</v>
      </c>
      <c r="AS39" s="625">
        <v>1.3942254859571224</v>
      </c>
    </row>
    <row r="40">
      <c r="B40" s="623">
        <v>2034240</v>
      </c>
      <c r="C40" s="603" t="s">
        <v>77</v>
      </c>
      <c r="D40" s="0" t="s">
        <v>63</v>
      </c>
      <c r="E40" s="0" t="s">
        <v>68</v>
      </c>
      <c r="F40" s="625">
        <v>6.830076926506548</v>
      </c>
      <c r="G40" s="625">
        <v>2.1225228366716924</v>
      </c>
      <c r="H40" s="624">
        <v>5.3174224483086174</v>
      </c>
      <c r="I40" s="624">
        <v>11.91659696690618</v>
      </c>
      <c r="J40" s="626">
        <v>2034.24</v>
      </c>
      <c r="K40" s="626">
        <v>1428.221</v>
      </c>
      <c r="L40" s="626">
        <v>894.856</v>
      </c>
      <c r="M40" s="626">
        <v>3877.689</v>
      </c>
      <c r="N40" s="626">
        <v>205.4062</v>
      </c>
      <c r="O40" s="626">
        <v>688.1584</v>
      </c>
      <c r="P40" s="626">
        <v>744.975</v>
      </c>
      <c r="Q40" s="626">
        <v>591.5448</v>
      </c>
      <c r="R40" s="626">
        <v>2752.9425</v>
      </c>
      <c r="S40" s="626">
        <v>2516.976</v>
      </c>
      <c r="T40" s="626">
        <v>4019.4</v>
      </c>
      <c r="U40" s="626">
        <v>3516.975</v>
      </c>
      <c r="V40" s="626">
        <v>3201.66</v>
      </c>
      <c r="W40" s="626">
        <v>2988.216</v>
      </c>
      <c r="X40" s="626">
        <v>6330.555</v>
      </c>
      <c r="Y40" s="626">
        <v>5457.375</v>
      </c>
      <c r="Z40" s="626">
        <v>827.97265390000007</v>
      </c>
      <c r="AA40" s="626">
        <v>728.6159355</v>
      </c>
      <c r="AB40" s="626">
        <v>3577.6895559</v>
      </c>
      <c r="AC40" s="626">
        <v>3130.4783614</v>
      </c>
      <c r="AD40" s="626">
        <v>2338.875</v>
      </c>
      <c r="AE40" s="626">
        <v>1980.2475</v>
      </c>
      <c r="AF40" s="626">
        <v>4515.5400998</v>
      </c>
      <c r="AG40" s="626">
        <v>3246.1772112</v>
      </c>
      <c r="AH40" s="625">
        <v>1.4243173850545539</v>
      </c>
      <c r="AI40" s="625">
        <v>0.23077044084762857</v>
      </c>
      <c r="AJ40" s="625">
        <v>0.29848680187584725</v>
      </c>
      <c r="AK40" s="625">
        <v>1.2593720712277412</v>
      </c>
      <c r="AL40" s="625">
        <v>1.09375</v>
      </c>
      <c r="AM40" s="625">
        <v>1.1428571428571428</v>
      </c>
      <c r="AN40" s="625">
        <v>1.0714285714285712</v>
      </c>
      <c r="AO40" s="625">
        <v>1.1600000000000001</v>
      </c>
      <c r="AP40" s="625">
        <v>1.1363636363636362</v>
      </c>
      <c r="AQ40" s="625">
        <v>1.1428571428571432</v>
      </c>
      <c r="AR40" s="625">
        <v>1.1811023622047243</v>
      </c>
      <c r="AS40" s="625">
        <v>1.3910331463918986</v>
      </c>
    </row>
    <row r="41">
      <c r="B41" s="623">
        <v>2034240</v>
      </c>
      <c r="C41" s="603" t="s">
        <v>78</v>
      </c>
      <c r="D41" s="0" t="s">
        <v>63</v>
      </c>
      <c r="E41" s="0" t="s">
        <v>68</v>
      </c>
      <c r="F41" s="625">
        <v>7.8545884654825286</v>
      </c>
      <c r="G41" s="625">
        <v>2.4409012621724457</v>
      </c>
      <c r="H41" s="624">
        <v>6.11503581555491</v>
      </c>
      <c r="I41" s="624">
        <v>13.704086511942107</v>
      </c>
      <c r="J41" s="626">
        <v>2441.088</v>
      </c>
      <c r="K41" s="626">
        <v>1713.8652</v>
      </c>
      <c r="L41" s="626">
        <v>1073.8272</v>
      </c>
      <c r="M41" s="626">
        <v>4653.2267999999995</v>
      </c>
      <c r="N41" s="626">
        <v>246.48744</v>
      </c>
      <c r="O41" s="626">
        <v>825.79008</v>
      </c>
      <c r="P41" s="626">
        <v>819.4725</v>
      </c>
      <c r="Q41" s="626">
        <v>650.69928</v>
      </c>
      <c r="R41" s="626">
        <v>3028.23675</v>
      </c>
      <c r="S41" s="626">
        <v>2768.6736</v>
      </c>
      <c r="T41" s="626">
        <v>4421.34</v>
      </c>
      <c r="U41" s="626">
        <v>3868.6725</v>
      </c>
      <c r="V41" s="626">
        <v>3521.826</v>
      </c>
      <c r="W41" s="626">
        <v>3287.0376</v>
      </c>
      <c r="X41" s="626">
        <v>6963.6105</v>
      </c>
      <c r="Y41" s="626">
        <v>6003.1125</v>
      </c>
      <c r="Z41" s="626">
        <v>910.7699193</v>
      </c>
      <c r="AA41" s="626">
        <v>801.477529</v>
      </c>
      <c r="AB41" s="626">
        <v>3935.4585115</v>
      </c>
      <c r="AC41" s="626">
        <v>3443.5261976</v>
      </c>
      <c r="AD41" s="626">
        <v>2572.7625</v>
      </c>
      <c r="AE41" s="626">
        <v>2178.27225</v>
      </c>
      <c r="AF41" s="626">
        <v>4967.0941097999994</v>
      </c>
      <c r="AG41" s="626">
        <v>3570.7949323</v>
      </c>
      <c r="AH41" s="625">
        <v>1.4243173850545539</v>
      </c>
      <c r="AI41" s="625">
        <v>0.23077044084762857</v>
      </c>
      <c r="AJ41" s="625">
        <v>0.29848680187584725</v>
      </c>
      <c r="AK41" s="625">
        <v>1.2593720712277412</v>
      </c>
      <c r="AL41" s="625">
        <v>1.09375</v>
      </c>
      <c r="AM41" s="625">
        <v>1.142857142857143</v>
      </c>
      <c r="AN41" s="625">
        <v>1.0714285714285712</v>
      </c>
      <c r="AO41" s="625">
        <v>1.1600000000000001</v>
      </c>
      <c r="AP41" s="625">
        <v>1.1363636363636365</v>
      </c>
      <c r="AQ41" s="625">
        <v>1.1428571428571432</v>
      </c>
      <c r="AR41" s="625">
        <v>1.1811023622047245</v>
      </c>
      <c r="AS41" s="625">
        <v>1.3910331463918981</v>
      </c>
    </row>
    <row r="42">
      <c r="B42" s="623">
        <v>2034240</v>
      </c>
      <c r="C42" s="603" t="s">
        <v>79</v>
      </c>
      <c r="D42" s="0" t="s">
        <v>63</v>
      </c>
      <c r="E42" s="0" t="s">
        <v>68</v>
      </c>
      <c r="F42" s="625">
        <v>8.8791000044585111</v>
      </c>
      <c r="G42" s="625">
        <v>2.7592796876732</v>
      </c>
      <c r="H42" s="624">
        <v>6.9126491828012027</v>
      </c>
      <c r="I42" s="624">
        <v>15.491576056978035</v>
      </c>
      <c r="J42" s="626">
        <v>2644.512</v>
      </c>
      <c r="K42" s="626">
        <v>1856.6873</v>
      </c>
      <c r="L42" s="626">
        <v>1163.3128000000002</v>
      </c>
      <c r="M42" s="626">
        <v>5040.9957</v>
      </c>
      <c r="N42" s="626">
        <v>267.02806</v>
      </c>
      <c r="O42" s="626">
        <v>894.60592000000008</v>
      </c>
      <c r="P42" s="626">
        <v>893.97</v>
      </c>
      <c r="Q42" s="626">
        <v>709.85376</v>
      </c>
      <c r="R42" s="626">
        <v>3303.531</v>
      </c>
      <c r="S42" s="626">
        <v>3020.3712</v>
      </c>
      <c r="T42" s="626">
        <v>4823.28</v>
      </c>
      <c r="U42" s="626">
        <v>4220.37</v>
      </c>
      <c r="V42" s="626">
        <v>3841.992</v>
      </c>
      <c r="W42" s="626">
        <v>3585.8592000000003</v>
      </c>
      <c r="X42" s="626">
        <v>7596.666</v>
      </c>
      <c r="Y42" s="626">
        <v>6548.85</v>
      </c>
      <c r="Z42" s="626">
        <v>993.5671847</v>
      </c>
      <c r="AA42" s="626">
        <v>874.3391225</v>
      </c>
      <c r="AB42" s="626">
        <v>4293.2274671</v>
      </c>
      <c r="AC42" s="626">
        <v>3756.5740337</v>
      </c>
      <c r="AD42" s="626">
        <v>2806.65</v>
      </c>
      <c r="AE42" s="626">
        <v>2376.297</v>
      </c>
      <c r="AF42" s="626">
        <v>5418.6481198</v>
      </c>
      <c r="AG42" s="626">
        <v>3895.4126534</v>
      </c>
      <c r="AH42" s="625">
        <v>1.4243173850545539</v>
      </c>
      <c r="AI42" s="625">
        <v>0.23077044084762857</v>
      </c>
      <c r="AJ42" s="625">
        <v>0.29848680187584725</v>
      </c>
      <c r="AK42" s="625">
        <v>1.2593720712277414</v>
      </c>
      <c r="AL42" s="625">
        <v>1.09375</v>
      </c>
      <c r="AM42" s="625">
        <v>1.1428571428571428</v>
      </c>
      <c r="AN42" s="625">
        <v>1.0714285714285712</v>
      </c>
      <c r="AO42" s="625">
        <v>1.16</v>
      </c>
      <c r="AP42" s="625">
        <v>1.1363636363636365</v>
      </c>
      <c r="AQ42" s="625">
        <v>1.1428571428571432</v>
      </c>
      <c r="AR42" s="625">
        <v>1.1811023622047243</v>
      </c>
      <c r="AS42" s="625">
        <v>1.3910331463918986</v>
      </c>
    </row>
    <row r="43">
      <c r="B43" s="623">
        <v>2200000</v>
      </c>
      <c r="C43" s="603" t="s">
        <v>77</v>
      </c>
      <c r="D43" s="0" t="s">
        <v>63</v>
      </c>
      <c r="E43" s="0" t="s">
        <v>68</v>
      </c>
      <c r="F43" s="625">
        <v>7.3866255890722856</v>
      </c>
      <c r="G43" s="625">
        <v>2.2954765616041977</v>
      </c>
      <c r="H43" s="624">
        <v>5.3174224483086165</v>
      </c>
      <c r="I43" s="624">
        <v>11.91659696690618</v>
      </c>
      <c r="J43" s="626">
        <v>2200</v>
      </c>
      <c r="K43" s="626">
        <v>1544.5995556</v>
      </c>
      <c r="L43" s="626">
        <v>967.7733207</v>
      </c>
      <c r="M43" s="626">
        <v>4193.6623997</v>
      </c>
      <c r="N43" s="626">
        <v>222.1437195</v>
      </c>
      <c r="O43" s="626">
        <v>744.2329715</v>
      </c>
      <c r="P43" s="626">
        <v>805.6792709</v>
      </c>
      <c r="Q43" s="626">
        <v>639.7468145</v>
      </c>
      <c r="R43" s="626">
        <v>2977.2659568</v>
      </c>
      <c r="S43" s="626">
        <v>2722.0717319</v>
      </c>
      <c r="T43" s="626">
        <v>4346.9207172999995</v>
      </c>
      <c r="U43" s="626">
        <v>3803.5556277</v>
      </c>
      <c r="V43" s="626">
        <v>3462.5471921000003</v>
      </c>
      <c r="W43" s="626">
        <v>3231.7107126</v>
      </c>
      <c r="X43" s="626">
        <v>6846.4001298</v>
      </c>
      <c r="Y43" s="626">
        <v>5902.0690773999995</v>
      </c>
      <c r="Z43" s="626">
        <v>895.4399867</v>
      </c>
      <c r="AA43" s="626">
        <v>787.98718830000007</v>
      </c>
      <c r="AB43" s="626">
        <v>3869.2175077999996</v>
      </c>
      <c r="AC43" s="626">
        <v>3385.5653193000003</v>
      </c>
      <c r="AD43" s="626">
        <v>2529.458176</v>
      </c>
      <c r="AE43" s="626">
        <v>2141.6079224</v>
      </c>
      <c r="AF43" s="626">
        <v>4883.4887819</v>
      </c>
      <c r="AG43" s="626">
        <v>3510.6918872</v>
      </c>
      <c r="AH43" s="625">
        <v>1.4243173850545541</v>
      </c>
      <c r="AI43" s="625">
        <v>0.23077044084762857</v>
      </c>
      <c r="AJ43" s="625">
        <v>0.29848680187584725</v>
      </c>
      <c r="AK43" s="625">
        <v>1.2593720712277414</v>
      </c>
      <c r="AL43" s="625">
        <v>1.09375</v>
      </c>
      <c r="AM43" s="625">
        <v>1.1428571428571428</v>
      </c>
      <c r="AN43" s="625">
        <v>1.0714285714285712</v>
      </c>
      <c r="AO43" s="625">
        <v>1.16</v>
      </c>
      <c r="AP43" s="625">
        <v>1.1363636363636362</v>
      </c>
      <c r="AQ43" s="625">
        <v>1.1428571428571432</v>
      </c>
      <c r="AR43" s="625">
        <v>1.1811023622047245</v>
      </c>
      <c r="AS43" s="625">
        <v>1.3910331463918984</v>
      </c>
    </row>
    <row r="44">
      <c r="B44" s="623">
        <v>2200000</v>
      </c>
      <c r="C44" s="603" t="s">
        <v>78</v>
      </c>
      <c r="D44" s="0" t="s">
        <v>63</v>
      </c>
      <c r="E44" s="0" t="s">
        <v>68</v>
      </c>
      <c r="F44" s="625">
        <v>8.4946194274331273</v>
      </c>
      <c r="G44" s="625">
        <v>2.6397980458448269</v>
      </c>
      <c r="H44" s="624">
        <v>6.1150358155549078</v>
      </c>
      <c r="I44" s="624">
        <v>13.704086511942107</v>
      </c>
      <c r="J44" s="626">
        <v>2640</v>
      </c>
      <c r="K44" s="626">
        <v>1853.5194667</v>
      </c>
      <c r="L44" s="626">
        <v>1161.3279849</v>
      </c>
      <c r="M44" s="626">
        <v>5032.3948797</v>
      </c>
      <c r="N44" s="626">
        <v>266.5724634</v>
      </c>
      <c r="O44" s="626">
        <v>893.0795658</v>
      </c>
      <c r="P44" s="626">
        <v>886.247198</v>
      </c>
      <c r="Q44" s="626">
        <v>703.721496</v>
      </c>
      <c r="R44" s="626">
        <v>3274.9925525000003</v>
      </c>
      <c r="S44" s="626">
        <v>2994.2789051</v>
      </c>
      <c r="T44" s="626">
        <v>4781.6127891</v>
      </c>
      <c r="U44" s="626">
        <v>4183.9111904</v>
      </c>
      <c r="V44" s="626">
        <v>3808.8019113</v>
      </c>
      <c r="W44" s="626">
        <v>3554.8817839000003</v>
      </c>
      <c r="X44" s="626">
        <v>7531.0401428</v>
      </c>
      <c r="Y44" s="626">
        <v>6492.2759851</v>
      </c>
      <c r="Z44" s="626">
        <v>984.9839854</v>
      </c>
      <c r="AA44" s="626">
        <v>866.7859072</v>
      </c>
      <c r="AB44" s="626">
        <v>4256.1392585</v>
      </c>
      <c r="AC44" s="626">
        <v>3724.1218512</v>
      </c>
      <c r="AD44" s="626">
        <v>2782.4039936000004</v>
      </c>
      <c r="AE44" s="626">
        <v>2355.7687146</v>
      </c>
      <c r="AF44" s="626">
        <v>5371.8376601</v>
      </c>
      <c r="AG44" s="626">
        <v>3861.7610759</v>
      </c>
      <c r="AH44" s="625">
        <v>1.4243173850545541</v>
      </c>
      <c r="AI44" s="625">
        <v>0.23077044084762854</v>
      </c>
      <c r="AJ44" s="625">
        <v>0.29848680187584725</v>
      </c>
      <c r="AK44" s="625">
        <v>1.2593720712277414</v>
      </c>
      <c r="AL44" s="625">
        <v>1.09375</v>
      </c>
      <c r="AM44" s="625">
        <v>1.1428571428571428</v>
      </c>
      <c r="AN44" s="625">
        <v>1.0714285714285712</v>
      </c>
      <c r="AO44" s="625">
        <v>1.16</v>
      </c>
      <c r="AP44" s="625">
        <v>1.1363636363636362</v>
      </c>
      <c r="AQ44" s="625">
        <v>1.1428571428571432</v>
      </c>
      <c r="AR44" s="625">
        <v>1.1811023622047245</v>
      </c>
      <c r="AS44" s="625">
        <v>1.3910331463918984</v>
      </c>
    </row>
    <row r="45">
      <c r="B45" s="623">
        <v>2200000</v>
      </c>
      <c r="C45" s="603" t="s">
        <v>79</v>
      </c>
      <c r="D45" s="0" t="s">
        <v>63</v>
      </c>
      <c r="E45" s="0" t="s">
        <v>68</v>
      </c>
      <c r="F45" s="625">
        <v>9.60261326579397</v>
      </c>
      <c r="G45" s="625">
        <v>2.9841195300854566</v>
      </c>
      <c r="H45" s="624">
        <v>6.9126491828012009</v>
      </c>
      <c r="I45" s="624">
        <v>15.491576056978035</v>
      </c>
      <c r="J45" s="626">
        <v>2860</v>
      </c>
      <c r="K45" s="626">
        <v>2007.9794223</v>
      </c>
      <c r="L45" s="626">
        <v>1258.105317</v>
      </c>
      <c r="M45" s="626">
        <v>5451.7611196</v>
      </c>
      <c r="N45" s="626">
        <v>288.7868354</v>
      </c>
      <c r="O45" s="626">
        <v>967.502863</v>
      </c>
      <c r="P45" s="626">
        <v>966.81512509999993</v>
      </c>
      <c r="Q45" s="626">
        <v>767.6961774</v>
      </c>
      <c r="R45" s="626">
        <v>3572.7191482000003</v>
      </c>
      <c r="S45" s="626">
        <v>3266.4860783000004</v>
      </c>
      <c r="T45" s="626">
        <v>5216.3048608</v>
      </c>
      <c r="U45" s="626">
        <v>4564.2667532000005</v>
      </c>
      <c r="V45" s="626">
        <v>4155.0566305</v>
      </c>
      <c r="W45" s="626">
        <v>3878.0528550999998</v>
      </c>
      <c r="X45" s="626">
        <v>8215.6801557</v>
      </c>
      <c r="Y45" s="626">
        <v>7082.4828929000005</v>
      </c>
      <c r="Z45" s="626">
        <v>1074.5279841</v>
      </c>
      <c r="AA45" s="626">
        <v>945.58462600000007</v>
      </c>
      <c r="AB45" s="626">
        <v>4643.0610093000005</v>
      </c>
      <c r="AC45" s="626">
        <v>4062.6783831000002</v>
      </c>
      <c r="AD45" s="626">
        <v>3035.3498111999997</v>
      </c>
      <c r="AE45" s="626">
        <v>2569.9295068</v>
      </c>
      <c r="AF45" s="626">
        <v>5860.1865383</v>
      </c>
      <c r="AG45" s="626">
        <v>4212.8302647</v>
      </c>
      <c r="AH45" s="625">
        <v>1.4243173850545539</v>
      </c>
      <c r="AI45" s="625">
        <v>0.23077044084762857</v>
      </c>
      <c r="AJ45" s="625">
        <v>0.29848680187584725</v>
      </c>
      <c r="AK45" s="625">
        <v>1.2593720712277414</v>
      </c>
      <c r="AL45" s="625">
        <v>1.09375</v>
      </c>
      <c r="AM45" s="625">
        <v>1.1428571428571428</v>
      </c>
      <c r="AN45" s="625">
        <v>1.0714285714285712</v>
      </c>
      <c r="AO45" s="625">
        <v>1.16</v>
      </c>
      <c r="AP45" s="625">
        <v>1.1363636363636362</v>
      </c>
      <c r="AQ45" s="625">
        <v>1.1428571428571432</v>
      </c>
      <c r="AR45" s="625">
        <v>1.1811023622047245</v>
      </c>
      <c r="AS45" s="625">
        <v>1.3910331463918984</v>
      </c>
    </row>
    <row r="46">
      <c r="B46" s="623">
        <v>600001</v>
      </c>
      <c r="C46" s="603" t="s">
        <v>77</v>
      </c>
      <c r="D46" s="0" t="s">
        <v>116</v>
      </c>
      <c r="E46" s="0" t="s">
        <v>73</v>
      </c>
      <c r="F46" s="625">
        <v>3.2533810693711778</v>
      </c>
      <c r="G46" s="625">
        <v>0.50527578563095465</v>
      </c>
      <c r="H46" s="624">
        <v>5.8829788630382414</v>
      </c>
      <c r="I46" s="624">
        <v>18.608995839333467</v>
      </c>
      <c r="J46" s="626">
        <v>600.001</v>
      </c>
      <c r="K46" s="626">
        <v>858.4606922</v>
      </c>
      <c r="L46" s="626">
        <v>358.2406927</v>
      </c>
      <c r="M46" s="626">
        <v>1175.7521359999998</v>
      </c>
      <c r="N46" s="626">
        <v>184.2486551</v>
      </c>
      <c r="O46" s="626">
        <v>381.6353122</v>
      </c>
      <c r="P46" s="626">
        <v>193.7512573</v>
      </c>
      <c r="Q46" s="626">
        <v>125.3043416</v>
      </c>
      <c r="R46" s="626">
        <v>894.7540701</v>
      </c>
      <c r="S46" s="626">
        <v>613.5215921</v>
      </c>
      <c r="T46" s="626">
        <v>874.57164749999993</v>
      </c>
      <c r="U46" s="626">
        <v>626.9410664</v>
      </c>
      <c r="V46" s="626">
        <v>1506.9542234</v>
      </c>
      <c r="W46" s="626">
        <v>1056.7836036</v>
      </c>
      <c r="X46" s="626">
        <v>954.4043415</v>
      </c>
      <c r="Y46" s="626">
        <v>587.102002</v>
      </c>
      <c r="Z46" s="626">
        <v>185.8240659</v>
      </c>
      <c r="AA46" s="626">
        <v>130.3130665</v>
      </c>
      <c r="AB46" s="626">
        <v>900.9995343</v>
      </c>
      <c r="AC46" s="626">
        <v>591.85284589999992</v>
      </c>
      <c r="AD46" s="626">
        <v>793.8419569</v>
      </c>
      <c r="AE46" s="626">
        <v>559.8436947</v>
      </c>
      <c r="AF46" s="626">
        <v>686.1959112</v>
      </c>
      <c r="AG46" s="626">
        <v>381.9125362</v>
      </c>
      <c r="AH46" s="625">
        <v>0.69892658501900129</v>
      </c>
      <c r="AI46" s="625">
        <v>0.30469065866147471</v>
      </c>
      <c r="AJ46" s="625">
        <v>0.48278722964362553</v>
      </c>
      <c r="AK46" s="625">
        <v>1.5462453644339016</v>
      </c>
      <c r="AL46" s="625">
        <v>1.4583905141819755</v>
      </c>
      <c r="AM46" s="625">
        <v>1.394982230956672</v>
      </c>
      <c r="AN46" s="625">
        <v>1.4259818360890426</v>
      </c>
      <c r="AO46" s="625">
        <v>1.625619293141509</v>
      </c>
      <c r="AP46" s="625">
        <v>1.4259818360890426</v>
      </c>
      <c r="AQ46" s="625">
        <v>1.5223370818363746</v>
      </c>
      <c r="AR46" s="625">
        <v>1.4179707021784296</v>
      </c>
      <c r="AS46" s="625">
        <v>1.796735760623547</v>
      </c>
    </row>
    <row r="47">
      <c r="B47" s="623">
        <v>600001</v>
      </c>
      <c r="C47" s="603" t="s">
        <v>78</v>
      </c>
      <c r="D47" s="0" t="s">
        <v>116</v>
      </c>
      <c r="E47" s="0" t="s">
        <v>73</v>
      </c>
      <c r="F47" s="625">
        <v>3.7413882297768541</v>
      </c>
      <c r="G47" s="625">
        <v>0.58106715347559779</v>
      </c>
      <c r="H47" s="624">
        <v>6.7654256924939773</v>
      </c>
      <c r="I47" s="624">
        <v>21.400345215233486</v>
      </c>
      <c r="J47" s="626">
        <v>720.00119999999993</v>
      </c>
      <c r="K47" s="626">
        <v>1030.1528307</v>
      </c>
      <c r="L47" s="626">
        <v>429.8888313</v>
      </c>
      <c r="M47" s="626">
        <v>1410.9025632</v>
      </c>
      <c r="N47" s="626">
        <v>221.0983861</v>
      </c>
      <c r="O47" s="626">
        <v>457.9623746</v>
      </c>
      <c r="P47" s="626">
        <v>213.126383</v>
      </c>
      <c r="Q47" s="626">
        <v>137.8347757</v>
      </c>
      <c r="R47" s="626">
        <v>984.2294771</v>
      </c>
      <c r="S47" s="626">
        <v>674.8737513</v>
      </c>
      <c r="T47" s="626">
        <v>962.02881220000006</v>
      </c>
      <c r="U47" s="626">
        <v>689.6351729999999</v>
      </c>
      <c r="V47" s="626">
        <v>1657.6496457</v>
      </c>
      <c r="W47" s="626">
        <v>1162.4619639</v>
      </c>
      <c r="X47" s="626">
        <v>1049.8447756</v>
      </c>
      <c r="Y47" s="626">
        <v>645.8122022</v>
      </c>
      <c r="Z47" s="626">
        <v>204.4064725</v>
      </c>
      <c r="AA47" s="626">
        <v>143.3443732</v>
      </c>
      <c r="AB47" s="626">
        <v>991.0994877</v>
      </c>
      <c r="AC47" s="626">
        <v>651.0381305</v>
      </c>
      <c r="AD47" s="626">
        <v>873.2261526</v>
      </c>
      <c r="AE47" s="626">
        <v>615.8280642</v>
      </c>
      <c r="AF47" s="626">
        <v>754.8155023</v>
      </c>
      <c r="AG47" s="626">
        <v>420.1037898</v>
      </c>
      <c r="AH47" s="625">
        <v>0.69892658501900129</v>
      </c>
      <c r="AI47" s="625">
        <v>0.30469065866147471</v>
      </c>
      <c r="AJ47" s="625">
        <v>0.48278722964362558</v>
      </c>
      <c r="AK47" s="625">
        <v>1.5462453644339016</v>
      </c>
      <c r="AL47" s="625">
        <v>1.4583905141819755</v>
      </c>
      <c r="AM47" s="625">
        <v>1.394982230956672</v>
      </c>
      <c r="AN47" s="625">
        <v>1.4259818360890426</v>
      </c>
      <c r="AO47" s="625">
        <v>1.6256192931415092</v>
      </c>
      <c r="AP47" s="625">
        <v>1.4259818360890426</v>
      </c>
      <c r="AQ47" s="625">
        <v>1.5223370818363748</v>
      </c>
      <c r="AR47" s="625">
        <v>1.4179707021784296</v>
      </c>
      <c r="AS47" s="625">
        <v>1.7967357606235468</v>
      </c>
    </row>
    <row r="48">
      <c r="B48" s="623">
        <v>600001</v>
      </c>
      <c r="C48" s="603" t="s">
        <v>79</v>
      </c>
      <c r="D48" s="0" t="s">
        <v>116</v>
      </c>
      <c r="E48" s="0" t="s">
        <v>73</v>
      </c>
      <c r="F48" s="625">
        <v>4.229395390182531</v>
      </c>
      <c r="G48" s="625">
        <v>0.656858521320241</v>
      </c>
      <c r="H48" s="624">
        <v>7.6478725219497141</v>
      </c>
      <c r="I48" s="624">
        <v>24.191694591133508</v>
      </c>
      <c r="J48" s="626">
        <v>780.0013</v>
      </c>
      <c r="K48" s="626">
        <v>1115.9988999</v>
      </c>
      <c r="L48" s="626">
        <v>465.7129006</v>
      </c>
      <c r="M48" s="626">
        <v>1528.4777768000001</v>
      </c>
      <c r="N48" s="626">
        <v>239.52325159999998</v>
      </c>
      <c r="O48" s="626">
        <v>496.1259059</v>
      </c>
      <c r="P48" s="626">
        <v>232.50150870000002</v>
      </c>
      <c r="Q48" s="626">
        <v>150.3652099</v>
      </c>
      <c r="R48" s="626">
        <v>1073.7048840999998</v>
      </c>
      <c r="S48" s="626">
        <v>736.2259105</v>
      </c>
      <c r="T48" s="626">
        <v>1049.485977</v>
      </c>
      <c r="U48" s="626">
        <v>752.32927969999992</v>
      </c>
      <c r="V48" s="626">
        <v>1808.345068</v>
      </c>
      <c r="W48" s="626">
        <v>1268.1403243</v>
      </c>
      <c r="X48" s="626">
        <v>1145.2852097</v>
      </c>
      <c r="Y48" s="626">
        <v>704.5224024</v>
      </c>
      <c r="Z48" s="626">
        <v>222.988879</v>
      </c>
      <c r="AA48" s="626">
        <v>156.3756798</v>
      </c>
      <c r="AB48" s="626">
        <v>1081.1994410999998</v>
      </c>
      <c r="AC48" s="626">
        <v>710.223415</v>
      </c>
      <c r="AD48" s="626">
        <v>952.61034829999994</v>
      </c>
      <c r="AE48" s="626">
        <v>671.8124337</v>
      </c>
      <c r="AF48" s="626">
        <v>823.4350934</v>
      </c>
      <c r="AG48" s="626">
        <v>458.2950434</v>
      </c>
      <c r="AH48" s="625">
        <v>0.69892658501900129</v>
      </c>
      <c r="AI48" s="625">
        <v>0.30469065866147466</v>
      </c>
      <c r="AJ48" s="625">
        <v>0.48278722964362553</v>
      </c>
      <c r="AK48" s="625">
        <v>1.5462453644339016</v>
      </c>
      <c r="AL48" s="625">
        <v>1.4583905141819755</v>
      </c>
      <c r="AM48" s="625">
        <v>1.3949822309566717</v>
      </c>
      <c r="AN48" s="625">
        <v>1.4259818360890426</v>
      </c>
      <c r="AO48" s="625">
        <v>1.625619293141509</v>
      </c>
      <c r="AP48" s="625">
        <v>1.4259818360890426</v>
      </c>
      <c r="AQ48" s="625">
        <v>1.5223370818363746</v>
      </c>
      <c r="AR48" s="625">
        <v>1.4179707021784296</v>
      </c>
      <c r="AS48" s="625">
        <v>1.7967357606235468</v>
      </c>
    </row>
    <row r="49">
      <c r="B49" s="623">
        <v>668900</v>
      </c>
      <c r="C49" s="603" t="s">
        <v>77</v>
      </c>
      <c r="D49" s="0" t="s">
        <v>116</v>
      </c>
      <c r="E49" s="0" t="s">
        <v>73</v>
      </c>
      <c r="F49" s="625">
        <v>3.6269716172179414</v>
      </c>
      <c r="G49" s="625">
        <v>0.56329734951866006</v>
      </c>
      <c r="H49" s="624">
        <v>5.88297886303824</v>
      </c>
      <c r="I49" s="624">
        <v>17.148864197987255</v>
      </c>
      <c r="J49" s="626">
        <v>668.9</v>
      </c>
      <c r="K49" s="626">
        <v>957.039</v>
      </c>
      <c r="L49" s="626">
        <v>399.378</v>
      </c>
      <c r="M49" s="626">
        <v>1682.215</v>
      </c>
      <c r="N49" s="626">
        <v>205.4062</v>
      </c>
      <c r="O49" s="626">
        <v>546.0272</v>
      </c>
      <c r="P49" s="626">
        <v>216</v>
      </c>
      <c r="Q49" s="626">
        <v>179.28</v>
      </c>
      <c r="R49" s="626">
        <v>997.5</v>
      </c>
      <c r="S49" s="626">
        <v>877.8</v>
      </c>
      <c r="T49" s="626">
        <v>975</v>
      </c>
      <c r="U49" s="626">
        <v>897</v>
      </c>
      <c r="V49" s="626">
        <v>1680</v>
      </c>
      <c r="W49" s="626">
        <v>1512</v>
      </c>
      <c r="X49" s="626">
        <v>1064</v>
      </c>
      <c r="Y49" s="626">
        <v>840</v>
      </c>
      <c r="Z49" s="626">
        <v>207.16251749999998</v>
      </c>
      <c r="AA49" s="626">
        <v>186.4462657</v>
      </c>
      <c r="AB49" s="626">
        <v>1004.46264</v>
      </c>
      <c r="AC49" s="626">
        <v>846.7973007</v>
      </c>
      <c r="AD49" s="626">
        <v>885</v>
      </c>
      <c r="AE49" s="626">
        <v>801</v>
      </c>
      <c r="AF49" s="626">
        <v>764.9928000000001</v>
      </c>
      <c r="AG49" s="626">
        <v>546.42383999999993</v>
      </c>
      <c r="AH49" s="625">
        <v>0.69892658501900129</v>
      </c>
      <c r="AI49" s="625">
        <v>0.23741198360494942</v>
      </c>
      <c r="AJ49" s="625">
        <v>0.37618309124527138</v>
      </c>
      <c r="AK49" s="625">
        <v>1.2048192771084338</v>
      </c>
      <c r="AL49" s="625">
        <v>1.1363636363636365</v>
      </c>
      <c r="AM49" s="625">
        <v>1.0869565217391304</v>
      </c>
      <c r="AN49" s="625">
        <v>1.1111111111111112</v>
      </c>
      <c r="AO49" s="625">
        <v>1.2666666666666671</v>
      </c>
      <c r="AP49" s="625">
        <v>1.1111111111111112</v>
      </c>
      <c r="AQ49" s="625">
        <v>1.1861901769548482</v>
      </c>
      <c r="AR49" s="625">
        <v>1.1048689138576779</v>
      </c>
      <c r="AS49" s="625">
        <v>1.3999989458735556</v>
      </c>
    </row>
    <row r="50">
      <c r="B50" s="623">
        <v>668900</v>
      </c>
      <c r="C50" s="603" t="s">
        <v>78</v>
      </c>
      <c r="D50" s="0" t="s">
        <v>116</v>
      </c>
      <c r="E50" s="0" t="s">
        <v>73</v>
      </c>
      <c r="F50" s="625">
        <v>4.1710173598006319</v>
      </c>
      <c r="G50" s="625">
        <v>0.647791951946459</v>
      </c>
      <c r="H50" s="624">
        <v>6.7654256924939746</v>
      </c>
      <c r="I50" s="624">
        <v>19.72119382768534</v>
      </c>
      <c r="J50" s="626">
        <v>802.68</v>
      </c>
      <c r="K50" s="626">
        <v>1148.4468</v>
      </c>
      <c r="L50" s="626">
        <v>479.25359999999995</v>
      </c>
      <c r="M50" s="626">
        <v>2018.658</v>
      </c>
      <c r="N50" s="626">
        <v>246.48744</v>
      </c>
      <c r="O50" s="626">
        <v>655.23264000000006</v>
      </c>
      <c r="P50" s="626">
        <v>237.6</v>
      </c>
      <c r="Q50" s="626">
        <v>197.208</v>
      </c>
      <c r="R50" s="626">
        <v>1097.25</v>
      </c>
      <c r="S50" s="626">
        <v>965.58</v>
      </c>
      <c r="T50" s="626">
        <v>1072.5</v>
      </c>
      <c r="U50" s="626">
        <v>986.7</v>
      </c>
      <c r="V50" s="626">
        <v>1848</v>
      </c>
      <c r="W50" s="626">
        <v>1663.2</v>
      </c>
      <c r="X50" s="626">
        <v>1170.4</v>
      </c>
      <c r="Y50" s="626">
        <v>924</v>
      </c>
      <c r="Z50" s="626">
        <v>227.87876930000002</v>
      </c>
      <c r="AA50" s="626">
        <v>205.0908923</v>
      </c>
      <c r="AB50" s="626">
        <v>1104.9089040000001</v>
      </c>
      <c r="AC50" s="626">
        <v>931.4770308</v>
      </c>
      <c r="AD50" s="626">
        <v>973.5</v>
      </c>
      <c r="AE50" s="626">
        <v>881.1</v>
      </c>
      <c r="AF50" s="626">
        <v>841.49208</v>
      </c>
      <c r="AG50" s="626">
        <v>601.066224</v>
      </c>
      <c r="AH50" s="625">
        <v>0.69892658501900129</v>
      </c>
      <c r="AI50" s="625">
        <v>0.23741198360494942</v>
      </c>
      <c r="AJ50" s="625">
        <v>0.37618309124527138</v>
      </c>
      <c r="AK50" s="625">
        <v>1.2048192771084336</v>
      </c>
      <c r="AL50" s="625">
        <v>1.1363636363636362</v>
      </c>
      <c r="AM50" s="625">
        <v>1.0869565217391304</v>
      </c>
      <c r="AN50" s="625">
        <v>1.1111111111111112</v>
      </c>
      <c r="AO50" s="625">
        <v>1.2666666666666671</v>
      </c>
      <c r="AP50" s="625">
        <v>1.1111111111111114</v>
      </c>
      <c r="AQ50" s="625">
        <v>1.186190176954848</v>
      </c>
      <c r="AR50" s="625">
        <v>1.1048689138576779</v>
      </c>
      <c r="AS50" s="625">
        <v>1.3999989458735556</v>
      </c>
    </row>
    <row r="51">
      <c r="B51" s="623">
        <v>668900</v>
      </c>
      <c r="C51" s="603" t="s">
        <v>79</v>
      </c>
      <c r="D51" s="0" t="s">
        <v>116</v>
      </c>
      <c r="E51" s="0" t="s">
        <v>73</v>
      </c>
      <c r="F51" s="625">
        <v>4.7150631023833238</v>
      </c>
      <c r="G51" s="625">
        <v>0.73228655437425816</v>
      </c>
      <c r="H51" s="624">
        <v>7.6478725219497115</v>
      </c>
      <c r="I51" s="624">
        <v>22.293523457383433</v>
      </c>
      <c r="J51" s="626">
        <v>869.57</v>
      </c>
      <c r="K51" s="626">
        <v>1244.1507</v>
      </c>
      <c r="L51" s="626">
        <v>519.1914</v>
      </c>
      <c r="M51" s="626">
        <v>2186.8795</v>
      </c>
      <c r="N51" s="626">
        <v>267.02806</v>
      </c>
      <c r="O51" s="626">
        <v>709.83536</v>
      </c>
      <c r="P51" s="626">
        <v>259.2</v>
      </c>
      <c r="Q51" s="626">
        <v>215.136</v>
      </c>
      <c r="R51" s="626">
        <v>1197</v>
      </c>
      <c r="S51" s="626">
        <v>1053.36</v>
      </c>
      <c r="T51" s="626">
        <v>1170</v>
      </c>
      <c r="U51" s="626">
        <v>1076.4</v>
      </c>
      <c r="V51" s="626">
        <v>2016</v>
      </c>
      <c r="W51" s="626">
        <v>1814.4</v>
      </c>
      <c r="X51" s="626">
        <v>1276.8</v>
      </c>
      <c r="Y51" s="626">
        <v>1008</v>
      </c>
      <c r="Z51" s="626">
        <v>248.595021</v>
      </c>
      <c r="AA51" s="626">
        <v>223.7355189</v>
      </c>
      <c r="AB51" s="626">
        <v>1205.355168</v>
      </c>
      <c r="AC51" s="626">
        <v>1016.1567609</v>
      </c>
      <c r="AD51" s="626">
        <v>1062</v>
      </c>
      <c r="AE51" s="626">
        <v>961.2</v>
      </c>
      <c r="AF51" s="626">
        <v>917.99136</v>
      </c>
      <c r="AG51" s="626">
        <v>655.708608</v>
      </c>
      <c r="AH51" s="625">
        <v>0.69892658501900129</v>
      </c>
      <c r="AI51" s="625">
        <v>0.23741198360494945</v>
      </c>
      <c r="AJ51" s="625">
        <v>0.37618309124527138</v>
      </c>
      <c r="AK51" s="625">
        <v>1.2048192771084338</v>
      </c>
      <c r="AL51" s="625">
        <v>1.1363636363636365</v>
      </c>
      <c r="AM51" s="625">
        <v>1.0869565217391304</v>
      </c>
      <c r="AN51" s="625">
        <v>1.1111111111111112</v>
      </c>
      <c r="AO51" s="625">
        <v>1.2666666666666668</v>
      </c>
      <c r="AP51" s="625">
        <v>1.1111111111111112</v>
      </c>
      <c r="AQ51" s="625">
        <v>1.1861901769548482</v>
      </c>
      <c r="AR51" s="625">
        <v>1.1048689138576779</v>
      </c>
      <c r="AS51" s="625">
        <v>1.3999989458735553</v>
      </c>
    </row>
    <row r="52">
      <c r="B52" s="623">
        <v>700000</v>
      </c>
      <c r="C52" s="603" t="s">
        <v>77</v>
      </c>
      <c r="D52" s="0" t="s">
        <v>116</v>
      </c>
      <c r="E52" s="0" t="s">
        <v>73</v>
      </c>
      <c r="F52" s="625">
        <v>3.7013638039179888</v>
      </c>
      <c r="G52" s="625">
        <v>0.594148352857122</v>
      </c>
      <c r="H52" s="624">
        <v>5.8359150261303565</v>
      </c>
      <c r="I52" s="624">
        <v>16.809252559107549</v>
      </c>
      <c r="J52" s="626">
        <v>700</v>
      </c>
      <c r="K52" s="626">
        <v>964.9258523</v>
      </c>
      <c r="L52" s="626">
        <v>410.8433327</v>
      </c>
      <c r="M52" s="626">
        <v>1730.5295286</v>
      </c>
      <c r="N52" s="626">
        <v>205.4062</v>
      </c>
      <c r="O52" s="626">
        <v>546.6809707</v>
      </c>
      <c r="P52" s="626">
        <v>223.4842792</v>
      </c>
      <c r="Q52" s="626">
        <v>184.6413041</v>
      </c>
      <c r="R52" s="626">
        <v>1030.3744269</v>
      </c>
      <c r="S52" s="626">
        <v>888.4782476</v>
      </c>
      <c r="T52" s="626">
        <v>1023.3214468</v>
      </c>
      <c r="U52" s="626">
        <v>936.13245030000007</v>
      </c>
      <c r="V52" s="626">
        <v>1724.3606724</v>
      </c>
      <c r="W52" s="626">
        <v>1549.2629648</v>
      </c>
      <c r="X52" s="626">
        <v>1135.5685515</v>
      </c>
      <c r="Y52" s="626">
        <v>902.1049414</v>
      </c>
      <c r="Z52" s="626">
        <v>217.0475153</v>
      </c>
      <c r="AA52" s="626">
        <v>195.5320848</v>
      </c>
      <c r="AB52" s="626">
        <v>1053.0940131999998</v>
      </c>
      <c r="AC52" s="626">
        <v>891.792988</v>
      </c>
      <c r="AD52" s="626">
        <v>916.8842333</v>
      </c>
      <c r="AE52" s="626">
        <v>828.0916964</v>
      </c>
      <c r="AF52" s="626">
        <v>795.41131869999992</v>
      </c>
      <c r="AG52" s="626">
        <v>567.5741848</v>
      </c>
      <c r="AH52" s="625">
        <v>0.7254443420242731</v>
      </c>
      <c r="AI52" s="625">
        <v>0.23740902761911614</v>
      </c>
      <c r="AJ52" s="625">
        <v>0.37573321738330068</v>
      </c>
      <c r="AK52" s="625">
        <v>1.2103699127451424</v>
      </c>
      <c r="AL52" s="625">
        <v>1.159706981801552</v>
      </c>
      <c r="AM52" s="625">
        <v>1.0931374576356041</v>
      </c>
      <c r="AN52" s="625">
        <v>1.1130200047139238</v>
      </c>
      <c r="AO52" s="625">
        <v>1.2587987266249239</v>
      </c>
      <c r="AP52" s="625">
        <v>1.1100352941010683</v>
      </c>
      <c r="AQ52" s="625">
        <v>1.1808727220160202</v>
      </c>
      <c r="AR52" s="625">
        <v>1.1072254888209732</v>
      </c>
      <c r="AS52" s="625">
        <v>1.4014226510077712</v>
      </c>
    </row>
    <row r="53">
      <c r="B53" s="623">
        <v>700000</v>
      </c>
      <c r="C53" s="603" t="s">
        <v>78</v>
      </c>
      <c r="D53" s="0" t="s">
        <v>116</v>
      </c>
      <c r="E53" s="0" t="s">
        <v>73</v>
      </c>
      <c r="F53" s="625">
        <v>4.2565683745056866</v>
      </c>
      <c r="G53" s="625">
        <v>0.68327060578569021</v>
      </c>
      <c r="H53" s="624">
        <v>6.7113022800499094</v>
      </c>
      <c r="I53" s="624">
        <v>19.330640442973678</v>
      </c>
      <c r="J53" s="626">
        <v>840</v>
      </c>
      <c r="K53" s="626">
        <v>1157.9110227</v>
      </c>
      <c r="L53" s="626">
        <v>493.01199920000005</v>
      </c>
      <c r="M53" s="626">
        <v>2076.6354343000003</v>
      </c>
      <c r="N53" s="626">
        <v>246.48744</v>
      </c>
      <c r="O53" s="626">
        <v>656.0171648</v>
      </c>
      <c r="P53" s="626">
        <v>245.8327071</v>
      </c>
      <c r="Q53" s="626">
        <v>203.1054345</v>
      </c>
      <c r="R53" s="626">
        <v>1133.4118696</v>
      </c>
      <c r="S53" s="626">
        <v>977.3260723</v>
      </c>
      <c r="T53" s="626">
        <v>1125.6535914</v>
      </c>
      <c r="U53" s="626">
        <v>1029.7456954</v>
      </c>
      <c r="V53" s="626">
        <v>1896.7967397</v>
      </c>
      <c r="W53" s="626">
        <v>1704.1892613</v>
      </c>
      <c r="X53" s="626">
        <v>1249.1254067</v>
      </c>
      <c r="Y53" s="626">
        <v>992.3154356</v>
      </c>
      <c r="Z53" s="626">
        <v>238.7522668</v>
      </c>
      <c r="AA53" s="626">
        <v>215.0852933</v>
      </c>
      <c r="AB53" s="626">
        <v>1158.4034145</v>
      </c>
      <c r="AC53" s="626">
        <v>980.9722868</v>
      </c>
      <c r="AD53" s="626">
        <v>1008.5726566</v>
      </c>
      <c r="AE53" s="626">
        <v>910.90086600000006</v>
      </c>
      <c r="AF53" s="626">
        <v>874.9524505</v>
      </c>
      <c r="AG53" s="626">
        <v>624.3316033</v>
      </c>
      <c r="AH53" s="625">
        <v>0.7254443420242731</v>
      </c>
      <c r="AI53" s="625">
        <v>0.23740902761911614</v>
      </c>
      <c r="AJ53" s="625">
        <v>0.37573321738330068</v>
      </c>
      <c r="AK53" s="625">
        <v>1.2103699127451422</v>
      </c>
      <c r="AL53" s="625">
        <v>1.159706981801552</v>
      </c>
      <c r="AM53" s="625">
        <v>1.0931374576356041</v>
      </c>
      <c r="AN53" s="625">
        <v>1.1130200047139238</v>
      </c>
      <c r="AO53" s="625">
        <v>1.2587987266249241</v>
      </c>
      <c r="AP53" s="625">
        <v>1.1100352941010683</v>
      </c>
      <c r="AQ53" s="625">
        <v>1.1808727220160205</v>
      </c>
      <c r="AR53" s="625">
        <v>1.1072254888209732</v>
      </c>
      <c r="AS53" s="625">
        <v>1.401422651007771</v>
      </c>
    </row>
    <row r="54">
      <c r="B54" s="623">
        <v>700000</v>
      </c>
      <c r="C54" s="603" t="s">
        <v>79</v>
      </c>
      <c r="D54" s="0" t="s">
        <v>116</v>
      </c>
      <c r="E54" s="0" t="s">
        <v>73</v>
      </c>
      <c r="F54" s="625">
        <v>4.8117729450933853</v>
      </c>
      <c r="G54" s="625">
        <v>0.77239285871425856</v>
      </c>
      <c r="H54" s="624">
        <v>7.586689533969464</v>
      </c>
      <c r="I54" s="624">
        <v>21.852028326839815</v>
      </c>
      <c r="J54" s="626">
        <v>910</v>
      </c>
      <c r="K54" s="626">
        <v>1254.4036079</v>
      </c>
      <c r="L54" s="626">
        <v>534.0963325</v>
      </c>
      <c r="M54" s="626">
        <v>2249.6883872000003</v>
      </c>
      <c r="N54" s="626">
        <v>267.02806</v>
      </c>
      <c r="O54" s="626">
        <v>710.6852619</v>
      </c>
      <c r="P54" s="626">
        <v>268.181135</v>
      </c>
      <c r="Q54" s="626">
        <v>221.569565</v>
      </c>
      <c r="R54" s="626">
        <v>1236.4493123000002</v>
      </c>
      <c r="S54" s="626">
        <v>1066.1738971</v>
      </c>
      <c r="T54" s="626">
        <v>1227.9857361000002</v>
      </c>
      <c r="U54" s="626">
        <v>1123.3589404</v>
      </c>
      <c r="V54" s="626">
        <v>2069.2328069</v>
      </c>
      <c r="W54" s="626">
        <v>1859.1155578</v>
      </c>
      <c r="X54" s="626">
        <v>1362.6822617999999</v>
      </c>
      <c r="Y54" s="626">
        <v>1082.5259297</v>
      </c>
      <c r="Z54" s="626">
        <v>260.4570184</v>
      </c>
      <c r="AA54" s="626">
        <v>234.6385018</v>
      </c>
      <c r="AB54" s="626">
        <v>1263.7128158</v>
      </c>
      <c r="AC54" s="626">
        <v>1070.1515856</v>
      </c>
      <c r="AD54" s="626">
        <v>1100.26108</v>
      </c>
      <c r="AE54" s="626">
        <v>993.7100357</v>
      </c>
      <c r="AF54" s="626">
        <v>954.49358239999992</v>
      </c>
      <c r="AG54" s="626">
        <v>681.0890217</v>
      </c>
      <c r="AH54" s="625">
        <v>0.7254443420242731</v>
      </c>
      <c r="AI54" s="625">
        <v>0.23740902761911611</v>
      </c>
      <c r="AJ54" s="625">
        <v>0.37573321738330068</v>
      </c>
      <c r="AK54" s="625">
        <v>1.2103699127451424</v>
      </c>
      <c r="AL54" s="625">
        <v>1.1597069818015522</v>
      </c>
      <c r="AM54" s="625">
        <v>1.0931374576356041</v>
      </c>
      <c r="AN54" s="625">
        <v>1.1130200047139238</v>
      </c>
      <c r="AO54" s="625">
        <v>1.2587987266249237</v>
      </c>
      <c r="AP54" s="625">
        <v>1.1100352941010683</v>
      </c>
      <c r="AQ54" s="625">
        <v>1.1808727220160202</v>
      </c>
      <c r="AR54" s="625">
        <v>1.1072254888209732</v>
      </c>
      <c r="AS54" s="625">
        <v>1.401422651007771</v>
      </c>
    </row>
    <row r="55">
      <c r="B55" s="623">
        <v>800000</v>
      </c>
      <c r="C55" s="603" t="s">
        <v>77</v>
      </c>
      <c r="D55" s="0" t="s">
        <v>116</v>
      </c>
      <c r="E55" s="0" t="s">
        <v>73</v>
      </c>
      <c r="F55" s="625">
        <v>3.9175400408774621</v>
      </c>
      <c r="G55" s="625">
        <v>0.69334772050490934</v>
      </c>
      <c r="H55" s="624">
        <v>5.7072332966812258</v>
      </c>
      <c r="I55" s="624">
        <v>15.869438627701735</v>
      </c>
      <c r="J55" s="626">
        <v>800</v>
      </c>
      <c r="K55" s="626">
        <v>990.2855059</v>
      </c>
      <c r="L55" s="626">
        <v>447.709354</v>
      </c>
      <c r="M55" s="626">
        <v>1885.8817106000001</v>
      </c>
      <c r="N55" s="626">
        <v>205.4062</v>
      </c>
      <c r="O55" s="626">
        <v>548.7831273</v>
      </c>
      <c r="P55" s="626">
        <v>247.5494855</v>
      </c>
      <c r="Q55" s="626">
        <v>201.8802241</v>
      </c>
      <c r="R55" s="626">
        <v>1136.0799796</v>
      </c>
      <c r="S55" s="626">
        <v>922.81344880000006</v>
      </c>
      <c r="T55" s="626">
        <v>1178.6958737000002</v>
      </c>
      <c r="U55" s="626">
        <v>1061.9602649</v>
      </c>
      <c r="V55" s="626">
        <v>1866.9994906</v>
      </c>
      <c r="W55" s="626">
        <v>1669.0795721</v>
      </c>
      <c r="X55" s="626">
        <v>1365.6925115</v>
      </c>
      <c r="Y55" s="626">
        <v>1101.7992868</v>
      </c>
      <c r="Z55" s="626">
        <v>248.8320742</v>
      </c>
      <c r="AA55" s="626">
        <v>224.7469372</v>
      </c>
      <c r="AB55" s="626">
        <v>1209.4649881</v>
      </c>
      <c r="AC55" s="626">
        <v>1036.4736544</v>
      </c>
      <c r="AD55" s="626">
        <v>1019.4058839</v>
      </c>
      <c r="AE55" s="626">
        <v>915.2032603</v>
      </c>
      <c r="AF55" s="626">
        <v>893.2200604</v>
      </c>
      <c r="AG55" s="626">
        <v>635.5817243</v>
      </c>
      <c r="AH55" s="625">
        <v>0.80784783304140106</v>
      </c>
      <c r="AI55" s="625">
        <v>0.2374005493145871</v>
      </c>
      <c r="AJ55" s="625">
        <v>0.37429394199441829</v>
      </c>
      <c r="AK55" s="625">
        <v>1.226219589004925</v>
      </c>
      <c r="AL55" s="625">
        <v>1.2311047060452354</v>
      </c>
      <c r="AM55" s="625">
        <v>1.109924648426482</v>
      </c>
      <c r="AN55" s="625">
        <v>1.1185802772992044</v>
      </c>
      <c r="AO55" s="625">
        <v>1.2395111594428045</v>
      </c>
      <c r="AP55" s="625">
        <v>1.1071655846689408</v>
      </c>
      <c r="AQ55" s="625">
        <v>1.1669037442278833</v>
      </c>
      <c r="AR55" s="625">
        <v>1.1138573561237575</v>
      </c>
      <c r="AS55" s="625">
        <v>1.4053583139750967</v>
      </c>
    </row>
    <row r="56">
      <c r="B56" s="623">
        <v>800000</v>
      </c>
      <c r="C56" s="603" t="s">
        <v>78</v>
      </c>
      <c r="D56" s="0" t="s">
        <v>116</v>
      </c>
      <c r="E56" s="0" t="s">
        <v>73</v>
      </c>
      <c r="F56" s="625">
        <v>4.5051710470090809</v>
      </c>
      <c r="G56" s="625">
        <v>0.79734987858064565</v>
      </c>
      <c r="H56" s="624">
        <v>6.56331829118341</v>
      </c>
      <c r="I56" s="624">
        <v>18.249854421856995</v>
      </c>
      <c r="J56" s="626">
        <v>960</v>
      </c>
      <c r="K56" s="626">
        <v>1188.342607</v>
      </c>
      <c r="L56" s="626">
        <v>537.2512249</v>
      </c>
      <c r="M56" s="626">
        <v>2263.0580528</v>
      </c>
      <c r="N56" s="626">
        <v>246.48744</v>
      </c>
      <c r="O56" s="626">
        <v>658.5397527</v>
      </c>
      <c r="P56" s="626">
        <v>272.304434</v>
      </c>
      <c r="Q56" s="626">
        <v>222.0682466</v>
      </c>
      <c r="R56" s="626">
        <v>1249.6879776</v>
      </c>
      <c r="S56" s="626">
        <v>1015.0947937000001</v>
      </c>
      <c r="T56" s="626">
        <v>1296.565461</v>
      </c>
      <c r="U56" s="626">
        <v>1168.1562914</v>
      </c>
      <c r="V56" s="626">
        <v>2053.6994396</v>
      </c>
      <c r="W56" s="626">
        <v>1835.9875293</v>
      </c>
      <c r="X56" s="626">
        <v>1502.2617626</v>
      </c>
      <c r="Y56" s="626">
        <v>1211.9792155</v>
      </c>
      <c r="Z56" s="626">
        <v>273.71528159999997</v>
      </c>
      <c r="AA56" s="626">
        <v>247.221631</v>
      </c>
      <c r="AB56" s="626">
        <v>1330.4114869</v>
      </c>
      <c r="AC56" s="626">
        <v>1140.1210199</v>
      </c>
      <c r="AD56" s="626">
        <v>1121.3464721999999</v>
      </c>
      <c r="AE56" s="626">
        <v>1006.7235863</v>
      </c>
      <c r="AF56" s="626">
        <v>982.54206640000007</v>
      </c>
      <c r="AG56" s="626">
        <v>699.1398967</v>
      </c>
      <c r="AH56" s="625">
        <v>0.80784783304140118</v>
      </c>
      <c r="AI56" s="625">
        <v>0.23740054931458715</v>
      </c>
      <c r="AJ56" s="625">
        <v>0.37429394199441829</v>
      </c>
      <c r="AK56" s="625">
        <v>1.226219589004925</v>
      </c>
      <c r="AL56" s="625">
        <v>1.2311047060452356</v>
      </c>
      <c r="AM56" s="625">
        <v>1.1099246484264818</v>
      </c>
      <c r="AN56" s="625">
        <v>1.1185802772992042</v>
      </c>
      <c r="AO56" s="625">
        <v>1.2395111594428045</v>
      </c>
      <c r="AP56" s="625">
        <v>1.107165584668941</v>
      </c>
      <c r="AQ56" s="625">
        <v>1.1669037442278833</v>
      </c>
      <c r="AR56" s="625">
        <v>1.1138573561237575</v>
      </c>
      <c r="AS56" s="625">
        <v>1.4053583139750967</v>
      </c>
    </row>
    <row r="57">
      <c r="B57" s="623">
        <v>800000</v>
      </c>
      <c r="C57" s="603" t="s">
        <v>79</v>
      </c>
      <c r="D57" s="0" t="s">
        <v>116</v>
      </c>
      <c r="E57" s="0" t="s">
        <v>73</v>
      </c>
      <c r="F57" s="625">
        <v>5.0928020531407006</v>
      </c>
      <c r="G57" s="625">
        <v>0.90135203665638219</v>
      </c>
      <c r="H57" s="624">
        <v>7.4194032856855934</v>
      </c>
      <c r="I57" s="624">
        <v>20.630270216012256</v>
      </c>
      <c r="J57" s="626">
        <v>1040</v>
      </c>
      <c r="K57" s="626">
        <v>1287.3711576</v>
      </c>
      <c r="L57" s="626">
        <v>582.0221603</v>
      </c>
      <c r="M57" s="626">
        <v>2451.6462238</v>
      </c>
      <c r="N57" s="626">
        <v>267.02806</v>
      </c>
      <c r="O57" s="626">
        <v>713.41806539999993</v>
      </c>
      <c r="P57" s="626">
        <v>297.0593826</v>
      </c>
      <c r="Q57" s="626">
        <v>242.256269</v>
      </c>
      <c r="R57" s="626">
        <v>1363.2959755</v>
      </c>
      <c r="S57" s="626">
        <v>1107.3761385999999</v>
      </c>
      <c r="T57" s="626">
        <v>1414.4350484</v>
      </c>
      <c r="U57" s="626">
        <v>1274.3523179</v>
      </c>
      <c r="V57" s="626">
        <v>2240.3993887</v>
      </c>
      <c r="W57" s="626">
        <v>2002.8954865</v>
      </c>
      <c r="X57" s="626">
        <v>1638.8310138000002</v>
      </c>
      <c r="Y57" s="626">
        <v>1322.1591442</v>
      </c>
      <c r="Z57" s="626">
        <v>298.59848900000003</v>
      </c>
      <c r="AA57" s="626">
        <v>269.6963247</v>
      </c>
      <c r="AB57" s="626">
        <v>1451.3579857999998</v>
      </c>
      <c r="AC57" s="626">
        <v>1243.7683852999999</v>
      </c>
      <c r="AD57" s="626">
        <v>1223.2870606</v>
      </c>
      <c r="AE57" s="626">
        <v>1098.2439124</v>
      </c>
      <c r="AF57" s="626">
        <v>1071.8640725</v>
      </c>
      <c r="AG57" s="626">
        <v>762.6980691</v>
      </c>
      <c r="AH57" s="625">
        <v>0.80784783304140106</v>
      </c>
      <c r="AI57" s="625">
        <v>0.2374005493145871</v>
      </c>
      <c r="AJ57" s="625">
        <v>0.37429394199441834</v>
      </c>
      <c r="AK57" s="625">
        <v>1.226219589004925</v>
      </c>
      <c r="AL57" s="625">
        <v>1.2311047060452354</v>
      </c>
      <c r="AM57" s="625">
        <v>1.109924648426482</v>
      </c>
      <c r="AN57" s="625">
        <v>1.1185802772992044</v>
      </c>
      <c r="AO57" s="625">
        <v>1.2395111594428045</v>
      </c>
      <c r="AP57" s="625">
        <v>1.1071655846689408</v>
      </c>
      <c r="AQ57" s="625">
        <v>1.1669037442278833</v>
      </c>
      <c r="AR57" s="625">
        <v>1.1138573561237575</v>
      </c>
      <c r="AS57" s="625">
        <v>1.4053583139750967</v>
      </c>
    </row>
    <row r="58">
      <c r="B58" s="623">
        <v>957039</v>
      </c>
      <c r="C58" s="603" t="s">
        <v>77</v>
      </c>
      <c r="D58" s="0" t="s">
        <v>116</v>
      </c>
      <c r="E58" s="0" t="s">
        <v>73</v>
      </c>
      <c r="F58" s="625">
        <v>4.1995717483318735</v>
      </c>
      <c r="G58" s="625">
        <v>0.84912941546531828</v>
      </c>
      <c r="H58" s="624">
        <v>5.5554363077035873</v>
      </c>
      <c r="I58" s="624">
        <v>14.739143348447264</v>
      </c>
      <c r="J58" s="626">
        <v>957.039</v>
      </c>
      <c r="K58" s="626">
        <v>1030.1100523</v>
      </c>
      <c r="L58" s="626">
        <v>505.60338540000004</v>
      </c>
      <c r="M58" s="626">
        <v>2129.8452238</v>
      </c>
      <c r="N58" s="626">
        <v>205.4062</v>
      </c>
      <c r="O58" s="626">
        <v>552.0843329</v>
      </c>
      <c r="P58" s="626">
        <v>285.34124479999997</v>
      </c>
      <c r="Q58" s="626">
        <v>228.9520518</v>
      </c>
      <c r="R58" s="626">
        <v>1302.0789226</v>
      </c>
      <c r="S58" s="626">
        <v>976.7331055</v>
      </c>
      <c r="T58" s="626">
        <v>1422.6943199</v>
      </c>
      <c r="U58" s="626">
        <v>1259.5590066</v>
      </c>
      <c r="V58" s="626">
        <v>2090.9980642</v>
      </c>
      <c r="W58" s="626">
        <v>1857.2383739</v>
      </c>
      <c r="X58" s="626">
        <v>1727.0768769000001</v>
      </c>
      <c r="Y58" s="626">
        <v>1415.3972899</v>
      </c>
      <c r="Z58" s="626">
        <v>298.7462276</v>
      </c>
      <c r="AA58" s="626">
        <v>270.62564929999996</v>
      </c>
      <c r="AB58" s="626">
        <v>1455.0284034</v>
      </c>
      <c r="AC58" s="626">
        <v>1263.6787262</v>
      </c>
      <c r="AD58" s="626">
        <v>1180.4048586</v>
      </c>
      <c r="AE58" s="626">
        <v>1052.0023892000002</v>
      </c>
      <c r="AF58" s="626">
        <v>1046.8179303</v>
      </c>
      <c r="AG58" s="626">
        <v>742.3800842</v>
      </c>
      <c r="AH58" s="625">
        <v>0.92906481001578445</v>
      </c>
      <c r="AI58" s="625">
        <v>0.2373897313014941</v>
      </c>
      <c r="AJ58" s="625">
        <v>0.37205583958758104</v>
      </c>
      <c r="AK58" s="625">
        <v>1.2462925867620147</v>
      </c>
      <c r="AL58" s="625">
        <v>1.333095924875491</v>
      </c>
      <c r="AM58" s="625">
        <v>1.1295178014195777</v>
      </c>
      <c r="AN58" s="625">
        <v>1.1258641289954212</v>
      </c>
      <c r="AO58" s="625">
        <v>1.2202064319742678</v>
      </c>
      <c r="AP58" s="625">
        <v>1.1039095087565889</v>
      </c>
      <c r="AQ58" s="625">
        <v>1.1514227258270724</v>
      </c>
      <c r="AR58" s="625">
        <v>1.1220553021102531</v>
      </c>
      <c r="AS58" s="625">
        <v>1.4100835308129294</v>
      </c>
    </row>
    <row r="59">
      <c r="B59" s="623">
        <v>957039</v>
      </c>
      <c r="C59" s="603" t="s">
        <v>78</v>
      </c>
      <c r="D59" s="0" t="s">
        <v>116</v>
      </c>
      <c r="E59" s="0" t="s">
        <v>73</v>
      </c>
      <c r="F59" s="625">
        <v>4.8295075105816538</v>
      </c>
      <c r="G59" s="625">
        <v>0.976498827785116</v>
      </c>
      <c r="H59" s="624">
        <v>6.3887517538591245</v>
      </c>
      <c r="I59" s="624">
        <v>16.950014850714354</v>
      </c>
      <c r="J59" s="626">
        <v>1148.4468</v>
      </c>
      <c r="K59" s="626">
        <v>1236.1320627</v>
      </c>
      <c r="L59" s="626">
        <v>606.7240625</v>
      </c>
      <c r="M59" s="626">
        <v>2555.8142686</v>
      </c>
      <c r="N59" s="626">
        <v>246.48744</v>
      </c>
      <c r="O59" s="626">
        <v>662.5011995</v>
      </c>
      <c r="P59" s="626">
        <v>313.87536930000005</v>
      </c>
      <c r="Q59" s="626">
        <v>251.84725690000002</v>
      </c>
      <c r="R59" s="626">
        <v>1432.2868148</v>
      </c>
      <c r="S59" s="626">
        <v>1074.406416</v>
      </c>
      <c r="T59" s="626">
        <v>1564.9637519</v>
      </c>
      <c r="U59" s="626">
        <v>1385.5149073</v>
      </c>
      <c r="V59" s="626">
        <v>2300.0978706</v>
      </c>
      <c r="W59" s="626">
        <v>2042.9622113</v>
      </c>
      <c r="X59" s="626">
        <v>1899.7845645999998</v>
      </c>
      <c r="Y59" s="626">
        <v>1556.9370188</v>
      </c>
      <c r="Z59" s="626">
        <v>328.6208503</v>
      </c>
      <c r="AA59" s="626">
        <v>297.6882142</v>
      </c>
      <c r="AB59" s="626">
        <v>1600.5312438</v>
      </c>
      <c r="AC59" s="626">
        <v>1390.0465988</v>
      </c>
      <c r="AD59" s="626">
        <v>1298.4453445</v>
      </c>
      <c r="AE59" s="626">
        <v>1157.2026281</v>
      </c>
      <c r="AF59" s="626">
        <v>1151.4997233</v>
      </c>
      <c r="AG59" s="626">
        <v>816.6180926</v>
      </c>
      <c r="AH59" s="625">
        <v>0.92906481001578445</v>
      </c>
      <c r="AI59" s="625">
        <v>0.2373897313014941</v>
      </c>
      <c r="AJ59" s="625">
        <v>0.37205583958758104</v>
      </c>
      <c r="AK59" s="625">
        <v>1.2462925867620147</v>
      </c>
      <c r="AL59" s="625">
        <v>1.333095924875491</v>
      </c>
      <c r="AM59" s="625">
        <v>1.1295178014195777</v>
      </c>
      <c r="AN59" s="625">
        <v>1.1258641289954212</v>
      </c>
      <c r="AO59" s="625">
        <v>1.2202064319742678</v>
      </c>
      <c r="AP59" s="625">
        <v>1.1039095087565887</v>
      </c>
      <c r="AQ59" s="625">
        <v>1.1514227258270724</v>
      </c>
      <c r="AR59" s="625">
        <v>1.1220553021102531</v>
      </c>
      <c r="AS59" s="625">
        <v>1.4100835308129291</v>
      </c>
    </row>
    <row r="60">
      <c r="B60" s="623">
        <v>957039</v>
      </c>
      <c r="C60" s="603" t="s">
        <v>79</v>
      </c>
      <c r="D60" s="0" t="s">
        <v>116</v>
      </c>
      <c r="E60" s="0" t="s">
        <v>73</v>
      </c>
      <c r="F60" s="625">
        <v>5.4594432728314359</v>
      </c>
      <c r="G60" s="625">
        <v>1.1038682401049138</v>
      </c>
      <c r="H60" s="624">
        <v>7.2220672000146635</v>
      </c>
      <c r="I60" s="624">
        <v>19.160886352981443</v>
      </c>
      <c r="J60" s="626">
        <v>1244.1507</v>
      </c>
      <c r="K60" s="626">
        <v>1339.1430679</v>
      </c>
      <c r="L60" s="626">
        <v>657.284401</v>
      </c>
      <c r="M60" s="626">
        <v>2768.7987909</v>
      </c>
      <c r="N60" s="626">
        <v>267.02806</v>
      </c>
      <c r="O60" s="626">
        <v>717.7096328</v>
      </c>
      <c r="P60" s="626">
        <v>342.4094938</v>
      </c>
      <c r="Q60" s="626">
        <v>274.7424621</v>
      </c>
      <c r="R60" s="626">
        <v>1562.4947071</v>
      </c>
      <c r="S60" s="626">
        <v>1172.0797265</v>
      </c>
      <c r="T60" s="626">
        <v>1707.2331839</v>
      </c>
      <c r="U60" s="626">
        <v>1511.4708079</v>
      </c>
      <c r="V60" s="626">
        <v>2509.197677</v>
      </c>
      <c r="W60" s="626">
        <v>2228.6860487000004</v>
      </c>
      <c r="X60" s="626">
        <v>2072.4922523</v>
      </c>
      <c r="Y60" s="626">
        <v>1698.4767478</v>
      </c>
      <c r="Z60" s="626">
        <v>358.4954731</v>
      </c>
      <c r="AA60" s="626">
        <v>324.7507791</v>
      </c>
      <c r="AB60" s="626">
        <v>1746.0340841000002</v>
      </c>
      <c r="AC60" s="626">
        <v>1516.4144714</v>
      </c>
      <c r="AD60" s="626">
        <v>1416.4858304000002</v>
      </c>
      <c r="AE60" s="626">
        <v>1262.402867</v>
      </c>
      <c r="AF60" s="626">
        <v>1256.1815164000002</v>
      </c>
      <c r="AG60" s="626">
        <v>890.85610100000008</v>
      </c>
      <c r="AH60" s="625">
        <v>0.92906481001578434</v>
      </c>
      <c r="AI60" s="625">
        <v>0.2373897313014941</v>
      </c>
      <c r="AJ60" s="625">
        <v>0.37205583958758104</v>
      </c>
      <c r="AK60" s="625">
        <v>1.2462925867620149</v>
      </c>
      <c r="AL60" s="625">
        <v>1.3330959248754912</v>
      </c>
      <c r="AM60" s="625">
        <v>1.1295178014195777</v>
      </c>
      <c r="AN60" s="625">
        <v>1.125864128995421</v>
      </c>
      <c r="AO60" s="625">
        <v>1.2202064319742678</v>
      </c>
      <c r="AP60" s="625">
        <v>1.1039095087565889</v>
      </c>
      <c r="AQ60" s="625">
        <v>1.1514227258270724</v>
      </c>
      <c r="AR60" s="625">
        <v>1.1220553021102528</v>
      </c>
      <c r="AS60" s="625">
        <v>1.4100835308129291</v>
      </c>
    </row>
    <row r="61">
      <c r="B61" s="623">
        <v>1000000</v>
      </c>
      <c r="C61" s="603" t="s">
        <v>77</v>
      </c>
      <c r="D61" s="0" t="s">
        <v>116</v>
      </c>
      <c r="E61" s="0" t="s">
        <v>73</v>
      </c>
      <c r="F61" s="625">
        <v>4.266846993478671</v>
      </c>
      <c r="G61" s="625">
        <v>0.89174645580048417</v>
      </c>
      <c r="H61" s="624">
        <v>5.5216284452910234</v>
      </c>
      <c r="I61" s="624">
        <v>14.484144128355357</v>
      </c>
      <c r="J61" s="626">
        <v>1000</v>
      </c>
      <c r="K61" s="626">
        <v>1041.004813</v>
      </c>
      <c r="L61" s="626">
        <v>521.4413968</v>
      </c>
      <c r="M61" s="626">
        <v>2196.5860747</v>
      </c>
      <c r="N61" s="626">
        <v>205.4062</v>
      </c>
      <c r="O61" s="626">
        <v>552.9874404</v>
      </c>
      <c r="P61" s="626">
        <v>295.6798981</v>
      </c>
      <c r="Q61" s="626">
        <v>236.3580642</v>
      </c>
      <c r="R61" s="626">
        <v>1347.4910851</v>
      </c>
      <c r="S61" s="626">
        <v>991.4838512</v>
      </c>
      <c r="T61" s="626">
        <v>1489.4447275</v>
      </c>
      <c r="U61" s="626">
        <v>1313.615894</v>
      </c>
      <c r="V61" s="626">
        <v>2152.2771268</v>
      </c>
      <c r="W61" s="626">
        <v>1908.7127866</v>
      </c>
      <c r="X61" s="626">
        <v>1825.9404313</v>
      </c>
      <c r="Y61" s="626">
        <v>1501.1879776</v>
      </c>
      <c r="Z61" s="626">
        <v>312.40119189999996</v>
      </c>
      <c r="AA61" s="626">
        <v>283.176642</v>
      </c>
      <c r="AB61" s="626">
        <v>1522.206938</v>
      </c>
      <c r="AC61" s="626">
        <v>1325.8349873</v>
      </c>
      <c r="AD61" s="626">
        <v>1224.4491849</v>
      </c>
      <c r="AE61" s="626">
        <v>1089.4263882</v>
      </c>
      <c r="AF61" s="626">
        <v>1088.8375438</v>
      </c>
      <c r="AG61" s="626">
        <v>771.5968032</v>
      </c>
      <c r="AH61" s="625">
        <v>0.96061035210637591</v>
      </c>
      <c r="AI61" s="625">
        <v>0.23738719044237258</v>
      </c>
      <c r="AJ61" s="625">
        <v>0.37144821925559873</v>
      </c>
      <c r="AK61" s="625">
        <v>1.2509829065134435</v>
      </c>
      <c r="AL61" s="625">
        <v>1.3590650855055595</v>
      </c>
      <c r="AM61" s="625">
        <v>1.1338510246534204</v>
      </c>
      <c r="AN61" s="625">
        <v>1.1276065954037831</v>
      </c>
      <c r="AO61" s="625">
        <v>1.2163303054489247</v>
      </c>
      <c r="AP61" s="625">
        <v>1.10320254404423</v>
      </c>
      <c r="AQ61" s="625">
        <v>1.1481119088025609</v>
      </c>
      <c r="AR61" s="625">
        <v>1.1239393484539013</v>
      </c>
      <c r="AS61" s="625">
        <v>1.4111483345944735</v>
      </c>
    </row>
    <row r="62">
      <c r="B62" s="623">
        <v>1000000</v>
      </c>
      <c r="C62" s="603" t="s">
        <v>78</v>
      </c>
      <c r="D62" s="0" t="s">
        <v>116</v>
      </c>
      <c r="E62" s="0" t="s">
        <v>73</v>
      </c>
      <c r="F62" s="625">
        <v>4.9068740425004709</v>
      </c>
      <c r="G62" s="625">
        <v>1.0255084241705568</v>
      </c>
      <c r="H62" s="624">
        <v>6.3498727120846761</v>
      </c>
      <c r="I62" s="624">
        <v>16.656765747608659</v>
      </c>
      <c r="J62" s="626">
        <v>1200</v>
      </c>
      <c r="K62" s="626">
        <v>1249.2057756000002</v>
      </c>
      <c r="L62" s="626">
        <v>625.7296762</v>
      </c>
      <c r="M62" s="626">
        <v>2635.9032897</v>
      </c>
      <c r="N62" s="626">
        <v>246.48744</v>
      </c>
      <c r="O62" s="626">
        <v>663.5849285</v>
      </c>
      <c r="P62" s="626">
        <v>325.24788789999997</v>
      </c>
      <c r="Q62" s="626">
        <v>259.9938706</v>
      </c>
      <c r="R62" s="626">
        <v>1482.2401936</v>
      </c>
      <c r="S62" s="626">
        <v>1090.6322364</v>
      </c>
      <c r="T62" s="626">
        <v>1638.3892002</v>
      </c>
      <c r="U62" s="626">
        <v>1444.9774834</v>
      </c>
      <c r="V62" s="626">
        <v>2367.5048395</v>
      </c>
      <c r="W62" s="626">
        <v>2099.5840652</v>
      </c>
      <c r="X62" s="626">
        <v>2008.5344744</v>
      </c>
      <c r="Y62" s="626">
        <v>1651.3067753</v>
      </c>
      <c r="Z62" s="626">
        <v>343.6413111</v>
      </c>
      <c r="AA62" s="626">
        <v>311.4943062</v>
      </c>
      <c r="AB62" s="626">
        <v>1674.4276318000002</v>
      </c>
      <c r="AC62" s="626">
        <v>1458.418486</v>
      </c>
      <c r="AD62" s="626">
        <v>1346.8941034</v>
      </c>
      <c r="AE62" s="626">
        <v>1198.369027</v>
      </c>
      <c r="AF62" s="626">
        <v>1197.7212982</v>
      </c>
      <c r="AG62" s="626">
        <v>848.7564835</v>
      </c>
      <c r="AH62" s="625">
        <v>0.960610352106376</v>
      </c>
      <c r="AI62" s="625">
        <v>0.23738719044237255</v>
      </c>
      <c r="AJ62" s="625">
        <v>0.37144821925559868</v>
      </c>
      <c r="AK62" s="625">
        <v>1.2509829065134432</v>
      </c>
      <c r="AL62" s="625">
        <v>1.3590650855055595</v>
      </c>
      <c r="AM62" s="625">
        <v>1.1338510246534201</v>
      </c>
      <c r="AN62" s="625">
        <v>1.1276065954037833</v>
      </c>
      <c r="AO62" s="625">
        <v>1.216330305448925</v>
      </c>
      <c r="AP62" s="625">
        <v>1.10320254404423</v>
      </c>
      <c r="AQ62" s="625">
        <v>1.1481119088025609</v>
      </c>
      <c r="AR62" s="625">
        <v>1.1239393484539011</v>
      </c>
      <c r="AS62" s="625">
        <v>1.4111483345944735</v>
      </c>
    </row>
    <row r="63">
      <c r="B63" s="623">
        <v>1000000</v>
      </c>
      <c r="C63" s="603" t="s">
        <v>79</v>
      </c>
      <c r="D63" s="0" t="s">
        <v>116</v>
      </c>
      <c r="E63" s="0" t="s">
        <v>73</v>
      </c>
      <c r="F63" s="625">
        <v>5.5469010915222725</v>
      </c>
      <c r="G63" s="625">
        <v>1.1592703925406294</v>
      </c>
      <c r="H63" s="624">
        <v>7.1781169788783306</v>
      </c>
      <c r="I63" s="624">
        <v>18.829387366861965</v>
      </c>
      <c r="J63" s="626">
        <v>1300</v>
      </c>
      <c r="K63" s="626">
        <v>1353.306257</v>
      </c>
      <c r="L63" s="626">
        <v>677.87381590000007</v>
      </c>
      <c r="M63" s="626">
        <v>2855.5618971000004</v>
      </c>
      <c r="N63" s="626">
        <v>267.02806</v>
      </c>
      <c r="O63" s="626">
        <v>718.8836725</v>
      </c>
      <c r="P63" s="626">
        <v>354.8158777</v>
      </c>
      <c r="Q63" s="626">
        <v>283.629677</v>
      </c>
      <c r="R63" s="626">
        <v>1616.9893021</v>
      </c>
      <c r="S63" s="626">
        <v>1189.7806214999998</v>
      </c>
      <c r="T63" s="626">
        <v>1787.3336728999998</v>
      </c>
      <c r="U63" s="626">
        <v>1576.3390728</v>
      </c>
      <c r="V63" s="626">
        <v>2582.7325521999996</v>
      </c>
      <c r="W63" s="626">
        <v>2290.4553439</v>
      </c>
      <c r="X63" s="626">
        <v>2191.1285176</v>
      </c>
      <c r="Y63" s="626">
        <v>1801.4255730999998</v>
      </c>
      <c r="Z63" s="626">
        <v>374.88143030000003</v>
      </c>
      <c r="AA63" s="626">
        <v>339.8119704</v>
      </c>
      <c r="AB63" s="626">
        <v>1826.6483256000001</v>
      </c>
      <c r="AC63" s="626">
        <v>1591.0019846999999</v>
      </c>
      <c r="AD63" s="626">
        <v>1469.3390219</v>
      </c>
      <c r="AE63" s="626">
        <v>1307.3116658000001</v>
      </c>
      <c r="AF63" s="626">
        <v>1306.6050526000001</v>
      </c>
      <c r="AG63" s="626">
        <v>925.9161639</v>
      </c>
      <c r="AH63" s="625">
        <v>0.9606103521063758</v>
      </c>
      <c r="AI63" s="625">
        <v>0.23738719044237255</v>
      </c>
      <c r="AJ63" s="625">
        <v>0.37144821925559868</v>
      </c>
      <c r="AK63" s="625">
        <v>1.2509829065134435</v>
      </c>
      <c r="AL63" s="625">
        <v>1.3590650855055595</v>
      </c>
      <c r="AM63" s="625">
        <v>1.1338510246534201</v>
      </c>
      <c r="AN63" s="625">
        <v>1.1276065954037831</v>
      </c>
      <c r="AO63" s="625">
        <v>1.2163303054489247</v>
      </c>
      <c r="AP63" s="625">
        <v>1.1032025440442297</v>
      </c>
      <c r="AQ63" s="625">
        <v>1.1481119088025609</v>
      </c>
      <c r="AR63" s="625">
        <v>1.1239393484539013</v>
      </c>
      <c r="AS63" s="625">
        <v>1.4111483345944735</v>
      </c>
    </row>
    <row r="64">
      <c r="B64" s="623">
        <v>1101400</v>
      </c>
      <c r="C64" s="603" t="s">
        <v>77</v>
      </c>
      <c r="D64" s="0" t="s">
        <v>116</v>
      </c>
      <c r="E64" s="0" t="s">
        <v>73</v>
      </c>
      <c r="F64" s="625">
        <v>4.411853568227504</v>
      </c>
      <c r="G64" s="625">
        <v>0.99233461459534067</v>
      </c>
      <c r="H64" s="624">
        <v>5.4516165788577915</v>
      </c>
      <c r="I64" s="624">
        <v>13.952225536127463</v>
      </c>
      <c r="J64" s="626">
        <v>1101.4</v>
      </c>
      <c r="K64" s="626">
        <v>1066.7195018</v>
      </c>
      <c r="L64" s="626">
        <v>558.8235425</v>
      </c>
      <c r="M64" s="626">
        <v>2354.1131873</v>
      </c>
      <c r="N64" s="626">
        <v>205.4062</v>
      </c>
      <c r="O64" s="626">
        <v>555.11902709999993</v>
      </c>
      <c r="P64" s="626">
        <v>320.0820173</v>
      </c>
      <c r="Q64" s="626">
        <v>253.8383291</v>
      </c>
      <c r="R64" s="626">
        <v>1454.6765155</v>
      </c>
      <c r="S64" s="626">
        <v>1026.2997453</v>
      </c>
      <c r="T64" s="626">
        <v>1646.9943962999998</v>
      </c>
      <c r="U64" s="626">
        <v>1441.2052979999999</v>
      </c>
      <c r="V64" s="626">
        <v>2296.9128884</v>
      </c>
      <c r="W64" s="626">
        <v>2030.2068263</v>
      </c>
      <c r="X64" s="626">
        <v>2059.2861267</v>
      </c>
      <c r="Y64" s="626">
        <v>1703.6780438</v>
      </c>
      <c r="Z64" s="626">
        <v>344.63073460000004</v>
      </c>
      <c r="AA64" s="626">
        <v>312.80050239999997</v>
      </c>
      <c r="AB64" s="626">
        <v>1680.7671066</v>
      </c>
      <c r="AC64" s="626">
        <v>1472.541183</v>
      </c>
      <c r="AD64" s="626">
        <v>1328.4061385999999</v>
      </c>
      <c r="AE64" s="626">
        <v>1177.757514</v>
      </c>
      <c r="AF64" s="626">
        <v>1188.0156078999999</v>
      </c>
      <c r="AG64" s="626">
        <v>840.5564483</v>
      </c>
      <c r="AH64" s="625">
        <v>1.0325113566959707</v>
      </c>
      <c r="AI64" s="625">
        <v>0.23738176462885158</v>
      </c>
      <c r="AJ64" s="625">
        <v>0.37002190513985461</v>
      </c>
      <c r="AK64" s="625">
        <v>1.2609680282338225</v>
      </c>
      <c r="AL64" s="625">
        <v>1.4173992756175537</v>
      </c>
      <c r="AM64" s="625">
        <v>1.1427895793906584</v>
      </c>
      <c r="AN64" s="625">
        <v>1.1313689121209567</v>
      </c>
      <c r="AO64" s="625">
        <v>1.208729627148917</v>
      </c>
      <c r="AP64" s="625">
        <v>1.1017588910239302</v>
      </c>
      <c r="AQ64" s="625">
        <v>1.141405840423295</v>
      </c>
      <c r="AR64" s="625">
        <v>1.1279114102540813</v>
      </c>
      <c r="AS64" s="625">
        <v>1.4133680259278503</v>
      </c>
    </row>
    <row r="65">
      <c r="B65" s="623">
        <v>1101400</v>
      </c>
      <c r="C65" s="603" t="s">
        <v>78</v>
      </c>
      <c r="D65" s="0" t="s">
        <v>116</v>
      </c>
      <c r="E65" s="0" t="s">
        <v>73</v>
      </c>
      <c r="F65" s="625">
        <v>5.0736316034616289</v>
      </c>
      <c r="G65" s="625">
        <v>1.1411848067846417</v>
      </c>
      <c r="H65" s="624">
        <v>6.2693590656864595</v>
      </c>
      <c r="I65" s="624">
        <v>16.045059366546582</v>
      </c>
      <c r="J65" s="626">
        <v>1321.68</v>
      </c>
      <c r="K65" s="626">
        <v>1280.0634021</v>
      </c>
      <c r="L65" s="626">
        <v>670.588251</v>
      </c>
      <c r="M65" s="626">
        <v>2824.9358248</v>
      </c>
      <c r="N65" s="626">
        <v>246.48744</v>
      </c>
      <c r="O65" s="626">
        <v>666.1428326</v>
      </c>
      <c r="P65" s="626">
        <v>352.0902191</v>
      </c>
      <c r="Q65" s="626">
        <v>279.222162</v>
      </c>
      <c r="R65" s="626">
        <v>1600.1441671</v>
      </c>
      <c r="S65" s="626">
        <v>1128.9297198000002</v>
      </c>
      <c r="T65" s="626">
        <v>1811.693836</v>
      </c>
      <c r="U65" s="626">
        <v>1585.3258278</v>
      </c>
      <c r="V65" s="626">
        <v>2526.6041773</v>
      </c>
      <c r="W65" s="626">
        <v>2233.2275089</v>
      </c>
      <c r="X65" s="626">
        <v>2265.2147393</v>
      </c>
      <c r="Y65" s="626">
        <v>1874.0458482</v>
      </c>
      <c r="Z65" s="626">
        <v>379.093808</v>
      </c>
      <c r="AA65" s="626">
        <v>344.0805526</v>
      </c>
      <c r="AB65" s="626">
        <v>1848.8438171999999</v>
      </c>
      <c r="AC65" s="626">
        <v>1619.7953013</v>
      </c>
      <c r="AD65" s="626">
        <v>1461.2467524</v>
      </c>
      <c r="AE65" s="626">
        <v>1295.5332654</v>
      </c>
      <c r="AF65" s="626">
        <v>1306.8171687000001</v>
      </c>
      <c r="AG65" s="626">
        <v>924.6120931</v>
      </c>
      <c r="AH65" s="625">
        <v>1.0325113566959707</v>
      </c>
      <c r="AI65" s="625">
        <v>0.23738176462885158</v>
      </c>
      <c r="AJ65" s="625">
        <v>0.37002190513985461</v>
      </c>
      <c r="AK65" s="625">
        <v>1.2609680282338225</v>
      </c>
      <c r="AL65" s="625">
        <v>1.4173992756175535</v>
      </c>
      <c r="AM65" s="625">
        <v>1.1427895793906584</v>
      </c>
      <c r="AN65" s="625">
        <v>1.1313689121209569</v>
      </c>
      <c r="AO65" s="625">
        <v>1.208729627148917</v>
      </c>
      <c r="AP65" s="625">
        <v>1.10175889102393</v>
      </c>
      <c r="AQ65" s="625">
        <v>1.141405840423295</v>
      </c>
      <c r="AR65" s="625">
        <v>1.127911410254081</v>
      </c>
      <c r="AS65" s="625">
        <v>1.4133680259278503</v>
      </c>
    </row>
    <row r="66">
      <c r="B66" s="623">
        <v>1101400</v>
      </c>
      <c r="C66" s="603" t="s">
        <v>79</v>
      </c>
      <c r="D66" s="0" t="s">
        <v>116</v>
      </c>
      <c r="E66" s="0" t="s">
        <v>73</v>
      </c>
      <c r="F66" s="625">
        <v>5.7354096386957556</v>
      </c>
      <c r="G66" s="625">
        <v>1.2900349989739428</v>
      </c>
      <c r="H66" s="624">
        <v>7.0871015525151293</v>
      </c>
      <c r="I66" s="624">
        <v>18.137893196965702</v>
      </c>
      <c r="J66" s="626">
        <v>1431.82</v>
      </c>
      <c r="K66" s="626">
        <v>1386.7353523</v>
      </c>
      <c r="L66" s="626">
        <v>726.4706053000001</v>
      </c>
      <c r="M66" s="626">
        <v>3060.3471434999997</v>
      </c>
      <c r="N66" s="626">
        <v>267.02806</v>
      </c>
      <c r="O66" s="626">
        <v>721.6547353</v>
      </c>
      <c r="P66" s="626">
        <v>384.09842080000004</v>
      </c>
      <c r="Q66" s="626">
        <v>304.6059949</v>
      </c>
      <c r="R66" s="626">
        <v>1745.6118186</v>
      </c>
      <c r="S66" s="626">
        <v>1231.5596943</v>
      </c>
      <c r="T66" s="626">
        <v>1976.3932756000002</v>
      </c>
      <c r="U66" s="626">
        <v>1729.4463576</v>
      </c>
      <c r="V66" s="626">
        <v>2756.2954661</v>
      </c>
      <c r="W66" s="626">
        <v>2436.2481915000003</v>
      </c>
      <c r="X66" s="626">
        <v>2471.143352</v>
      </c>
      <c r="Y66" s="626">
        <v>2044.4136526</v>
      </c>
      <c r="Z66" s="626">
        <v>413.55688150000003</v>
      </c>
      <c r="AA66" s="626">
        <v>375.3606028</v>
      </c>
      <c r="AB66" s="626">
        <v>2016.9205279</v>
      </c>
      <c r="AC66" s="626">
        <v>1767.0494196</v>
      </c>
      <c r="AD66" s="626">
        <v>1594.0873663000002</v>
      </c>
      <c r="AE66" s="626">
        <v>1413.3090168</v>
      </c>
      <c r="AF66" s="626">
        <v>1425.6187295</v>
      </c>
      <c r="AG66" s="626">
        <v>1008.6677378999999</v>
      </c>
      <c r="AH66" s="625">
        <v>1.0325113566959707</v>
      </c>
      <c r="AI66" s="625">
        <v>0.23738176462885161</v>
      </c>
      <c r="AJ66" s="625">
        <v>0.37002190513985456</v>
      </c>
      <c r="AK66" s="625">
        <v>1.2609680282338225</v>
      </c>
      <c r="AL66" s="625">
        <v>1.4173992756175535</v>
      </c>
      <c r="AM66" s="625">
        <v>1.1427895793906584</v>
      </c>
      <c r="AN66" s="625">
        <v>1.1313689121209567</v>
      </c>
      <c r="AO66" s="625">
        <v>1.2087296271489172</v>
      </c>
      <c r="AP66" s="625">
        <v>1.1017588910239302</v>
      </c>
      <c r="AQ66" s="625">
        <v>1.141405840423295</v>
      </c>
      <c r="AR66" s="625">
        <v>1.127911410254081</v>
      </c>
      <c r="AS66" s="625">
        <v>1.4133680259278503</v>
      </c>
    </row>
    <row r="67">
      <c r="B67" s="623">
        <v>1257800</v>
      </c>
      <c r="C67" s="603" t="s">
        <v>77</v>
      </c>
      <c r="D67" s="0" t="s">
        <v>116</v>
      </c>
      <c r="E67" s="0" t="s">
        <v>73</v>
      </c>
      <c r="F67" s="625">
        <v>4.6038258236054848</v>
      </c>
      <c r="G67" s="625">
        <v>1.1474824255964802</v>
      </c>
      <c r="H67" s="624">
        <v>5.3645024691752639</v>
      </c>
      <c r="I67" s="624">
        <v>13.283029653212051</v>
      </c>
      <c r="J67" s="626">
        <v>1257.8</v>
      </c>
      <c r="K67" s="626">
        <v>1106.382</v>
      </c>
      <c r="L67" s="626">
        <v>616.482</v>
      </c>
      <c r="M67" s="626">
        <v>2597.084</v>
      </c>
      <c r="N67" s="626">
        <v>205.4062</v>
      </c>
      <c r="O67" s="626">
        <v>558.40680000000009</v>
      </c>
      <c r="P67" s="626">
        <v>357.72</v>
      </c>
      <c r="Q67" s="626">
        <v>280.8</v>
      </c>
      <c r="R67" s="626">
        <v>1620</v>
      </c>
      <c r="S67" s="626">
        <v>1080</v>
      </c>
      <c r="T67" s="626">
        <v>1890</v>
      </c>
      <c r="U67" s="626">
        <v>1638</v>
      </c>
      <c r="V67" s="626">
        <v>2520</v>
      </c>
      <c r="W67" s="626">
        <v>2217.6</v>
      </c>
      <c r="X67" s="626">
        <v>2419.2</v>
      </c>
      <c r="Y67" s="626">
        <v>2016</v>
      </c>
      <c r="Z67" s="626">
        <v>394.34178460000004</v>
      </c>
      <c r="AA67" s="626">
        <v>358.4925315</v>
      </c>
      <c r="AB67" s="626">
        <v>1925.3313113</v>
      </c>
      <c r="AC67" s="626">
        <v>1698.8217453</v>
      </c>
      <c r="AD67" s="626">
        <v>1488.75</v>
      </c>
      <c r="AE67" s="626">
        <v>1314</v>
      </c>
      <c r="AF67" s="626">
        <v>1340.98848</v>
      </c>
      <c r="AG67" s="626">
        <v>946.92024</v>
      </c>
      <c r="AH67" s="625">
        <v>1.1368586979903868</v>
      </c>
      <c r="AI67" s="625">
        <v>0.23737468637903125</v>
      </c>
      <c r="AJ67" s="625">
        <v>0.36784329990250847</v>
      </c>
      <c r="AK67" s="625">
        <v>1.2739316239316239</v>
      </c>
      <c r="AL67" s="625">
        <v>1.5</v>
      </c>
      <c r="AM67" s="625">
        <v>1.1538461538461537</v>
      </c>
      <c r="AN67" s="625">
        <v>1.1363636363636362</v>
      </c>
      <c r="AO67" s="625">
        <v>1.1999999999999997</v>
      </c>
      <c r="AP67" s="625">
        <v>1.0999999999999999</v>
      </c>
      <c r="AQ67" s="625">
        <v>1.1333333333333338</v>
      </c>
      <c r="AR67" s="625">
        <v>1.1329908675799087</v>
      </c>
      <c r="AS67" s="625">
        <v>1.4161577959311642</v>
      </c>
    </row>
    <row r="68">
      <c r="B68" s="623">
        <v>1257800</v>
      </c>
      <c r="C68" s="603" t="s">
        <v>78</v>
      </c>
      <c r="D68" s="0" t="s">
        <v>116</v>
      </c>
      <c r="E68" s="0" t="s">
        <v>73</v>
      </c>
      <c r="F68" s="625">
        <v>5.2943996971463072</v>
      </c>
      <c r="G68" s="625">
        <v>1.3196047894359522</v>
      </c>
      <c r="H68" s="624">
        <v>6.1691778395515531</v>
      </c>
      <c r="I68" s="624">
        <v>15.275484101193857</v>
      </c>
      <c r="J68" s="626">
        <v>1509.36</v>
      </c>
      <c r="K68" s="626">
        <v>1327.6583999999998</v>
      </c>
      <c r="L68" s="626">
        <v>739.7784</v>
      </c>
      <c r="M68" s="626">
        <v>3116.5008</v>
      </c>
      <c r="N68" s="626">
        <v>246.48744</v>
      </c>
      <c r="O68" s="626">
        <v>670.08816</v>
      </c>
      <c r="P68" s="626">
        <v>393.492</v>
      </c>
      <c r="Q68" s="626">
        <v>308.88</v>
      </c>
      <c r="R68" s="626">
        <v>1782</v>
      </c>
      <c r="S68" s="626">
        <v>1188</v>
      </c>
      <c r="T68" s="626">
        <v>2079</v>
      </c>
      <c r="U68" s="626">
        <v>1801.8</v>
      </c>
      <c r="V68" s="626">
        <v>2772</v>
      </c>
      <c r="W68" s="626">
        <v>2439.36</v>
      </c>
      <c r="X68" s="626">
        <v>2661.12</v>
      </c>
      <c r="Y68" s="626">
        <v>2217.6</v>
      </c>
      <c r="Z68" s="626">
        <v>433.7759631</v>
      </c>
      <c r="AA68" s="626">
        <v>394.3417847</v>
      </c>
      <c r="AB68" s="626">
        <v>2117.8644424999998</v>
      </c>
      <c r="AC68" s="626">
        <v>1868.7039198</v>
      </c>
      <c r="AD68" s="626">
        <v>1637.625</v>
      </c>
      <c r="AE68" s="626">
        <v>1445.4</v>
      </c>
      <c r="AF68" s="626">
        <v>1475.087328</v>
      </c>
      <c r="AG68" s="626">
        <v>1041.6122639999999</v>
      </c>
      <c r="AH68" s="625">
        <v>1.1368586979903868</v>
      </c>
      <c r="AI68" s="625">
        <v>0.23737468637903128</v>
      </c>
      <c r="AJ68" s="625">
        <v>0.36784329990250847</v>
      </c>
      <c r="AK68" s="625">
        <v>1.2739316239316241</v>
      </c>
      <c r="AL68" s="625">
        <v>1.5000000000000002</v>
      </c>
      <c r="AM68" s="625">
        <v>1.1538461538461537</v>
      </c>
      <c r="AN68" s="625">
        <v>1.1363636363636362</v>
      </c>
      <c r="AO68" s="625">
        <v>1.2</v>
      </c>
      <c r="AP68" s="625">
        <v>1.0999999999999999</v>
      </c>
      <c r="AQ68" s="625">
        <v>1.1333333333333335</v>
      </c>
      <c r="AR68" s="625">
        <v>1.1329908675799087</v>
      </c>
      <c r="AS68" s="625">
        <v>1.4161577959311642</v>
      </c>
    </row>
    <row r="69">
      <c r="B69" s="623">
        <v>1257800</v>
      </c>
      <c r="C69" s="603" t="s">
        <v>79</v>
      </c>
      <c r="D69" s="0" t="s">
        <v>116</v>
      </c>
      <c r="E69" s="0" t="s">
        <v>73</v>
      </c>
      <c r="F69" s="625">
        <v>5.9849735706871305</v>
      </c>
      <c r="G69" s="625">
        <v>1.4917271532754244</v>
      </c>
      <c r="H69" s="624">
        <v>6.9738532099278432</v>
      </c>
      <c r="I69" s="624">
        <v>17.267938549175668</v>
      </c>
      <c r="J69" s="626">
        <v>1635.14</v>
      </c>
      <c r="K69" s="626">
        <v>1438.2966000000001</v>
      </c>
      <c r="L69" s="626">
        <v>801.4266</v>
      </c>
      <c r="M69" s="626">
        <v>3376.2092000000002</v>
      </c>
      <c r="N69" s="626">
        <v>267.02806</v>
      </c>
      <c r="O69" s="626">
        <v>725.92883999999992</v>
      </c>
      <c r="P69" s="626">
        <v>429.264</v>
      </c>
      <c r="Q69" s="626">
        <v>336.96</v>
      </c>
      <c r="R69" s="626">
        <v>1944</v>
      </c>
      <c r="S69" s="626">
        <v>1296</v>
      </c>
      <c r="T69" s="626">
        <v>2268</v>
      </c>
      <c r="U69" s="626">
        <v>1965.6</v>
      </c>
      <c r="V69" s="626">
        <v>3024</v>
      </c>
      <c r="W69" s="626">
        <v>2661.12</v>
      </c>
      <c r="X69" s="626">
        <v>2903.04</v>
      </c>
      <c r="Y69" s="626">
        <v>2419.2</v>
      </c>
      <c r="Z69" s="626">
        <v>473.2101416</v>
      </c>
      <c r="AA69" s="626">
        <v>430.1910378</v>
      </c>
      <c r="AB69" s="626">
        <v>2310.3975735999998</v>
      </c>
      <c r="AC69" s="626">
        <v>2038.5860944</v>
      </c>
      <c r="AD69" s="626">
        <v>1786.5</v>
      </c>
      <c r="AE69" s="626">
        <v>1576.8</v>
      </c>
      <c r="AF69" s="626">
        <v>1609.186176</v>
      </c>
      <c r="AG69" s="626">
        <v>1136.304288</v>
      </c>
      <c r="AH69" s="625">
        <v>1.1368586979903865</v>
      </c>
      <c r="AI69" s="625">
        <v>0.23737468637903122</v>
      </c>
      <c r="AJ69" s="625">
        <v>0.36784329990250847</v>
      </c>
      <c r="AK69" s="625">
        <v>1.2739316239316239</v>
      </c>
      <c r="AL69" s="625">
        <v>1.5</v>
      </c>
      <c r="AM69" s="625">
        <v>1.1538461538461537</v>
      </c>
      <c r="AN69" s="625">
        <v>1.1363636363636362</v>
      </c>
      <c r="AO69" s="625">
        <v>1.1999999999999997</v>
      </c>
      <c r="AP69" s="625">
        <v>1.0999999999999996</v>
      </c>
      <c r="AQ69" s="625">
        <v>1.1333333333333338</v>
      </c>
      <c r="AR69" s="625">
        <v>1.1329908675799087</v>
      </c>
      <c r="AS69" s="625">
        <v>1.4161577959311642</v>
      </c>
    </row>
    <row r="70">
      <c r="B70" s="623">
        <v>1300000</v>
      </c>
      <c r="C70" s="603" t="s">
        <v>77</v>
      </c>
      <c r="D70" s="0" t="s">
        <v>116</v>
      </c>
      <c r="E70" s="0" t="s">
        <v>73</v>
      </c>
      <c r="F70" s="625">
        <v>4.7028742560993466</v>
      </c>
      <c r="G70" s="625">
        <v>1.1849952104452854</v>
      </c>
      <c r="H70" s="624">
        <v>5.2947611062457556</v>
      </c>
      <c r="I70" s="624">
        <v>13.003490210315636</v>
      </c>
      <c r="J70" s="626">
        <v>1300</v>
      </c>
      <c r="K70" s="626">
        <v>1123.8741510999998</v>
      </c>
      <c r="L70" s="626">
        <v>631.61180110000009</v>
      </c>
      <c r="M70" s="626">
        <v>2666.6856833</v>
      </c>
      <c r="N70" s="626">
        <v>205.4062</v>
      </c>
      <c r="O70" s="626">
        <v>565.4588807</v>
      </c>
      <c r="P70" s="626">
        <v>373.3338478</v>
      </c>
      <c r="Q70" s="626">
        <v>293.3745608</v>
      </c>
      <c r="R70" s="626">
        <v>1661.4967029</v>
      </c>
      <c r="S70" s="626">
        <v>1139.7422080000001</v>
      </c>
      <c r="T70" s="626">
        <v>1976.4174952</v>
      </c>
      <c r="U70" s="626">
        <v>1714.4713307</v>
      </c>
      <c r="V70" s="626">
        <v>2533.6963577</v>
      </c>
      <c r="W70" s="626">
        <v>2237.6879913</v>
      </c>
      <c r="X70" s="626">
        <v>2585.6107465</v>
      </c>
      <c r="Y70" s="626">
        <v>2163.2358457</v>
      </c>
      <c r="Z70" s="626">
        <v>411.8708211</v>
      </c>
      <c r="AA70" s="626">
        <v>373.2945862</v>
      </c>
      <c r="AB70" s="626">
        <v>1989.0430393000002</v>
      </c>
      <c r="AC70" s="626">
        <v>1753.8000737</v>
      </c>
      <c r="AD70" s="626">
        <v>1517.8955231999998</v>
      </c>
      <c r="AE70" s="626">
        <v>1335.7674257</v>
      </c>
      <c r="AF70" s="626">
        <v>1480.5918699000001</v>
      </c>
      <c r="AG70" s="626">
        <v>1048.2093057</v>
      </c>
      <c r="AH70" s="625">
        <v>1.1567131415272258</v>
      </c>
      <c r="AI70" s="625">
        <v>0.23685273637364315</v>
      </c>
      <c r="AJ70" s="625">
        <v>0.36325576804890486</v>
      </c>
      <c r="AK70" s="625">
        <v>1.2725501719706218</v>
      </c>
      <c r="AL70" s="625">
        <v>1.4577829014313084</v>
      </c>
      <c r="AM70" s="625">
        <v>1.1527853862920179</v>
      </c>
      <c r="AN70" s="625">
        <v>1.1322831277350043</v>
      </c>
      <c r="AO70" s="625">
        <v>1.1952514339469207</v>
      </c>
      <c r="AP70" s="625">
        <v>1.1033399260096626</v>
      </c>
      <c r="AQ70" s="625">
        <v>1.1341332852603931</v>
      </c>
      <c r="AR70" s="625">
        <v>1.1363471619147387</v>
      </c>
      <c r="AS70" s="625">
        <v>1.4124963991783763</v>
      </c>
    </row>
    <row r="71">
      <c r="B71" s="623">
        <v>1300000</v>
      </c>
      <c r="C71" s="603" t="s">
        <v>78</v>
      </c>
      <c r="D71" s="0" t="s">
        <v>116</v>
      </c>
      <c r="E71" s="0" t="s">
        <v>73</v>
      </c>
      <c r="F71" s="625">
        <v>5.4083053945142483</v>
      </c>
      <c r="G71" s="625">
        <v>1.3627444920120782</v>
      </c>
      <c r="H71" s="624">
        <v>6.0889752721826182</v>
      </c>
      <c r="I71" s="624">
        <v>14.95401374186298</v>
      </c>
      <c r="J71" s="626">
        <v>1560</v>
      </c>
      <c r="K71" s="626">
        <v>1348.6489813</v>
      </c>
      <c r="L71" s="626">
        <v>757.9341614</v>
      </c>
      <c r="M71" s="626">
        <v>3200.0228199999997</v>
      </c>
      <c r="N71" s="626">
        <v>246.48744</v>
      </c>
      <c r="O71" s="626">
        <v>678.5506568</v>
      </c>
      <c r="P71" s="626">
        <v>410.6672326</v>
      </c>
      <c r="Q71" s="626">
        <v>322.7120169</v>
      </c>
      <c r="R71" s="626">
        <v>1827.6463732</v>
      </c>
      <c r="S71" s="626">
        <v>1253.7164288000001</v>
      </c>
      <c r="T71" s="626">
        <v>2174.0592447999998</v>
      </c>
      <c r="U71" s="626">
        <v>1885.9184638</v>
      </c>
      <c r="V71" s="626">
        <v>2787.0659935</v>
      </c>
      <c r="W71" s="626">
        <v>2461.4567905</v>
      </c>
      <c r="X71" s="626">
        <v>2844.1718210999998</v>
      </c>
      <c r="Y71" s="626">
        <v>2379.5594302</v>
      </c>
      <c r="Z71" s="626">
        <v>453.0579032</v>
      </c>
      <c r="AA71" s="626">
        <v>410.6240448</v>
      </c>
      <c r="AB71" s="626">
        <v>2187.9473432</v>
      </c>
      <c r="AC71" s="626">
        <v>1929.1800811</v>
      </c>
      <c r="AD71" s="626">
        <v>1669.6850755</v>
      </c>
      <c r="AE71" s="626">
        <v>1469.3441683</v>
      </c>
      <c r="AF71" s="626">
        <v>1628.6510569</v>
      </c>
      <c r="AG71" s="626">
        <v>1153.0302363</v>
      </c>
      <c r="AH71" s="625">
        <v>1.156713141527226</v>
      </c>
      <c r="AI71" s="625">
        <v>0.23685273637364315</v>
      </c>
      <c r="AJ71" s="625">
        <v>0.3632557680489048</v>
      </c>
      <c r="AK71" s="625">
        <v>1.2725501719706218</v>
      </c>
      <c r="AL71" s="625">
        <v>1.4577829014313084</v>
      </c>
      <c r="AM71" s="625">
        <v>1.1527853862920181</v>
      </c>
      <c r="AN71" s="625">
        <v>1.1322831277350043</v>
      </c>
      <c r="AO71" s="625">
        <v>1.1952514339469209</v>
      </c>
      <c r="AP71" s="625">
        <v>1.1033399260096626</v>
      </c>
      <c r="AQ71" s="625">
        <v>1.1341332852603934</v>
      </c>
      <c r="AR71" s="625">
        <v>1.1363471619147385</v>
      </c>
      <c r="AS71" s="625">
        <v>1.4124963991783763</v>
      </c>
    </row>
    <row r="72">
      <c r="B72" s="623">
        <v>1300000</v>
      </c>
      <c r="C72" s="603" t="s">
        <v>79</v>
      </c>
      <c r="D72" s="0" t="s">
        <v>116</v>
      </c>
      <c r="E72" s="0" t="s">
        <v>73</v>
      </c>
      <c r="F72" s="625">
        <v>6.1137365329291509</v>
      </c>
      <c r="G72" s="625">
        <v>1.5404937735788711</v>
      </c>
      <c r="H72" s="624">
        <v>6.8831894381194827</v>
      </c>
      <c r="I72" s="624">
        <v>16.904537273410327</v>
      </c>
      <c r="J72" s="626">
        <v>1690</v>
      </c>
      <c r="K72" s="626">
        <v>1461.0363964</v>
      </c>
      <c r="L72" s="626">
        <v>821.0953415</v>
      </c>
      <c r="M72" s="626">
        <v>3466.6913883</v>
      </c>
      <c r="N72" s="626">
        <v>267.02806</v>
      </c>
      <c r="O72" s="626">
        <v>735.0965449</v>
      </c>
      <c r="P72" s="626">
        <v>448.0006174</v>
      </c>
      <c r="Q72" s="626">
        <v>352.049473</v>
      </c>
      <c r="R72" s="626">
        <v>1993.7960435</v>
      </c>
      <c r="S72" s="626">
        <v>1367.6906496</v>
      </c>
      <c r="T72" s="626">
        <v>2371.7009943</v>
      </c>
      <c r="U72" s="626">
        <v>2057.3655968</v>
      </c>
      <c r="V72" s="626">
        <v>3040.4356293</v>
      </c>
      <c r="W72" s="626">
        <v>2685.2255896</v>
      </c>
      <c r="X72" s="626">
        <v>3102.7328958000003</v>
      </c>
      <c r="Y72" s="626">
        <v>2595.8830148</v>
      </c>
      <c r="Z72" s="626">
        <v>494.2449854</v>
      </c>
      <c r="AA72" s="626">
        <v>447.9535035</v>
      </c>
      <c r="AB72" s="626">
        <v>2386.8516471000003</v>
      </c>
      <c r="AC72" s="626">
        <v>2104.5600883999996</v>
      </c>
      <c r="AD72" s="626">
        <v>1821.4746278</v>
      </c>
      <c r="AE72" s="626">
        <v>1602.9209108</v>
      </c>
      <c r="AF72" s="626">
        <v>1776.7102438</v>
      </c>
      <c r="AG72" s="626">
        <v>1257.8511668</v>
      </c>
      <c r="AH72" s="625">
        <v>1.1567131415272258</v>
      </c>
      <c r="AI72" s="625">
        <v>0.23685273637364313</v>
      </c>
      <c r="AJ72" s="625">
        <v>0.36325576804890486</v>
      </c>
      <c r="AK72" s="625">
        <v>1.2725501719706218</v>
      </c>
      <c r="AL72" s="625">
        <v>1.4577829014313084</v>
      </c>
      <c r="AM72" s="625">
        <v>1.1527853862920179</v>
      </c>
      <c r="AN72" s="625">
        <v>1.1322831277350045</v>
      </c>
      <c r="AO72" s="625">
        <v>1.1952514339469207</v>
      </c>
      <c r="AP72" s="625">
        <v>1.1033399260096626</v>
      </c>
      <c r="AQ72" s="625">
        <v>1.1341332852603934</v>
      </c>
      <c r="AR72" s="625">
        <v>1.1363471619147387</v>
      </c>
      <c r="AS72" s="625">
        <v>1.4124963991783763</v>
      </c>
    </row>
    <row r="73">
      <c r="B73" s="623">
        <v>1428221</v>
      </c>
      <c r="C73" s="603" t="s">
        <v>77</v>
      </c>
      <c r="D73" s="0" t="s">
        <v>116</v>
      </c>
      <c r="E73" s="0" t="s">
        <v>73</v>
      </c>
      <c r="F73" s="625">
        <v>4.97822695605574</v>
      </c>
      <c r="G73" s="625">
        <v>1.2989745181727419</v>
      </c>
      <c r="H73" s="624">
        <v>5.1130236719793549</v>
      </c>
      <c r="I73" s="624">
        <v>12.282439467489546</v>
      </c>
      <c r="J73" s="626">
        <v>1428.221</v>
      </c>
      <c r="K73" s="626">
        <v>1177.0225185</v>
      </c>
      <c r="L73" s="626">
        <v>677.5823754</v>
      </c>
      <c r="M73" s="626">
        <v>2878.1642956</v>
      </c>
      <c r="N73" s="626">
        <v>205.4062</v>
      </c>
      <c r="O73" s="626">
        <v>586.8860095</v>
      </c>
      <c r="P73" s="626">
        <v>420.7751554</v>
      </c>
      <c r="Q73" s="626">
        <v>331.5812613</v>
      </c>
      <c r="R73" s="626">
        <v>1787.5807963</v>
      </c>
      <c r="S73" s="626">
        <v>1321.2636691</v>
      </c>
      <c r="T73" s="626">
        <v>2238.9894775999996</v>
      </c>
      <c r="U73" s="626">
        <v>1946.8227642000002</v>
      </c>
      <c r="V73" s="626">
        <v>2575.3115398</v>
      </c>
      <c r="W73" s="626">
        <v>2298.7235918</v>
      </c>
      <c r="X73" s="626">
        <v>3091.2352092</v>
      </c>
      <c r="Y73" s="626">
        <v>2610.5990534000002</v>
      </c>
      <c r="Z73" s="626">
        <v>465.1312616</v>
      </c>
      <c r="AA73" s="626">
        <v>418.2693316</v>
      </c>
      <c r="AB73" s="626">
        <v>2182.6255385</v>
      </c>
      <c r="AC73" s="626">
        <v>1920.8469042</v>
      </c>
      <c r="AD73" s="626">
        <v>1606.4516399000002</v>
      </c>
      <c r="AE73" s="626">
        <v>1401.9058401</v>
      </c>
      <c r="AF73" s="626">
        <v>1904.7645299</v>
      </c>
      <c r="AG73" s="626">
        <v>1355.967251</v>
      </c>
      <c r="AH73" s="625">
        <v>1.2134185858785853</v>
      </c>
      <c r="AI73" s="625">
        <v>0.23542171529655226</v>
      </c>
      <c r="AJ73" s="625">
        <v>0.34999334909219965</v>
      </c>
      <c r="AK73" s="625">
        <v>1.2689955811086264</v>
      </c>
      <c r="AL73" s="625">
        <v>1.3529326796726353</v>
      </c>
      <c r="AM73" s="625">
        <v>1.1500736065146382</v>
      </c>
      <c r="AN73" s="625">
        <v>1.1203224037287429</v>
      </c>
      <c r="AO73" s="625">
        <v>1.1841095265729047</v>
      </c>
      <c r="AP73" s="625">
        <v>1.1120376905098832</v>
      </c>
      <c r="AQ73" s="625">
        <v>1.1362829248757913</v>
      </c>
      <c r="AR73" s="625">
        <v>1.1459055193912671</v>
      </c>
      <c r="AS73" s="625">
        <v>1.4047275319460562</v>
      </c>
    </row>
    <row r="74">
      <c r="B74" s="623">
        <v>1428221</v>
      </c>
      <c r="C74" s="603" t="s">
        <v>78</v>
      </c>
      <c r="D74" s="0" t="s">
        <v>116</v>
      </c>
      <c r="E74" s="0" t="s">
        <v>73</v>
      </c>
      <c r="F74" s="625">
        <v>5.7249609994641</v>
      </c>
      <c r="G74" s="625">
        <v>1.4938206958986531</v>
      </c>
      <c r="H74" s="624">
        <v>5.8799772227762581</v>
      </c>
      <c r="I74" s="624">
        <v>14.124805387612977</v>
      </c>
      <c r="J74" s="626">
        <v>1713.8652</v>
      </c>
      <c r="K74" s="626">
        <v>1412.4270223</v>
      </c>
      <c r="L74" s="626">
        <v>813.0988504</v>
      </c>
      <c r="M74" s="626">
        <v>3453.7971546999997</v>
      </c>
      <c r="N74" s="626">
        <v>246.48744</v>
      </c>
      <c r="O74" s="626">
        <v>704.2632114</v>
      </c>
      <c r="P74" s="626">
        <v>462.852671</v>
      </c>
      <c r="Q74" s="626">
        <v>364.7393875</v>
      </c>
      <c r="R74" s="626">
        <v>1966.338876</v>
      </c>
      <c r="S74" s="626">
        <v>1453.390036</v>
      </c>
      <c r="T74" s="626">
        <v>2462.8884254</v>
      </c>
      <c r="U74" s="626">
        <v>2141.5050406</v>
      </c>
      <c r="V74" s="626">
        <v>2832.8426938000002</v>
      </c>
      <c r="W74" s="626">
        <v>2528.595951</v>
      </c>
      <c r="X74" s="626">
        <v>3400.3587301</v>
      </c>
      <c r="Y74" s="626">
        <v>2871.6589587</v>
      </c>
      <c r="Z74" s="626">
        <v>511.64438770000004</v>
      </c>
      <c r="AA74" s="626">
        <v>460.09626480000003</v>
      </c>
      <c r="AB74" s="626">
        <v>2400.8880923</v>
      </c>
      <c r="AC74" s="626">
        <v>2112.9315946</v>
      </c>
      <c r="AD74" s="626">
        <v>1767.0968038</v>
      </c>
      <c r="AE74" s="626">
        <v>1542.0964241</v>
      </c>
      <c r="AF74" s="626">
        <v>2095.2409828</v>
      </c>
      <c r="AG74" s="626">
        <v>1491.5639761</v>
      </c>
      <c r="AH74" s="625">
        <v>1.2134185858785853</v>
      </c>
      <c r="AI74" s="625">
        <v>0.23542171529655223</v>
      </c>
      <c r="AJ74" s="625">
        <v>0.34999334909219959</v>
      </c>
      <c r="AK74" s="625">
        <v>1.2689955811086267</v>
      </c>
      <c r="AL74" s="625">
        <v>1.3529326796726353</v>
      </c>
      <c r="AM74" s="625">
        <v>1.150073606514638</v>
      </c>
      <c r="AN74" s="625">
        <v>1.1203224037287429</v>
      </c>
      <c r="AO74" s="625">
        <v>1.1841095265729047</v>
      </c>
      <c r="AP74" s="625">
        <v>1.1120376905098832</v>
      </c>
      <c r="AQ74" s="625">
        <v>1.1362829248757911</v>
      </c>
      <c r="AR74" s="625">
        <v>1.1459055193912671</v>
      </c>
      <c r="AS74" s="625">
        <v>1.4047275319460562</v>
      </c>
    </row>
    <row r="75">
      <c r="B75" s="623">
        <v>1428221</v>
      </c>
      <c r="C75" s="603" t="s">
        <v>79</v>
      </c>
      <c r="D75" s="0" t="s">
        <v>116</v>
      </c>
      <c r="E75" s="0" t="s">
        <v>73</v>
      </c>
      <c r="F75" s="625">
        <v>6.4716950428724616</v>
      </c>
      <c r="G75" s="625">
        <v>1.6886668736245645</v>
      </c>
      <c r="H75" s="624">
        <v>6.6469307735731613</v>
      </c>
      <c r="I75" s="624">
        <v>15.967171307736411</v>
      </c>
      <c r="J75" s="626">
        <v>1856.6873</v>
      </c>
      <c r="K75" s="626">
        <v>1530.1292741</v>
      </c>
      <c r="L75" s="626">
        <v>880.857088</v>
      </c>
      <c r="M75" s="626">
        <v>3741.6135843</v>
      </c>
      <c r="N75" s="626">
        <v>267.02806</v>
      </c>
      <c r="O75" s="626">
        <v>762.9518123</v>
      </c>
      <c r="P75" s="626">
        <v>504.9301865</v>
      </c>
      <c r="Q75" s="626">
        <v>397.8975136</v>
      </c>
      <c r="R75" s="626">
        <v>2145.0969556</v>
      </c>
      <c r="S75" s="626">
        <v>1585.5164029</v>
      </c>
      <c r="T75" s="626">
        <v>2686.7873731</v>
      </c>
      <c r="U75" s="626">
        <v>2336.187317</v>
      </c>
      <c r="V75" s="626">
        <v>3090.3738478</v>
      </c>
      <c r="W75" s="626">
        <v>2758.4683101</v>
      </c>
      <c r="X75" s="626">
        <v>3709.4822510000004</v>
      </c>
      <c r="Y75" s="626">
        <v>3132.718864</v>
      </c>
      <c r="Z75" s="626">
        <v>558.1575139</v>
      </c>
      <c r="AA75" s="626">
        <v>501.92319799999996</v>
      </c>
      <c r="AB75" s="626">
        <v>2619.1506461999998</v>
      </c>
      <c r="AC75" s="626">
        <v>2305.016285</v>
      </c>
      <c r="AD75" s="626">
        <v>1927.7419677999999</v>
      </c>
      <c r="AE75" s="626">
        <v>1682.2870080999999</v>
      </c>
      <c r="AF75" s="626">
        <v>2285.7174358</v>
      </c>
      <c r="AG75" s="626">
        <v>1627.1607012</v>
      </c>
      <c r="AH75" s="625">
        <v>1.2134185858785853</v>
      </c>
      <c r="AI75" s="625">
        <v>0.23542171529655226</v>
      </c>
      <c r="AJ75" s="625">
        <v>0.34999334909219965</v>
      </c>
      <c r="AK75" s="625">
        <v>1.2689955811086264</v>
      </c>
      <c r="AL75" s="625">
        <v>1.3529326796726353</v>
      </c>
      <c r="AM75" s="625">
        <v>1.1500736065146382</v>
      </c>
      <c r="AN75" s="625">
        <v>1.1203224037287431</v>
      </c>
      <c r="AO75" s="625">
        <v>1.1841095265729047</v>
      </c>
      <c r="AP75" s="625">
        <v>1.1120376905098832</v>
      </c>
      <c r="AQ75" s="625">
        <v>1.1362829248757913</v>
      </c>
      <c r="AR75" s="625">
        <v>1.1459055193912671</v>
      </c>
      <c r="AS75" s="625">
        <v>1.4047275319460562</v>
      </c>
    </row>
    <row r="76">
      <c r="B76" s="623">
        <v>1500000</v>
      </c>
      <c r="C76" s="603" t="s">
        <v>77</v>
      </c>
      <c r="D76" s="0" t="s">
        <v>116</v>
      </c>
      <c r="E76" s="0" t="s">
        <v>73</v>
      </c>
      <c r="F76" s="625">
        <v>5.11751714039323</v>
      </c>
      <c r="G76" s="625">
        <v>1.3627809206291968</v>
      </c>
      <c r="H76" s="624">
        <v>5.0273210384746605</v>
      </c>
      <c r="I76" s="624">
        <v>11.946068941268306</v>
      </c>
      <c r="J76" s="626">
        <v>1500</v>
      </c>
      <c r="K76" s="626">
        <v>1206.7753411</v>
      </c>
      <c r="L76" s="626">
        <v>703.3170198</v>
      </c>
      <c r="M76" s="626">
        <v>2996.5514811</v>
      </c>
      <c r="N76" s="626">
        <v>205.4062</v>
      </c>
      <c r="O76" s="626">
        <v>598.881064</v>
      </c>
      <c r="P76" s="626">
        <v>447.3331266</v>
      </c>
      <c r="Q76" s="626">
        <v>352.9696358</v>
      </c>
      <c r="R76" s="626">
        <v>1858.1635413</v>
      </c>
      <c r="S76" s="626">
        <v>1422.8806347</v>
      </c>
      <c r="T76" s="626">
        <v>2385.9790839999996</v>
      </c>
      <c r="U76" s="626">
        <v>2076.8946989</v>
      </c>
      <c r="V76" s="626">
        <v>2598.6080058</v>
      </c>
      <c r="W76" s="626">
        <v>2332.8917418</v>
      </c>
      <c r="X76" s="626">
        <v>3374.2872700999997</v>
      </c>
      <c r="Y76" s="626">
        <v>2861.036062</v>
      </c>
      <c r="Z76" s="626">
        <v>494.94682339999997</v>
      </c>
      <c r="AA76" s="626">
        <v>443.44650429999996</v>
      </c>
      <c r="AB76" s="626">
        <v>2290.9943565000003</v>
      </c>
      <c r="AC76" s="626">
        <v>2014.3608718</v>
      </c>
      <c r="AD76" s="626">
        <v>1656.0259646999998</v>
      </c>
      <c r="AE76" s="626">
        <v>1438.9305806</v>
      </c>
      <c r="AF76" s="626">
        <v>2142.21931</v>
      </c>
      <c r="AG76" s="626">
        <v>1528.2522709999998</v>
      </c>
      <c r="AH76" s="625">
        <v>1.2429819775523276</v>
      </c>
      <c r="AI76" s="625">
        <v>0.23470880586492648</v>
      </c>
      <c r="AJ76" s="625">
        <v>0.34298329393982224</v>
      </c>
      <c r="AK76" s="625">
        <v>1.2673416669323021</v>
      </c>
      <c r="AL76" s="625">
        <v>1.3059166707217675</v>
      </c>
      <c r="AM76" s="625">
        <v>1.1488204410694556</v>
      </c>
      <c r="AN76" s="625">
        <v>1.1138999548129411</v>
      </c>
      <c r="AO76" s="625">
        <v>1.1793934773804702</v>
      </c>
      <c r="AP76" s="625">
        <v>1.1161364868939356</v>
      </c>
      <c r="AQ76" s="625">
        <v>1.1373306484315164</v>
      </c>
      <c r="AR76" s="625">
        <v>1.1508727293642389</v>
      </c>
      <c r="AS76" s="625">
        <v>1.4017445618159139</v>
      </c>
    </row>
    <row r="77">
      <c r="B77" s="623">
        <v>1500000</v>
      </c>
      <c r="C77" s="603" t="s">
        <v>78</v>
      </c>
      <c r="D77" s="0" t="s">
        <v>116</v>
      </c>
      <c r="E77" s="0" t="s">
        <v>73</v>
      </c>
      <c r="F77" s="625">
        <v>5.885144711452214</v>
      </c>
      <c r="G77" s="625">
        <v>1.5671980587235761</v>
      </c>
      <c r="H77" s="624">
        <v>5.781419194245859</v>
      </c>
      <c r="I77" s="624">
        <v>13.737979282458552</v>
      </c>
      <c r="J77" s="626">
        <v>1800</v>
      </c>
      <c r="K77" s="626">
        <v>1448.1304094</v>
      </c>
      <c r="L77" s="626">
        <v>843.9804238</v>
      </c>
      <c r="M77" s="626">
        <v>3595.8617773</v>
      </c>
      <c r="N77" s="626">
        <v>246.48744</v>
      </c>
      <c r="O77" s="626">
        <v>718.6572768</v>
      </c>
      <c r="P77" s="626">
        <v>492.06643920000005</v>
      </c>
      <c r="Q77" s="626">
        <v>388.2665994</v>
      </c>
      <c r="R77" s="626">
        <v>2043.9798954</v>
      </c>
      <c r="S77" s="626">
        <v>1565.1686981999999</v>
      </c>
      <c r="T77" s="626">
        <v>2624.5769923999997</v>
      </c>
      <c r="U77" s="626">
        <v>2284.5841688</v>
      </c>
      <c r="V77" s="626">
        <v>2858.4688063</v>
      </c>
      <c r="W77" s="626">
        <v>2566.1809160000003</v>
      </c>
      <c r="X77" s="626">
        <v>3711.7159970999996</v>
      </c>
      <c r="Y77" s="626">
        <v>3147.1396682000004</v>
      </c>
      <c r="Z77" s="626">
        <v>544.4415057</v>
      </c>
      <c r="AA77" s="626">
        <v>487.7911547</v>
      </c>
      <c r="AB77" s="626">
        <v>2520.0937921</v>
      </c>
      <c r="AC77" s="626">
        <v>2215.796959</v>
      </c>
      <c r="AD77" s="626">
        <v>1821.6285611</v>
      </c>
      <c r="AE77" s="626">
        <v>1582.8236387</v>
      </c>
      <c r="AF77" s="626">
        <v>2356.441241</v>
      </c>
      <c r="AG77" s="626">
        <v>1681.0774981</v>
      </c>
      <c r="AH77" s="625">
        <v>1.2429819775523276</v>
      </c>
      <c r="AI77" s="625">
        <v>0.23470880586492646</v>
      </c>
      <c r="AJ77" s="625">
        <v>0.34298329393982224</v>
      </c>
      <c r="AK77" s="625">
        <v>1.2673416669323021</v>
      </c>
      <c r="AL77" s="625">
        <v>1.3059166707217675</v>
      </c>
      <c r="AM77" s="625">
        <v>1.1488204410694556</v>
      </c>
      <c r="AN77" s="625">
        <v>1.1138999548129409</v>
      </c>
      <c r="AO77" s="625">
        <v>1.1793934773804702</v>
      </c>
      <c r="AP77" s="625">
        <v>1.1161364868939356</v>
      </c>
      <c r="AQ77" s="625">
        <v>1.1373306484315164</v>
      </c>
      <c r="AR77" s="625">
        <v>1.1508727293642389</v>
      </c>
      <c r="AS77" s="625">
        <v>1.4017445618159139</v>
      </c>
    </row>
    <row r="78">
      <c r="B78" s="623">
        <v>1500000</v>
      </c>
      <c r="C78" s="603" t="s">
        <v>79</v>
      </c>
      <c r="D78" s="0" t="s">
        <v>116</v>
      </c>
      <c r="E78" s="0" t="s">
        <v>73</v>
      </c>
      <c r="F78" s="625">
        <v>6.652772282511199</v>
      </c>
      <c r="G78" s="625">
        <v>1.7716151968179559</v>
      </c>
      <c r="H78" s="624">
        <v>6.5355173500170585</v>
      </c>
      <c r="I78" s="624">
        <v>15.529889623648799</v>
      </c>
      <c r="J78" s="626">
        <v>1950</v>
      </c>
      <c r="K78" s="626">
        <v>1568.8079435</v>
      </c>
      <c r="L78" s="626">
        <v>914.3121258</v>
      </c>
      <c r="M78" s="626">
        <v>3895.5169254</v>
      </c>
      <c r="N78" s="626">
        <v>267.02806</v>
      </c>
      <c r="O78" s="626">
        <v>778.54538320000006</v>
      </c>
      <c r="P78" s="626">
        <v>536.7997519</v>
      </c>
      <c r="Q78" s="626">
        <v>423.5635629</v>
      </c>
      <c r="R78" s="626">
        <v>2229.7962494999997</v>
      </c>
      <c r="S78" s="626">
        <v>1707.4567616000002</v>
      </c>
      <c r="T78" s="626">
        <v>2863.1749008</v>
      </c>
      <c r="U78" s="626">
        <v>2492.2736387</v>
      </c>
      <c r="V78" s="626">
        <v>3118.3296069</v>
      </c>
      <c r="W78" s="626">
        <v>2799.4700902</v>
      </c>
      <c r="X78" s="626">
        <v>4049.1447241</v>
      </c>
      <c r="Y78" s="626">
        <v>3433.2432744</v>
      </c>
      <c r="Z78" s="626">
        <v>593.9361881</v>
      </c>
      <c r="AA78" s="626">
        <v>532.1358051</v>
      </c>
      <c r="AB78" s="626">
        <v>2749.1932278</v>
      </c>
      <c r="AC78" s="626">
        <v>2417.2330462</v>
      </c>
      <c r="AD78" s="626">
        <v>1987.2311576</v>
      </c>
      <c r="AE78" s="626">
        <v>1726.7166967</v>
      </c>
      <c r="AF78" s="626">
        <v>2570.6631719999996</v>
      </c>
      <c r="AG78" s="626">
        <v>1833.9027252</v>
      </c>
      <c r="AH78" s="625">
        <v>1.2429819775523274</v>
      </c>
      <c r="AI78" s="625">
        <v>0.23470880586492648</v>
      </c>
      <c r="AJ78" s="625">
        <v>0.34298329393982219</v>
      </c>
      <c r="AK78" s="625">
        <v>1.2673416669323021</v>
      </c>
      <c r="AL78" s="625">
        <v>1.3059166707217673</v>
      </c>
      <c r="AM78" s="625">
        <v>1.1488204410694558</v>
      </c>
      <c r="AN78" s="625">
        <v>1.1138999548129409</v>
      </c>
      <c r="AO78" s="625">
        <v>1.1793934773804704</v>
      </c>
      <c r="AP78" s="625">
        <v>1.1161364868939359</v>
      </c>
      <c r="AQ78" s="625">
        <v>1.1373306484315164</v>
      </c>
      <c r="AR78" s="625">
        <v>1.1508727293642389</v>
      </c>
      <c r="AS78" s="625">
        <v>1.4017445618159137</v>
      </c>
    </row>
    <row r="79">
      <c r="B79" s="623">
        <v>1800000</v>
      </c>
      <c r="C79" s="603" t="s">
        <v>77</v>
      </c>
      <c r="D79" s="0" t="s">
        <v>116</v>
      </c>
      <c r="E79" s="0" t="s">
        <v>73</v>
      </c>
      <c r="F79" s="625">
        <v>5.6085657093086514</v>
      </c>
      <c r="G79" s="625">
        <v>1.6294594859050635</v>
      </c>
      <c r="H79" s="624">
        <v>4.7540061501235389</v>
      </c>
      <c r="I79" s="624">
        <v>10.888671493342862</v>
      </c>
      <c r="J79" s="626">
        <v>1800</v>
      </c>
      <c r="K79" s="626">
        <v>1331.1271262</v>
      </c>
      <c r="L79" s="626">
        <v>810.87484790000008</v>
      </c>
      <c r="M79" s="626">
        <v>3491.3501776999997</v>
      </c>
      <c r="N79" s="626">
        <v>205.4062</v>
      </c>
      <c r="O79" s="626">
        <v>649.0143389</v>
      </c>
      <c r="P79" s="626">
        <v>558.3320447</v>
      </c>
      <c r="Q79" s="626">
        <v>442.36224819999995</v>
      </c>
      <c r="R79" s="626">
        <v>2153.1637988999996</v>
      </c>
      <c r="S79" s="626">
        <v>1847.5882747</v>
      </c>
      <c r="T79" s="626">
        <v>3000.3214672</v>
      </c>
      <c r="U79" s="626">
        <v>2620.5297511999997</v>
      </c>
      <c r="V79" s="626">
        <v>2695.9754778</v>
      </c>
      <c r="W79" s="626">
        <v>2475.6973675000004</v>
      </c>
      <c r="X79" s="626">
        <v>4557.3020554999994</v>
      </c>
      <c r="Y79" s="626">
        <v>3907.7363866</v>
      </c>
      <c r="Z79" s="626">
        <v>619.56082680000009</v>
      </c>
      <c r="AA79" s="626">
        <v>548.6743813</v>
      </c>
      <c r="AB79" s="626">
        <v>2743.9213323</v>
      </c>
      <c r="AC79" s="626">
        <v>2405.2020688999996</v>
      </c>
      <c r="AD79" s="626">
        <v>1863.2216269</v>
      </c>
      <c r="AE79" s="626">
        <v>1593.6753130000002</v>
      </c>
      <c r="AF79" s="626">
        <v>3134.6604701</v>
      </c>
      <c r="AG79" s="626">
        <v>2248.316719</v>
      </c>
      <c r="AH79" s="625">
        <v>1.3522374869749581</v>
      </c>
      <c r="AI79" s="625">
        <v>0.23225251166525782</v>
      </c>
      <c r="AJ79" s="625">
        <v>0.31648946360941621</v>
      </c>
      <c r="AK79" s="625">
        <v>1.2621602475718943</v>
      </c>
      <c r="AL79" s="625">
        <v>1.165391569308726</v>
      </c>
      <c r="AM79" s="625">
        <v>1.1449293662349906</v>
      </c>
      <c r="AN79" s="625">
        <v>1.0889761863643004</v>
      </c>
      <c r="AO79" s="625">
        <v>1.1662255599381071</v>
      </c>
      <c r="AP79" s="625">
        <v>1.12919583610739</v>
      </c>
      <c r="AQ79" s="625">
        <v>1.1408277781555873</v>
      </c>
      <c r="AR79" s="625">
        <v>1.1691350250283406</v>
      </c>
      <c r="AS79" s="625">
        <v>1.3942254859571224</v>
      </c>
    </row>
    <row r="80">
      <c r="B80" s="623">
        <v>1800000</v>
      </c>
      <c r="C80" s="603" t="s">
        <v>78</v>
      </c>
      <c r="D80" s="0" t="s">
        <v>116</v>
      </c>
      <c r="E80" s="0" t="s">
        <v>73</v>
      </c>
      <c r="F80" s="625">
        <v>6.4498505657049483</v>
      </c>
      <c r="G80" s="625">
        <v>1.8738784087908229</v>
      </c>
      <c r="H80" s="624">
        <v>5.46710707264207</v>
      </c>
      <c r="I80" s="624">
        <v>12.52197221734429</v>
      </c>
      <c r="J80" s="626">
        <v>2160</v>
      </c>
      <c r="K80" s="626">
        <v>1597.3525515000001</v>
      </c>
      <c r="L80" s="626">
        <v>973.0498174</v>
      </c>
      <c r="M80" s="626">
        <v>4189.6202132</v>
      </c>
      <c r="N80" s="626">
        <v>246.48744</v>
      </c>
      <c r="O80" s="626">
        <v>778.81720669999993</v>
      </c>
      <c r="P80" s="626">
        <v>614.1652492</v>
      </c>
      <c r="Q80" s="626">
        <v>486.598473</v>
      </c>
      <c r="R80" s="626">
        <v>2368.4801788</v>
      </c>
      <c r="S80" s="626">
        <v>2032.3471022</v>
      </c>
      <c r="T80" s="626">
        <v>3300.3536139000003</v>
      </c>
      <c r="U80" s="626">
        <v>2882.5827263</v>
      </c>
      <c r="V80" s="626">
        <v>2965.5730255999997</v>
      </c>
      <c r="W80" s="626">
        <v>2723.2671041999997</v>
      </c>
      <c r="X80" s="626">
        <v>5013.0322611</v>
      </c>
      <c r="Y80" s="626">
        <v>4298.5100252</v>
      </c>
      <c r="Z80" s="626">
        <v>681.5169095</v>
      </c>
      <c r="AA80" s="626">
        <v>603.5418195</v>
      </c>
      <c r="AB80" s="626">
        <v>3018.3134656</v>
      </c>
      <c r="AC80" s="626">
        <v>2645.7222758</v>
      </c>
      <c r="AD80" s="626">
        <v>2049.5437896</v>
      </c>
      <c r="AE80" s="626">
        <v>1753.0428443</v>
      </c>
      <c r="AF80" s="626">
        <v>3448.1265172000003</v>
      </c>
      <c r="AG80" s="626">
        <v>2473.1483909</v>
      </c>
      <c r="AH80" s="625">
        <v>1.3522374869749581</v>
      </c>
      <c r="AI80" s="625">
        <v>0.23225251166525782</v>
      </c>
      <c r="AJ80" s="625">
        <v>0.31648946360941621</v>
      </c>
      <c r="AK80" s="625">
        <v>1.2621602475718943</v>
      </c>
      <c r="AL80" s="625">
        <v>1.165391569308726</v>
      </c>
      <c r="AM80" s="625">
        <v>1.1449293662349906</v>
      </c>
      <c r="AN80" s="625">
        <v>1.0889761863643004</v>
      </c>
      <c r="AO80" s="625">
        <v>1.1662255599381068</v>
      </c>
      <c r="AP80" s="625">
        <v>1.12919583610739</v>
      </c>
      <c r="AQ80" s="625">
        <v>1.1408277781555873</v>
      </c>
      <c r="AR80" s="625">
        <v>1.1691350250283406</v>
      </c>
      <c r="AS80" s="625">
        <v>1.3942254859571224</v>
      </c>
    </row>
    <row r="81">
      <c r="B81" s="623">
        <v>1800000</v>
      </c>
      <c r="C81" s="603" t="s">
        <v>79</v>
      </c>
      <c r="D81" s="0" t="s">
        <v>116</v>
      </c>
      <c r="E81" s="0" t="s">
        <v>73</v>
      </c>
      <c r="F81" s="625">
        <v>7.291135422101247</v>
      </c>
      <c r="G81" s="625">
        <v>2.1182973316765827</v>
      </c>
      <c r="H81" s="624">
        <v>6.1802079951606</v>
      </c>
      <c r="I81" s="624">
        <v>14.155272941345721</v>
      </c>
      <c r="J81" s="626">
        <v>2340</v>
      </c>
      <c r="K81" s="626">
        <v>1730.4652641</v>
      </c>
      <c r="L81" s="626">
        <v>1054.1373022</v>
      </c>
      <c r="M81" s="626">
        <v>4538.755231</v>
      </c>
      <c r="N81" s="626">
        <v>267.02806</v>
      </c>
      <c r="O81" s="626">
        <v>843.71864060000007</v>
      </c>
      <c r="P81" s="626">
        <v>669.99845369999991</v>
      </c>
      <c r="Q81" s="626">
        <v>530.8346979</v>
      </c>
      <c r="R81" s="626">
        <v>2583.7965587</v>
      </c>
      <c r="S81" s="626">
        <v>2217.1059296</v>
      </c>
      <c r="T81" s="626">
        <v>3600.3857607</v>
      </c>
      <c r="U81" s="626">
        <v>3144.6357014</v>
      </c>
      <c r="V81" s="626">
        <v>3235.1705734</v>
      </c>
      <c r="W81" s="626">
        <v>2970.836841</v>
      </c>
      <c r="X81" s="626">
        <v>5468.7624666</v>
      </c>
      <c r="Y81" s="626">
        <v>4689.2836639</v>
      </c>
      <c r="Z81" s="626">
        <v>743.4729921</v>
      </c>
      <c r="AA81" s="626">
        <v>658.4092576</v>
      </c>
      <c r="AB81" s="626">
        <v>3292.7055987999997</v>
      </c>
      <c r="AC81" s="626">
        <v>2886.2424827</v>
      </c>
      <c r="AD81" s="626">
        <v>2235.8659523</v>
      </c>
      <c r="AE81" s="626">
        <v>1912.4103756</v>
      </c>
      <c r="AF81" s="626">
        <v>3761.5925641999997</v>
      </c>
      <c r="AG81" s="626">
        <v>2697.9800628</v>
      </c>
      <c r="AH81" s="625">
        <v>1.3522374869749581</v>
      </c>
      <c r="AI81" s="625">
        <v>0.23225251166525779</v>
      </c>
      <c r="AJ81" s="625">
        <v>0.31648946360941621</v>
      </c>
      <c r="AK81" s="625">
        <v>1.2621602475718943</v>
      </c>
      <c r="AL81" s="625">
        <v>1.1653915693087262</v>
      </c>
      <c r="AM81" s="625">
        <v>1.1449293662349909</v>
      </c>
      <c r="AN81" s="625">
        <v>1.0889761863643004</v>
      </c>
      <c r="AO81" s="625">
        <v>1.1662255599381071</v>
      </c>
      <c r="AP81" s="625">
        <v>1.12919583610739</v>
      </c>
      <c r="AQ81" s="625">
        <v>1.1408277781555873</v>
      </c>
      <c r="AR81" s="625">
        <v>1.1691350250283406</v>
      </c>
      <c r="AS81" s="625">
        <v>1.3942254859571224</v>
      </c>
    </row>
    <row r="82">
      <c r="B82" s="623">
        <v>2034240</v>
      </c>
      <c r="C82" s="603" t="s">
        <v>77</v>
      </c>
      <c r="D82" s="0" t="s">
        <v>116</v>
      </c>
      <c r="E82" s="0" t="s">
        <v>73</v>
      </c>
      <c r="F82" s="625">
        <v>5.9134865164558841</v>
      </c>
      <c r="G82" s="625">
        <v>1.8376821096724605</v>
      </c>
      <c r="H82" s="624">
        <v>4.6038289595745594</v>
      </c>
      <c r="I82" s="624">
        <v>10.31739997134734</v>
      </c>
      <c r="J82" s="626">
        <v>2034.24</v>
      </c>
      <c r="K82" s="626">
        <v>1428.221</v>
      </c>
      <c r="L82" s="626">
        <v>894.856</v>
      </c>
      <c r="M82" s="626">
        <v>3877.689</v>
      </c>
      <c r="N82" s="626">
        <v>205.4062</v>
      </c>
      <c r="O82" s="626">
        <v>688.1584</v>
      </c>
      <c r="P82" s="626">
        <v>645</v>
      </c>
      <c r="Q82" s="626">
        <v>512.16</v>
      </c>
      <c r="R82" s="626">
        <v>2383.5</v>
      </c>
      <c r="S82" s="626">
        <v>2179.2</v>
      </c>
      <c r="T82" s="626">
        <v>3480</v>
      </c>
      <c r="U82" s="626">
        <v>3045</v>
      </c>
      <c r="V82" s="626">
        <v>2772</v>
      </c>
      <c r="W82" s="626">
        <v>2587.2</v>
      </c>
      <c r="X82" s="626">
        <v>5481</v>
      </c>
      <c r="Y82" s="626">
        <v>4725</v>
      </c>
      <c r="Z82" s="626">
        <v>716.8594406</v>
      </c>
      <c r="AA82" s="626">
        <v>630.8363077</v>
      </c>
      <c r="AB82" s="626">
        <v>3097.5667151000002</v>
      </c>
      <c r="AC82" s="626">
        <v>2710.3708757000004</v>
      </c>
      <c r="AD82" s="626">
        <v>2025</v>
      </c>
      <c r="AE82" s="626">
        <v>1714.5</v>
      </c>
      <c r="AF82" s="626">
        <v>3909.558528</v>
      </c>
      <c r="AG82" s="626">
        <v>2810.54304</v>
      </c>
      <c r="AH82" s="625">
        <v>1.4243173850545539</v>
      </c>
      <c r="AI82" s="625">
        <v>0.23077044084762857</v>
      </c>
      <c r="AJ82" s="625">
        <v>0.29848680187584725</v>
      </c>
      <c r="AK82" s="625">
        <v>1.2593720712277414</v>
      </c>
      <c r="AL82" s="625">
        <v>1.09375</v>
      </c>
      <c r="AM82" s="625">
        <v>1.1428571428571428</v>
      </c>
      <c r="AN82" s="625">
        <v>1.0714285714285712</v>
      </c>
      <c r="AO82" s="625">
        <v>1.16</v>
      </c>
      <c r="AP82" s="625">
        <v>1.1363636363636365</v>
      </c>
      <c r="AQ82" s="625">
        <v>1.1428571428571432</v>
      </c>
      <c r="AR82" s="625">
        <v>1.1811023622047243</v>
      </c>
      <c r="AS82" s="625">
        <v>1.3910331463918984</v>
      </c>
    </row>
    <row r="83">
      <c r="B83" s="623">
        <v>2034240</v>
      </c>
      <c r="C83" s="603" t="s">
        <v>78</v>
      </c>
      <c r="D83" s="0" t="s">
        <v>116</v>
      </c>
      <c r="E83" s="0" t="s">
        <v>73</v>
      </c>
      <c r="F83" s="625">
        <v>6.8005094939242658</v>
      </c>
      <c r="G83" s="625">
        <v>2.1133344261233296</v>
      </c>
      <c r="H83" s="624">
        <v>5.2944033035107427</v>
      </c>
      <c r="I83" s="624">
        <v>11.86500996704944</v>
      </c>
      <c r="J83" s="626">
        <v>2441.088</v>
      </c>
      <c r="K83" s="626">
        <v>1713.8652</v>
      </c>
      <c r="L83" s="626">
        <v>1073.8272</v>
      </c>
      <c r="M83" s="626">
        <v>4653.2267999999995</v>
      </c>
      <c r="N83" s="626">
        <v>246.48744</v>
      </c>
      <c r="O83" s="626">
        <v>825.79008</v>
      </c>
      <c r="P83" s="626">
        <v>709.5</v>
      </c>
      <c r="Q83" s="626">
        <v>563.376</v>
      </c>
      <c r="R83" s="626">
        <v>2621.85</v>
      </c>
      <c r="S83" s="626">
        <v>2397.12</v>
      </c>
      <c r="T83" s="626">
        <v>3828</v>
      </c>
      <c r="U83" s="626">
        <v>3349.5</v>
      </c>
      <c r="V83" s="626">
        <v>3049.2</v>
      </c>
      <c r="W83" s="626">
        <v>2845.92</v>
      </c>
      <c r="X83" s="626">
        <v>6029.1</v>
      </c>
      <c r="Y83" s="626">
        <v>5197.5</v>
      </c>
      <c r="Z83" s="626">
        <v>788.5453847</v>
      </c>
      <c r="AA83" s="626">
        <v>693.91993850000006</v>
      </c>
      <c r="AB83" s="626">
        <v>3407.3233866</v>
      </c>
      <c r="AC83" s="626">
        <v>2981.4079633</v>
      </c>
      <c r="AD83" s="626">
        <v>2227.5</v>
      </c>
      <c r="AE83" s="626">
        <v>1885.95</v>
      </c>
      <c r="AF83" s="626">
        <v>4300.5143808</v>
      </c>
      <c r="AG83" s="626">
        <v>3091.5973440000002</v>
      </c>
      <c r="AH83" s="625">
        <v>1.4243173850545539</v>
      </c>
      <c r="AI83" s="625">
        <v>0.23077044084762857</v>
      </c>
      <c r="AJ83" s="625">
        <v>0.29848680187584725</v>
      </c>
      <c r="AK83" s="625">
        <v>1.2593720712277414</v>
      </c>
      <c r="AL83" s="625">
        <v>1.09375</v>
      </c>
      <c r="AM83" s="625">
        <v>1.1428571428571428</v>
      </c>
      <c r="AN83" s="625">
        <v>1.0714285714285712</v>
      </c>
      <c r="AO83" s="625">
        <v>1.16</v>
      </c>
      <c r="AP83" s="625">
        <v>1.1363636363636362</v>
      </c>
      <c r="AQ83" s="625">
        <v>1.142857142857143</v>
      </c>
      <c r="AR83" s="625">
        <v>1.1811023622047243</v>
      </c>
      <c r="AS83" s="625">
        <v>1.3910331463918984</v>
      </c>
    </row>
    <row r="84">
      <c r="B84" s="623">
        <v>2034240</v>
      </c>
      <c r="C84" s="603" t="s">
        <v>79</v>
      </c>
      <c r="D84" s="0" t="s">
        <v>116</v>
      </c>
      <c r="E84" s="0" t="s">
        <v>73</v>
      </c>
      <c r="F84" s="625">
        <v>7.6875324713926494</v>
      </c>
      <c r="G84" s="625">
        <v>2.3889867425741986</v>
      </c>
      <c r="H84" s="624">
        <v>5.9849776474469278</v>
      </c>
      <c r="I84" s="624">
        <v>13.412619962751544</v>
      </c>
      <c r="J84" s="626">
        <v>2644.512</v>
      </c>
      <c r="K84" s="626">
        <v>1856.6873</v>
      </c>
      <c r="L84" s="626">
        <v>1163.3128000000002</v>
      </c>
      <c r="M84" s="626">
        <v>5040.9957</v>
      </c>
      <c r="N84" s="626">
        <v>267.02806</v>
      </c>
      <c r="O84" s="626">
        <v>894.60592000000008</v>
      </c>
      <c r="P84" s="626">
        <v>774</v>
      </c>
      <c r="Q84" s="626">
        <v>614.592</v>
      </c>
      <c r="R84" s="626">
        <v>2860.2</v>
      </c>
      <c r="S84" s="626">
        <v>2615.04</v>
      </c>
      <c r="T84" s="626">
        <v>4176</v>
      </c>
      <c r="U84" s="626">
        <v>3654</v>
      </c>
      <c r="V84" s="626">
        <v>3326.4</v>
      </c>
      <c r="W84" s="626">
        <v>3104.64</v>
      </c>
      <c r="X84" s="626">
        <v>6577.2</v>
      </c>
      <c r="Y84" s="626">
        <v>5670</v>
      </c>
      <c r="Z84" s="626">
        <v>860.2313287</v>
      </c>
      <c r="AA84" s="626">
        <v>757.0035693</v>
      </c>
      <c r="AB84" s="626">
        <v>3717.0800581</v>
      </c>
      <c r="AC84" s="626">
        <v>3252.4450508</v>
      </c>
      <c r="AD84" s="626">
        <v>2430</v>
      </c>
      <c r="AE84" s="626">
        <v>2057.4</v>
      </c>
      <c r="AF84" s="626">
        <v>4691.4702336</v>
      </c>
      <c r="AG84" s="626">
        <v>3372.651648</v>
      </c>
      <c r="AH84" s="625">
        <v>1.4243173850545539</v>
      </c>
      <c r="AI84" s="625">
        <v>0.23077044084762857</v>
      </c>
      <c r="AJ84" s="625">
        <v>0.29848680187584725</v>
      </c>
      <c r="AK84" s="625">
        <v>1.2593720712277414</v>
      </c>
      <c r="AL84" s="625">
        <v>1.09375</v>
      </c>
      <c r="AM84" s="625">
        <v>1.1428571428571428</v>
      </c>
      <c r="AN84" s="625">
        <v>1.0714285714285712</v>
      </c>
      <c r="AO84" s="625">
        <v>1.16</v>
      </c>
      <c r="AP84" s="625">
        <v>1.1363636363636365</v>
      </c>
      <c r="AQ84" s="625">
        <v>1.1428571428571432</v>
      </c>
      <c r="AR84" s="625">
        <v>1.1811023622047243</v>
      </c>
      <c r="AS84" s="625">
        <v>1.3910331463918984</v>
      </c>
    </row>
    <row r="85">
      <c r="B85" s="623">
        <v>2200000</v>
      </c>
      <c r="C85" s="603" t="s">
        <v>77</v>
      </c>
      <c r="D85" s="0" t="s">
        <v>116</v>
      </c>
      <c r="E85" s="0" t="s">
        <v>73</v>
      </c>
      <c r="F85" s="625">
        <v>6.3953468303656136</v>
      </c>
      <c r="G85" s="625">
        <v>1.9874255944625083</v>
      </c>
      <c r="H85" s="624">
        <v>4.6038289595745585</v>
      </c>
      <c r="I85" s="624">
        <v>10.31739997134734</v>
      </c>
      <c r="J85" s="626">
        <v>2200</v>
      </c>
      <c r="K85" s="626">
        <v>1544.5995556</v>
      </c>
      <c r="L85" s="626">
        <v>967.7733207</v>
      </c>
      <c r="M85" s="626">
        <v>4193.6623997</v>
      </c>
      <c r="N85" s="626">
        <v>222.1437195</v>
      </c>
      <c r="O85" s="626">
        <v>744.2329715</v>
      </c>
      <c r="P85" s="626">
        <v>697.5578103</v>
      </c>
      <c r="Q85" s="626">
        <v>553.8933459</v>
      </c>
      <c r="R85" s="626">
        <v>2577.7194431</v>
      </c>
      <c r="S85" s="626">
        <v>2356.7720623</v>
      </c>
      <c r="T85" s="626">
        <v>3763.5677206</v>
      </c>
      <c r="U85" s="626">
        <v>3293.1217555</v>
      </c>
      <c r="V85" s="626">
        <v>2997.8763568000004</v>
      </c>
      <c r="W85" s="626">
        <v>2798.017933</v>
      </c>
      <c r="X85" s="626">
        <v>5927.61916</v>
      </c>
      <c r="Y85" s="626">
        <v>5110.0165172</v>
      </c>
      <c r="Z85" s="626">
        <v>775.2727158</v>
      </c>
      <c r="AA85" s="626">
        <v>682.23998990000007</v>
      </c>
      <c r="AB85" s="626">
        <v>3349.9718682</v>
      </c>
      <c r="AC85" s="626">
        <v>2931.2253846999997</v>
      </c>
      <c r="AD85" s="626">
        <v>2190.0070788</v>
      </c>
      <c r="AE85" s="626">
        <v>1854.2059934000001</v>
      </c>
      <c r="AF85" s="626">
        <v>4228.1288154999993</v>
      </c>
      <c r="AG85" s="626">
        <v>3039.5600754999996</v>
      </c>
      <c r="AH85" s="625">
        <v>1.4243173850545541</v>
      </c>
      <c r="AI85" s="625">
        <v>0.23077044084762857</v>
      </c>
      <c r="AJ85" s="625">
        <v>0.29848680187584725</v>
      </c>
      <c r="AK85" s="625">
        <v>1.2593720712277414</v>
      </c>
      <c r="AL85" s="625">
        <v>1.09375</v>
      </c>
      <c r="AM85" s="625">
        <v>1.1428571428571428</v>
      </c>
      <c r="AN85" s="625">
        <v>1.0714285714285712</v>
      </c>
      <c r="AO85" s="625">
        <v>1.16</v>
      </c>
      <c r="AP85" s="625">
        <v>1.1363636363636362</v>
      </c>
      <c r="AQ85" s="625">
        <v>1.1428571428571432</v>
      </c>
      <c r="AR85" s="625">
        <v>1.1811023622047245</v>
      </c>
      <c r="AS85" s="625">
        <v>1.3910331463918984</v>
      </c>
    </row>
    <row r="86">
      <c r="B86" s="623">
        <v>2200000</v>
      </c>
      <c r="C86" s="603" t="s">
        <v>78</v>
      </c>
      <c r="D86" s="0" t="s">
        <v>116</v>
      </c>
      <c r="E86" s="0" t="s">
        <v>73</v>
      </c>
      <c r="F86" s="625">
        <v>7.3546488549204554</v>
      </c>
      <c r="G86" s="625">
        <v>2.2855394336318846</v>
      </c>
      <c r="H86" s="624">
        <v>5.2944033035107418</v>
      </c>
      <c r="I86" s="624">
        <v>11.86500996704944</v>
      </c>
      <c r="J86" s="626">
        <v>2640</v>
      </c>
      <c r="K86" s="626">
        <v>1853.5194667</v>
      </c>
      <c r="L86" s="626">
        <v>1161.3279849</v>
      </c>
      <c r="M86" s="626">
        <v>5032.3948797</v>
      </c>
      <c r="N86" s="626">
        <v>266.5724634</v>
      </c>
      <c r="O86" s="626">
        <v>893.0795658</v>
      </c>
      <c r="P86" s="626">
        <v>767.3135913</v>
      </c>
      <c r="Q86" s="626">
        <v>609.2826805</v>
      </c>
      <c r="R86" s="626">
        <v>2835.4913874</v>
      </c>
      <c r="S86" s="626">
        <v>2592.4492684999996</v>
      </c>
      <c r="T86" s="626">
        <v>4139.9244927</v>
      </c>
      <c r="U86" s="626">
        <v>3622.4339311000003</v>
      </c>
      <c r="V86" s="626">
        <v>3297.6639924</v>
      </c>
      <c r="W86" s="626">
        <v>3077.8197263</v>
      </c>
      <c r="X86" s="626">
        <v>6520.3810760000006</v>
      </c>
      <c r="Y86" s="626">
        <v>5621.0181689</v>
      </c>
      <c r="Z86" s="626">
        <v>852.7999874</v>
      </c>
      <c r="AA86" s="626">
        <v>750.4639889</v>
      </c>
      <c r="AB86" s="626">
        <v>3684.969055</v>
      </c>
      <c r="AC86" s="626">
        <v>3224.3479230999997</v>
      </c>
      <c r="AD86" s="626">
        <v>2409.0077867</v>
      </c>
      <c r="AE86" s="626">
        <v>2039.6265927</v>
      </c>
      <c r="AF86" s="626">
        <v>4650.9416969999993</v>
      </c>
      <c r="AG86" s="626">
        <v>3343.5160831</v>
      </c>
      <c r="AH86" s="625">
        <v>1.4243173850545541</v>
      </c>
      <c r="AI86" s="625">
        <v>0.23077044084762854</v>
      </c>
      <c r="AJ86" s="625">
        <v>0.29848680187584725</v>
      </c>
      <c r="AK86" s="625">
        <v>1.2593720712277414</v>
      </c>
      <c r="AL86" s="625">
        <v>1.09375</v>
      </c>
      <c r="AM86" s="625">
        <v>1.1428571428571428</v>
      </c>
      <c r="AN86" s="625">
        <v>1.0714285714285712</v>
      </c>
      <c r="AO86" s="625">
        <v>1.16</v>
      </c>
      <c r="AP86" s="625">
        <v>1.1363636363636365</v>
      </c>
      <c r="AQ86" s="625">
        <v>1.1428571428571432</v>
      </c>
      <c r="AR86" s="625">
        <v>1.1811023622047245</v>
      </c>
      <c r="AS86" s="625">
        <v>1.3910331463918981</v>
      </c>
    </row>
    <row r="87">
      <c r="B87" s="623">
        <v>2200000</v>
      </c>
      <c r="C87" s="603" t="s">
        <v>79</v>
      </c>
      <c r="D87" s="0" t="s">
        <v>116</v>
      </c>
      <c r="E87" s="0" t="s">
        <v>73</v>
      </c>
      <c r="F87" s="625">
        <v>8.3139508794752981</v>
      </c>
      <c r="G87" s="625">
        <v>2.5836532728012611</v>
      </c>
      <c r="H87" s="624">
        <v>5.9849776474469261</v>
      </c>
      <c r="I87" s="624">
        <v>13.412619962751544</v>
      </c>
      <c r="J87" s="626">
        <v>2860</v>
      </c>
      <c r="K87" s="626">
        <v>2007.9794223</v>
      </c>
      <c r="L87" s="626">
        <v>1258.105317</v>
      </c>
      <c r="M87" s="626">
        <v>5451.7611196</v>
      </c>
      <c r="N87" s="626">
        <v>288.7868354</v>
      </c>
      <c r="O87" s="626">
        <v>967.502863</v>
      </c>
      <c r="P87" s="626">
        <v>837.0693723</v>
      </c>
      <c r="Q87" s="626">
        <v>664.6720151</v>
      </c>
      <c r="R87" s="626">
        <v>3093.2633318</v>
      </c>
      <c r="S87" s="626">
        <v>2828.1264748</v>
      </c>
      <c r="T87" s="626">
        <v>4516.2812647</v>
      </c>
      <c r="U87" s="626">
        <v>3951.7461067</v>
      </c>
      <c r="V87" s="626">
        <v>3597.4516280999997</v>
      </c>
      <c r="W87" s="626">
        <v>3357.6215196000003</v>
      </c>
      <c r="X87" s="626">
        <v>7113.142992</v>
      </c>
      <c r="Y87" s="626">
        <v>6132.0198207</v>
      </c>
      <c r="Z87" s="626">
        <v>930.32725899999991</v>
      </c>
      <c r="AA87" s="626">
        <v>818.68798789999994</v>
      </c>
      <c r="AB87" s="626">
        <v>4019.9662418</v>
      </c>
      <c r="AC87" s="626">
        <v>3517.4704616</v>
      </c>
      <c r="AD87" s="626">
        <v>2628.0084945999997</v>
      </c>
      <c r="AE87" s="626">
        <v>2225.0471921000003</v>
      </c>
      <c r="AF87" s="626">
        <v>5073.7545786</v>
      </c>
      <c r="AG87" s="626">
        <v>3647.4720906000002</v>
      </c>
      <c r="AH87" s="625">
        <v>1.4243173850545539</v>
      </c>
      <c r="AI87" s="625">
        <v>0.23077044084762857</v>
      </c>
      <c r="AJ87" s="625">
        <v>0.29848680187584725</v>
      </c>
      <c r="AK87" s="625">
        <v>1.2593720712277412</v>
      </c>
      <c r="AL87" s="625">
        <v>1.09375</v>
      </c>
      <c r="AM87" s="625">
        <v>1.1428571428571428</v>
      </c>
      <c r="AN87" s="625">
        <v>1.0714285714285712</v>
      </c>
      <c r="AO87" s="625">
        <v>1.16</v>
      </c>
      <c r="AP87" s="625">
        <v>1.1363636363636362</v>
      </c>
      <c r="AQ87" s="625">
        <v>1.1428571428571432</v>
      </c>
      <c r="AR87" s="625">
        <v>1.1811023622047245</v>
      </c>
      <c r="AS87" s="625">
        <v>1.3910331463918986</v>
      </c>
    </row>
    <row r="88">
      <c r="B88" s="623">
        <v>600001</v>
      </c>
      <c r="C88" s="603" t="s">
        <v>77</v>
      </c>
      <c r="D88" s="0" t="s">
        <v>116</v>
      </c>
      <c r="E88" s="0" t="s">
        <v>72</v>
      </c>
      <c r="F88" s="625">
        <v>3.2859148800648894</v>
      </c>
      <c r="G88" s="625">
        <v>0.5103285434872642</v>
      </c>
      <c r="H88" s="624">
        <v>5.9418086516686239</v>
      </c>
      <c r="I88" s="624">
        <v>18.795085797726802</v>
      </c>
      <c r="J88" s="626">
        <v>600.001</v>
      </c>
      <c r="K88" s="626">
        <v>858.4606922</v>
      </c>
      <c r="L88" s="626">
        <v>358.2406927</v>
      </c>
      <c r="M88" s="626">
        <v>1175.7521359999998</v>
      </c>
      <c r="N88" s="626">
        <v>184.2486551</v>
      </c>
      <c r="O88" s="626">
        <v>381.6353122</v>
      </c>
      <c r="P88" s="626">
        <v>195.6887699</v>
      </c>
      <c r="Q88" s="626">
        <v>126.557385</v>
      </c>
      <c r="R88" s="626">
        <v>903.7016108</v>
      </c>
      <c r="S88" s="626">
        <v>619.656808</v>
      </c>
      <c r="T88" s="626">
        <v>883.317364</v>
      </c>
      <c r="U88" s="626">
        <v>633.2104771</v>
      </c>
      <c r="V88" s="626">
        <v>1522.0237656</v>
      </c>
      <c r="W88" s="626">
        <v>1067.3514395999998</v>
      </c>
      <c r="X88" s="626">
        <v>963.9483849</v>
      </c>
      <c r="Y88" s="626">
        <v>592.973022</v>
      </c>
      <c r="Z88" s="626">
        <v>187.6823065</v>
      </c>
      <c r="AA88" s="626">
        <v>131.6161972</v>
      </c>
      <c r="AB88" s="626">
        <v>910.00952960000006</v>
      </c>
      <c r="AC88" s="626">
        <v>597.7713743</v>
      </c>
      <c r="AD88" s="626">
        <v>801.7803765</v>
      </c>
      <c r="AE88" s="626">
        <v>565.4421317</v>
      </c>
      <c r="AF88" s="626">
        <v>693.0578703</v>
      </c>
      <c r="AG88" s="626">
        <v>385.7316615</v>
      </c>
      <c r="AH88" s="625">
        <v>0.69892658501900129</v>
      </c>
      <c r="AI88" s="625">
        <v>0.30469065866147471</v>
      </c>
      <c r="AJ88" s="625">
        <v>0.48278722964362553</v>
      </c>
      <c r="AK88" s="625">
        <v>1.5462453644339016</v>
      </c>
      <c r="AL88" s="625">
        <v>1.4583905141819755</v>
      </c>
      <c r="AM88" s="625">
        <v>1.394982230956672</v>
      </c>
      <c r="AN88" s="625">
        <v>1.4259818360890424</v>
      </c>
      <c r="AO88" s="625">
        <v>1.625619293141509</v>
      </c>
      <c r="AP88" s="625">
        <v>1.4259818360890426</v>
      </c>
      <c r="AQ88" s="625">
        <v>1.5223370818363746</v>
      </c>
      <c r="AR88" s="625">
        <v>1.4179707021784296</v>
      </c>
      <c r="AS88" s="625">
        <v>1.7967357606235468</v>
      </c>
    </row>
    <row r="89">
      <c r="B89" s="623">
        <v>600001</v>
      </c>
      <c r="C89" s="603" t="s">
        <v>78</v>
      </c>
      <c r="D89" s="0" t="s">
        <v>116</v>
      </c>
      <c r="E89" s="0" t="s">
        <v>72</v>
      </c>
      <c r="F89" s="625">
        <v>3.7788021120746227</v>
      </c>
      <c r="G89" s="625">
        <v>0.58687782501035379</v>
      </c>
      <c r="H89" s="624">
        <v>6.8330799494189174</v>
      </c>
      <c r="I89" s="624">
        <v>21.614348667385823</v>
      </c>
      <c r="J89" s="626">
        <v>720.00119999999993</v>
      </c>
      <c r="K89" s="626">
        <v>1030.1528307</v>
      </c>
      <c r="L89" s="626">
        <v>429.8888313</v>
      </c>
      <c r="M89" s="626">
        <v>1410.9025632</v>
      </c>
      <c r="N89" s="626">
        <v>221.0983861</v>
      </c>
      <c r="O89" s="626">
        <v>457.9623746</v>
      </c>
      <c r="P89" s="626">
        <v>215.25764679999998</v>
      </c>
      <c r="Q89" s="626">
        <v>139.2131235</v>
      </c>
      <c r="R89" s="626">
        <v>994.0717719</v>
      </c>
      <c r="S89" s="626">
        <v>681.6224888</v>
      </c>
      <c r="T89" s="626">
        <v>971.6491004</v>
      </c>
      <c r="U89" s="626">
        <v>696.5315248</v>
      </c>
      <c r="V89" s="626">
        <v>1674.2261421</v>
      </c>
      <c r="W89" s="626">
        <v>1174.0865836</v>
      </c>
      <c r="X89" s="626">
        <v>1060.3432234</v>
      </c>
      <c r="Y89" s="626">
        <v>652.2703242</v>
      </c>
      <c r="Z89" s="626">
        <v>206.45053719999999</v>
      </c>
      <c r="AA89" s="626">
        <v>144.7778169</v>
      </c>
      <c r="AB89" s="626">
        <v>1001.0104825999999</v>
      </c>
      <c r="AC89" s="626">
        <v>657.5485118</v>
      </c>
      <c r="AD89" s="626">
        <v>881.9584142</v>
      </c>
      <c r="AE89" s="626">
        <v>621.98634490000006</v>
      </c>
      <c r="AF89" s="626">
        <v>762.3636573</v>
      </c>
      <c r="AG89" s="626">
        <v>424.30482770000003</v>
      </c>
      <c r="AH89" s="625">
        <v>0.69892658501900129</v>
      </c>
      <c r="AI89" s="625">
        <v>0.30469065866147471</v>
      </c>
      <c r="AJ89" s="625">
        <v>0.48278722964362558</v>
      </c>
      <c r="AK89" s="625">
        <v>1.5462453644339016</v>
      </c>
      <c r="AL89" s="625">
        <v>1.4583905141819757</v>
      </c>
      <c r="AM89" s="625">
        <v>1.394982230956672</v>
      </c>
      <c r="AN89" s="625">
        <v>1.4259818360890426</v>
      </c>
      <c r="AO89" s="625">
        <v>1.625619293141509</v>
      </c>
      <c r="AP89" s="625">
        <v>1.4259818360890426</v>
      </c>
      <c r="AQ89" s="625">
        <v>1.5223370818363746</v>
      </c>
      <c r="AR89" s="625">
        <v>1.4179707021784296</v>
      </c>
      <c r="AS89" s="625">
        <v>1.7967357606235468</v>
      </c>
    </row>
    <row r="90">
      <c r="B90" s="623">
        <v>600001</v>
      </c>
      <c r="C90" s="603" t="s">
        <v>79</v>
      </c>
      <c r="D90" s="0" t="s">
        <v>116</v>
      </c>
      <c r="E90" s="0" t="s">
        <v>72</v>
      </c>
      <c r="F90" s="625">
        <v>4.2716893440843569</v>
      </c>
      <c r="G90" s="625">
        <v>0.6634271065334435</v>
      </c>
      <c r="H90" s="624">
        <v>7.7243512471692117</v>
      </c>
      <c r="I90" s="624">
        <v>24.433611537044847</v>
      </c>
      <c r="J90" s="626">
        <v>780.0013</v>
      </c>
      <c r="K90" s="626">
        <v>1115.9988999</v>
      </c>
      <c r="L90" s="626">
        <v>465.7129006</v>
      </c>
      <c r="M90" s="626">
        <v>1528.4777768000001</v>
      </c>
      <c r="N90" s="626">
        <v>239.52325159999998</v>
      </c>
      <c r="O90" s="626">
        <v>496.1259059</v>
      </c>
      <c r="P90" s="626">
        <v>234.8265238</v>
      </c>
      <c r="Q90" s="626">
        <v>151.868862</v>
      </c>
      <c r="R90" s="626">
        <v>1084.441933</v>
      </c>
      <c r="S90" s="626">
        <v>743.5881696</v>
      </c>
      <c r="T90" s="626">
        <v>1059.9808367</v>
      </c>
      <c r="U90" s="626">
        <v>759.85257250000006</v>
      </c>
      <c r="V90" s="626">
        <v>1826.4285186999998</v>
      </c>
      <c r="W90" s="626">
        <v>1280.8217275</v>
      </c>
      <c r="X90" s="626">
        <v>1156.7380618</v>
      </c>
      <c r="Y90" s="626">
        <v>711.5676264</v>
      </c>
      <c r="Z90" s="626">
        <v>225.2187678</v>
      </c>
      <c r="AA90" s="626">
        <v>157.9394366</v>
      </c>
      <c r="AB90" s="626">
        <v>1092.0114354999998</v>
      </c>
      <c r="AC90" s="626">
        <v>717.32564919999993</v>
      </c>
      <c r="AD90" s="626">
        <v>962.1364518</v>
      </c>
      <c r="AE90" s="626">
        <v>678.53055799999993</v>
      </c>
      <c r="AF90" s="626">
        <v>831.66944440000009</v>
      </c>
      <c r="AG90" s="626">
        <v>462.8779939</v>
      </c>
      <c r="AH90" s="625">
        <v>0.69892658501900129</v>
      </c>
      <c r="AI90" s="625">
        <v>0.30469065866147466</v>
      </c>
      <c r="AJ90" s="625">
        <v>0.48278722964362553</v>
      </c>
      <c r="AK90" s="625">
        <v>1.5462453644339016</v>
      </c>
      <c r="AL90" s="625">
        <v>1.4583905141819757</v>
      </c>
      <c r="AM90" s="625">
        <v>1.394982230956672</v>
      </c>
      <c r="AN90" s="625">
        <v>1.4259818360890426</v>
      </c>
      <c r="AO90" s="625">
        <v>1.6256192931415092</v>
      </c>
      <c r="AP90" s="625">
        <v>1.4259818360890426</v>
      </c>
      <c r="AQ90" s="625">
        <v>1.5223370818363746</v>
      </c>
      <c r="AR90" s="625">
        <v>1.4179707021784296</v>
      </c>
      <c r="AS90" s="625">
        <v>1.7967357606235468</v>
      </c>
    </row>
    <row r="91">
      <c r="B91" s="623">
        <v>668900</v>
      </c>
      <c r="C91" s="603" t="s">
        <v>77</v>
      </c>
      <c r="D91" s="0" t="s">
        <v>116</v>
      </c>
      <c r="E91" s="0" t="s">
        <v>72</v>
      </c>
      <c r="F91" s="625">
        <v>3.663241333390121</v>
      </c>
      <c r="G91" s="625">
        <v>0.56893032301384672</v>
      </c>
      <c r="H91" s="624">
        <v>5.9418086516686222</v>
      </c>
      <c r="I91" s="624">
        <v>17.320352839967128</v>
      </c>
      <c r="J91" s="626">
        <v>668.9</v>
      </c>
      <c r="K91" s="626">
        <v>957.039</v>
      </c>
      <c r="L91" s="626">
        <v>399.378</v>
      </c>
      <c r="M91" s="626">
        <v>1682.215</v>
      </c>
      <c r="N91" s="626">
        <v>205.4062</v>
      </c>
      <c r="O91" s="626">
        <v>546.0272</v>
      </c>
      <c r="P91" s="626">
        <v>218.16</v>
      </c>
      <c r="Q91" s="626">
        <v>181.0728</v>
      </c>
      <c r="R91" s="626">
        <v>1007.475</v>
      </c>
      <c r="S91" s="626">
        <v>886.578</v>
      </c>
      <c r="T91" s="626">
        <v>984.75</v>
      </c>
      <c r="U91" s="626">
        <v>905.97</v>
      </c>
      <c r="V91" s="626">
        <v>1696.8</v>
      </c>
      <c r="W91" s="626">
        <v>1527.12</v>
      </c>
      <c r="X91" s="626">
        <v>1074.64</v>
      </c>
      <c r="Y91" s="626">
        <v>848.4</v>
      </c>
      <c r="Z91" s="626">
        <v>209.2341427</v>
      </c>
      <c r="AA91" s="626">
        <v>188.3107284</v>
      </c>
      <c r="AB91" s="626">
        <v>1014.5072663999999</v>
      </c>
      <c r="AC91" s="626">
        <v>855.2652737</v>
      </c>
      <c r="AD91" s="626">
        <v>893.85</v>
      </c>
      <c r="AE91" s="626">
        <v>809.01</v>
      </c>
      <c r="AF91" s="626">
        <v>772.642728</v>
      </c>
      <c r="AG91" s="626">
        <v>551.8880784</v>
      </c>
      <c r="AH91" s="625">
        <v>0.69892658501900129</v>
      </c>
      <c r="AI91" s="625">
        <v>0.23741198360494942</v>
      </c>
      <c r="AJ91" s="625">
        <v>0.37618309124527138</v>
      </c>
      <c r="AK91" s="625">
        <v>1.2048192771084338</v>
      </c>
      <c r="AL91" s="625">
        <v>1.1363636363636365</v>
      </c>
      <c r="AM91" s="625">
        <v>1.0869565217391304</v>
      </c>
      <c r="AN91" s="625">
        <v>1.1111111111111112</v>
      </c>
      <c r="AO91" s="625">
        <v>1.2666666666666671</v>
      </c>
      <c r="AP91" s="625">
        <v>1.1111111111111112</v>
      </c>
      <c r="AQ91" s="625">
        <v>1.1861901769548482</v>
      </c>
      <c r="AR91" s="625">
        <v>1.1048689138576779</v>
      </c>
      <c r="AS91" s="625">
        <v>1.3999989458735556</v>
      </c>
    </row>
    <row r="92">
      <c r="B92" s="623">
        <v>668900</v>
      </c>
      <c r="C92" s="603" t="s">
        <v>78</v>
      </c>
      <c r="D92" s="0" t="s">
        <v>116</v>
      </c>
      <c r="E92" s="0" t="s">
        <v>72</v>
      </c>
      <c r="F92" s="625">
        <v>4.2127275333986391</v>
      </c>
      <c r="G92" s="625">
        <v>0.65426987146592364</v>
      </c>
      <c r="H92" s="624">
        <v>6.8330799494189147</v>
      </c>
      <c r="I92" s="624">
        <v>19.918405765962195</v>
      </c>
      <c r="J92" s="626">
        <v>802.68</v>
      </c>
      <c r="K92" s="626">
        <v>1148.4468</v>
      </c>
      <c r="L92" s="626">
        <v>479.25359999999995</v>
      </c>
      <c r="M92" s="626">
        <v>2018.658</v>
      </c>
      <c r="N92" s="626">
        <v>246.48744</v>
      </c>
      <c r="O92" s="626">
        <v>655.23264000000006</v>
      </c>
      <c r="P92" s="626">
        <v>239.976</v>
      </c>
      <c r="Q92" s="626">
        <v>199.18007999999998</v>
      </c>
      <c r="R92" s="626">
        <v>1108.2225</v>
      </c>
      <c r="S92" s="626">
        <v>975.2358</v>
      </c>
      <c r="T92" s="626">
        <v>1083.225</v>
      </c>
      <c r="U92" s="626">
        <v>996.567</v>
      </c>
      <c r="V92" s="626">
        <v>1866.48</v>
      </c>
      <c r="W92" s="626">
        <v>1679.832</v>
      </c>
      <c r="X92" s="626">
        <v>1182.104</v>
      </c>
      <c r="Y92" s="626">
        <v>933.24</v>
      </c>
      <c r="Z92" s="626">
        <v>230.1575569</v>
      </c>
      <c r="AA92" s="626">
        <v>207.14180119999998</v>
      </c>
      <c r="AB92" s="626">
        <v>1115.957993</v>
      </c>
      <c r="AC92" s="626">
        <v>940.7918011</v>
      </c>
      <c r="AD92" s="626">
        <v>983.235</v>
      </c>
      <c r="AE92" s="626">
        <v>889.911</v>
      </c>
      <c r="AF92" s="626">
        <v>849.9070008</v>
      </c>
      <c r="AG92" s="626">
        <v>607.0768862</v>
      </c>
      <c r="AH92" s="625">
        <v>0.69892658501900129</v>
      </c>
      <c r="AI92" s="625">
        <v>0.23741198360494942</v>
      </c>
      <c r="AJ92" s="625">
        <v>0.37618309124527138</v>
      </c>
      <c r="AK92" s="625">
        <v>1.2048192771084338</v>
      </c>
      <c r="AL92" s="625">
        <v>1.1363636363636365</v>
      </c>
      <c r="AM92" s="625">
        <v>1.0869565217391304</v>
      </c>
      <c r="AN92" s="625">
        <v>1.1111111111111114</v>
      </c>
      <c r="AO92" s="625">
        <v>1.2666666666666668</v>
      </c>
      <c r="AP92" s="625">
        <v>1.1111111111111112</v>
      </c>
      <c r="AQ92" s="625">
        <v>1.1861901769548482</v>
      </c>
      <c r="AR92" s="625">
        <v>1.1048689138576779</v>
      </c>
      <c r="AS92" s="625">
        <v>1.3999989458735556</v>
      </c>
    </row>
    <row r="93">
      <c r="B93" s="623">
        <v>668900</v>
      </c>
      <c r="C93" s="603" t="s">
        <v>79</v>
      </c>
      <c r="D93" s="0" t="s">
        <v>116</v>
      </c>
      <c r="E93" s="0" t="s">
        <v>72</v>
      </c>
      <c r="F93" s="625">
        <v>4.7622137334071573</v>
      </c>
      <c r="G93" s="625">
        <v>0.73960941991800078</v>
      </c>
      <c r="H93" s="624">
        <v>7.72435124716921</v>
      </c>
      <c r="I93" s="624">
        <v>22.516458691957268</v>
      </c>
      <c r="J93" s="626">
        <v>869.57</v>
      </c>
      <c r="K93" s="626">
        <v>1244.1507</v>
      </c>
      <c r="L93" s="626">
        <v>519.1914</v>
      </c>
      <c r="M93" s="626">
        <v>2186.8795</v>
      </c>
      <c r="N93" s="626">
        <v>267.02806</v>
      </c>
      <c r="O93" s="626">
        <v>709.83536</v>
      </c>
      <c r="P93" s="626">
        <v>261.792</v>
      </c>
      <c r="Q93" s="626">
        <v>217.28735999999998</v>
      </c>
      <c r="R93" s="626">
        <v>1208.97</v>
      </c>
      <c r="S93" s="626">
        <v>1063.8936</v>
      </c>
      <c r="T93" s="626">
        <v>1181.7</v>
      </c>
      <c r="U93" s="626">
        <v>1087.164</v>
      </c>
      <c r="V93" s="626">
        <v>2036.16</v>
      </c>
      <c r="W93" s="626">
        <v>1832.544</v>
      </c>
      <c r="X93" s="626">
        <v>1289.568</v>
      </c>
      <c r="Y93" s="626">
        <v>1018.08</v>
      </c>
      <c r="Z93" s="626">
        <v>251.0809712</v>
      </c>
      <c r="AA93" s="626">
        <v>225.97287409999998</v>
      </c>
      <c r="AB93" s="626">
        <v>1217.4087197000001</v>
      </c>
      <c r="AC93" s="626">
        <v>1026.3183285</v>
      </c>
      <c r="AD93" s="626">
        <v>1072.62</v>
      </c>
      <c r="AE93" s="626">
        <v>970.812</v>
      </c>
      <c r="AF93" s="626">
        <v>927.1712736</v>
      </c>
      <c r="AG93" s="626">
        <v>662.2656941</v>
      </c>
      <c r="AH93" s="625">
        <v>0.69892658501900129</v>
      </c>
      <c r="AI93" s="625">
        <v>0.23741198360494945</v>
      </c>
      <c r="AJ93" s="625">
        <v>0.37618309124527138</v>
      </c>
      <c r="AK93" s="625">
        <v>1.2048192771084338</v>
      </c>
      <c r="AL93" s="625">
        <v>1.1363636363636365</v>
      </c>
      <c r="AM93" s="625">
        <v>1.0869565217391304</v>
      </c>
      <c r="AN93" s="625">
        <v>1.1111111111111112</v>
      </c>
      <c r="AO93" s="625">
        <v>1.2666666666666668</v>
      </c>
      <c r="AP93" s="625">
        <v>1.1111111111111112</v>
      </c>
      <c r="AQ93" s="625">
        <v>1.1861901769548482</v>
      </c>
      <c r="AR93" s="625">
        <v>1.1048689138576779</v>
      </c>
      <c r="AS93" s="625">
        <v>1.3999989458735556</v>
      </c>
    </row>
    <row r="94">
      <c r="B94" s="623">
        <v>700000</v>
      </c>
      <c r="C94" s="603" t="s">
        <v>77</v>
      </c>
      <c r="D94" s="0" t="s">
        <v>116</v>
      </c>
      <c r="E94" s="0" t="s">
        <v>72</v>
      </c>
      <c r="F94" s="625">
        <v>3.7383774419571689</v>
      </c>
      <c r="G94" s="625">
        <v>0.60008983638569324</v>
      </c>
      <c r="H94" s="624">
        <v>5.89427417639166</v>
      </c>
      <c r="I94" s="624">
        <v>16.977345084698623</v>
      </c>
      <c r="J94" s="626">
        <v>700</v>
      </c>
      <c r="K94" s="626">
        <v>964.9258523</v>
      </c>
      <c r="L94" s="626">
        <v>410.8433327</v>
      </c>
      <c r="M94" s="626">
        <v>1730.5295286</v>
      </c>
      <c r="N94" s="626">
        <v>205.4062</v>
      </c>
      <c r="O94" s="626">
        <v>546.6809707</v>
      </c>
      <c r="P94" s="626">
        <v>225.719122</v>
      </c>
      <c r="Q94" s="626">
        <v>186.48771720000002</v>
      </c>
      <c r="R94" s="626">
        <v>1040.6781712</v>
      </c>
      <c r="S94" s="626">
        <v>897.3630301</v>
      </c>
      <c r="T94" s="626">
        <v>1033.5546612</v>
      </c>
      <c r="U94" s="626">
        <v>945.4937748</v>
      </c>
      <c r="V94" s="626">
        <v>1741.6042792</v>
      </c>
      <c r="W94" s="626">
        <v>1564.7555945</v>
      </c>
      <c r="X94" s="626">
        <v>1146.9242371</v>
      </c>
      <c r="Y94" s="626">
        <v>911.12599080000007</v>
      </c>
      <c r="Z94" s="626">
        <v>219.2179905</v>
      </c>
      <c r="AA94" s="626">
        <v>197.4874057</v>
      </c>
      <c r="AB94" s="626">
        <v>1063.6249533</v>
      </c>
      <c r="AC94" s="626">
        <v>900.7109179</v>
      </c>
      <c r="AD94" s="626">
        <v>926.05307559999994</v>
      </c>
      <c r="AE94" s="626">
        <v>836.3726133</v>
      </c>
      <c r="AF94" s="626">
        <v>803.3654319</v>
      </c>
      <c r="AG94" s="626">
        <v>573.2499266</v>
      </c>
      <c r="AH94" s="625">
        <v>0.7254443420242731</v>
      </c>
      <c r="AI94" s="625">
        <v>0.23740902761911614</v>
      </c>
      <c r="AJ94" s="625">
        <v>0.37573321738330068</v>
      </c>
      <c r="AK94" s="625">
        <v>1.2103699127451422</v>
      </c>
      <c r="AL94" s="625">
        <v>1.159706981801552</v>
      </c>
      <c r="AM94" s="625">
        <v>1.0931374576356041</v>
      </c>
      <c r="AN94" s="625">
        <v>1.1130200047139238</v>
      </c>
      <c r="AO94" s="625">
        <v>1.2587987266249237</v>
      </c>
      <c r="AP94" s="625">
        <v>1.1100352941010683</v>
      </c>
      <c r="AQ94" s="625">
        <v>1.1808727220160202</v>
      </c>
      <c r="AR94" s="625">
        <v>1.1072254888209732</v>
      </c>
      <c r="AS94" s="625">
        <v>1.4014226510077712</v>
      </c>
    </row>
    <row r="95">
      <c r="B95" s="623">
        <v>700000</v>
      </c>
      <c r="C95" s="603" t="s">
        <v>78</v>
      </c>
      <c r="D95" s="0" t="s">
        <v>116</v>
      </c>
      <c r="E95" s="0" t="s">
        <v>72</v>
      </c>
      <c r="F95" s="625">
        <v>4.2991340582507442</v>
      </c>
      <c r="G95" s="625">
        <v>0.69010331184354712</v>
      </c>
      <c r="H95" s="624">
        <v>6.7784153028504086</v>
      </c>
      <c r="I95" s="624">
        <v>19.523946847403419</v>
      </c>
      <c r="J95" s="626">
        <v>840</v>
      </c>
      <c r="K95" s="626">
        <v>1157.9110227</v>
      </c>
      <c r="L95" s="626">
        <v>493.01199920000005</v>
      </c>
      <c r="M95" s="626">
        <v>2076.6354343000003</v>
      </c>
      <c r="N95" s="626">
        <v>246.48744</v>
      </c>
      <c r="O95" s="626">
        <v>656.0171648</v>
      </c>
      <c r="P95" s="626">
        <v>248.29103419999998</v>
      </c>
      <c r="Q95" s="626">
        <v>205.1364889</v>
      </c>
      <c r="R95" s="626">
        <v>1144.7459883000001</v>
      </c>
      <c r="S95" s="626">
        <v>987.09933310000008</v>
      </c>
      <c r="T95" s="626">
        <v>1136.9101274000002</v>
      </c>
      <c r="U95" s="626">
        <v>1040.0431523</v>
      </c>
      <c r="V95" s="626">
        <v>1915.7647071</v>
      </c>
      <c r="W95" s="626">
        <v>1721.2311539</v>
      </c>
      <c r="X95" s="626">
        <v>1261.6166607999999</v>
      </c>
      <c r="Y95" s="626">
        <v>1002.2385899</v>
      </c>
      <c r="Z95" s="626">
        <v>241.1397895</v>
      </c>
      <c r="AA95" s="626">
        <v>217.2361463</v>
      </c>
      <c r="AB95" s="626">
        <v>1169.9874487</v>
      </c>
      <c r="AC95" s="626">
        <v>990.7820097</v>
      </c>
      <c r="AD95" s="626">
        <v>1018.6583832</v>
      </c>
      <c r="AE95" s="626">
        <v>920.00987470000007</v>
      </c>
      <c r="AF95" s="626">
        <v>883.701975</v>
      </c>
      <c r="AG95" s="626">
        <v>630.57491929999992</v>
      </c>
      <c r="AH95" s="625">
        <v>0.7254443420242731</v>
      </c>
      <c r="AI95" s="625">
        <v>0.23740902761911614</v>
      </c>
      <c r="AJ95" s="625">
        <v>0.37573321738330068</v>
      </c>
      <c r="AK95" s="625">
        <v>1.2103699127451422</v>
      </c>
      <c r="AL95" s="625">
        <v>1.159706981801552</v>
      </c>
      <c r="AM95" s="625">
        <v>1.0931374576356041</v>
      </c>
      <c r="AN95" s="625">
        <v>1.1130200047139238</v>
      </c>
      <c r="AO95" s="625">
        <v>1.2587987266249239</v>
      </c>
      <c r="AP95" s="625">
        <v>1.1100352941010681</v>
      </c>
      <c r="AQ95" s="625">
        <v>1.1808727220160202</v>
      </c>
      <c r="AR95" s="625">
        <v>1.1072254888209732</v>
      </c>
      <c r="AS95" s="625">
        <v>1.4014226510077712</v>
      </c>
    </row>
    <row r="96">
      <c r="B96" s="623">
        <v>700000</v>
      </c>
      <c r="C96" s="603" t="s">
        <v>79</v>
      </c>
      <c r="D96" s="0" t="s">
        <v>116</v>
      </c>
      <c r="E96" s="0" t="s">
        <v>72</v>
      </c>
      <c r="F96" s="625">
        <v>4.85989067454432</v>
      </c>
      <c r="G96" s="625">
        <v>0.78011678730140122</v>
      </c>
      <c r="H96" s="624">
        <v>7.6625564293091593</v>
      </c>
      <c r="I96" s="624">
        <v>22.070548610108215</v>
      </c>
      <c r="J96" s="626">
        <v>910</v>
      </c>
      <c r="K96" s="626">
        <v>1254.4036079</v>
      </c>
      <c r="L96" s="626">
        <v>534.0963325</v>
      </c>
      <c r="M96" s="626">
        <v>2249.6883872000003</v>
      </c>
      <c r="N96" s="626">
        <v>267.02806</v>
      </c>
      <c r="O96" s="626">
        <v>710.6852619</v>
      </c>
      <c r="P96" s="626">
        <v>270.86294630000003</v>
      </c>
      <c r="Q96" s="626">
        <v>223.78526060000002</v>
      </c>
      <c r="R96" s="626">
        <v>1248.8138053999999</v>
      </c>
      <c r="S96" s="626">
        <v>1076.8356361</v>
      </c>
      <c r="T96" s="626">
        <v>1240.2655935</v>
      </c>
      <c r="U96" s="626">
        <v>1134.5925298</v>
      </c>
      <c r="V96" s="626">
        <v>2089.925135</v>
      </c>
      <c r="W96" s="626">
        <v>1877.7067134</v>
      </c>
      <c r="X96" s="626">
        <v>1376.3090845000002</v>
      </c>
      <c r="Y96" s="626">
        <v>1093.351189</v>
      </c>
      <c r="Z96" s="626">
        <v>263.0615886</v>
      </c>
      <c r="AA96" s="626">
        <v>236.9848868</v>
      </c>
      <c r="AB96" s="626">
        <v>1276.3499439999998</v>
      </c>
      <c r="AC96" s="626">
        <v>1080.8531014</v>
      </c>
      <c r="AD96" s="626">
        <v>1111.2636908</v>
      </c>
      <c r="AE96" s="626">
        <v>1003.647136</v>
      </c>
      <c r="AF96" s="626">
        <v>964.0385182</v>
      </c>
      <c r="AG96" s="626">
        <v>687.899912</v>
      </c>
      <c r="AH96" s="625">
        <v>0.7254443420242731</v>
      </c>
      <c r="AI96" s="625">
        <v>0.23740902761911611</v>
      </c>
      <c r="AJ96" s="625">
        <v>0.37573321738330068</v>
      </c>
      <c r="AK96" s="625">
        <v>1.2103699127451424</v>
      </c>
      <c r="AL96" s="625">
        <v>1.159706981801552</v>
      </c>
      <c r="AM96" s="625">
        <v>1.0931374576356043</v>
      </c>
      <c r="AN96" s="625">
        <v>1.1130200047139238</v>
      </c>
      <c r="AO96" s="625">
        <v>1.2587987266249237</v>
      </c>
      <c r="AP96" s="625">
        <v>1.1100352941010681</v>
      </c>
      <c r="AQ96" s="625">
        <v>1.1808727220160202</v>
      </c>
      <c r="AR96" s="625">
        <v>1.1072254888209732</v>
      </c>
      <c r="AS96" s="625">
        <v>1.4014226510077712</v>
      </c>
    </row>
    <row r="97">
      <c r="B97" s="623">
        <v>800000</v>
      </c>
      <c r="C97" s="603" t="s">
        <v>77</v>
      </c>
      <c r="D97" s="0" t="s">
        <v>116</v>
      </c>
      <c r="E97" s="0" t="s">
        <v>72</v>
      </c>
      <c r="F97" s="625">
        <v>3.9567154412862369</v>
      </c>
      <c r="G97" s="625">
        <v>0.70028119770995845</v>
      </c>
      <c r="H97" s="624">
        <v>5.7643056296480379</v>
      </c>
      <c r="I97" s="624">
        <v>16.028133013978753</v>
      </c>
      <c r="J97" s="626">
        <v>800</v>
      </c>
      <c r="K97" s="626">
        <v>990.2855059</v>
      </c>
      <c r="L97" s="626">
        <v>447.709354</v>
      </c>
      <c r="M97" s="626">
        <v>1885.8817106000001</v>
      </c>
      <c r="N97" s="626">
        <v>205.4062</v>
      </c>
      <c r="O97" s="626">
        <v>548.7831273</v>
      </c>
      <c r="P97" s="626">
        <v>250.02498029999998</v>
      </c>
      <c r="Q97" s="626">
        <v>203.8990264</v>
      </c>
      <c r="R97" s="626">
        <v>1147.4407794</v>
      </c>
      <c r="S97" s="626">
        <v>932.04158330000007</v>
      </c>
      <c r="T97" s="626">
        <v>1190.4828324</v>
      </c>
      <c r="U97" s="626">
        <v>1072.5798674999999</v>
      </c>
      <c r="V97" s="626">
        <v>1885.6694855</v>
      </c>
      <c r="W97" s="626">
        <v>1685.7703677999998</v>
      </c>
      <c r="X97" s="626">
        <v>1379.3494366</v>
      </c>
      <c r="Y97" s="626">
        <v>1112.8172797</v>
      </c>
      <c r="Z97" s="626">
        <v>251.32039490000003</v>
      </c>
      <c r="AA97" s="626">
        <v>226.9944066</v>
      </c>
      <c r="AB97" s="626">
        <v>1221.559638</v>
      </c>
      <c r="AC97" s="626">
        <v>1046.838391</v>
      </c>
      <c r="AD97" s="626">
        <v>1029.5999427</v>
      </c>
      <c r="AE97" s="626">
        <v>924.3552929</v>
      </c>
      <c r="AF97" s="626">
        <v>902.15226100000007</v>
      </c>
      <c r="AG97" s="626">
        <v>641.93754150000007</v>
      </c>
      <c r="AH97" s="625">
        <v>0.80784783304140106</v>
      </c>
      <c r="AI97" s="625">
        <v>0.2374005493145871</v>
      </c>
      <c r="AJ97" s="625">
        <v>0.37429394199441829</v>
      </c>
      <c r="AK97" s="625">
        <v>1.2262195890049248</v>
      </c>
      <c r="AL97" s="625">
        <v>1.2311047060452351</v>
      </c>
      <c r="AM97" s="625">
        <v>1.109924648426482</v>
      </c>
      <c r="AN97" s="625">
        <v>1.1185802772992044</v>
      </c>
      <c r="AO97" s="625">
        <v>1.2395111594428045</v>
      </c>
      <c r="AP97" s="625">
        <v>1.1071655846689408</v>
      </c>
      <c r="AQ97" s="625">
        <v>1.1669037442278833</v>
      </c>
      <c r="AR97" s="625">
        <v>1.1138573561237577</v>
      </c>
      <c r="AS97" s="625">
        <v>1.4053583139750967</v>
      </c>
    </row>
    <row r="98">
      <c r="B98" s="623">
        <v>800000</v>
      </c>
      <c r="C98" s="603" t="s">
        <v>78</v>
      </c>
      <c r="D98" s="0" t="s">
        <v>116</v>
      </c>
      <c r="E98" s="0" t="s">
        <v>72</v>
      </c>
      <c r="F98" s="625">
        <v>4.5502227574791725</v>
      </c>
      <c r="G98" s="625">
        <v>0.80532337736645221</v>
      </c>
      <c r="H98" s="624">
        <v>6.6289514740952438</v>
      </c>
      <c r="I98" s="624">
        <v>18.432352966075566</v>
      </c>
      <c r="J98" s="626">
        <v>960</v>
      </c>
      <c r="K98" s="626">
        <v>1188.342607</v>
      </c>
      <c r="L98" s="626">
        <v>537.2512249</v>
      </c>
      <c r="M98" s="626">
        <v>2263.0580528</v>
      </c>
      <c r="N98" s="626">
        <v>246.48744</v>
      </c>
      <c r="O98" s="626">
        <v>658.5397527</v>
      </c>
      <c r="P98" s="626">
        <v>275.0274784</v>
      </c>
      <c r="Q98" s="626">
        <v>224.288929</v>
      </c>
      <c r="R98" s="626">
        <v>1262.1848574</v>
      </c>
      <c r="S98" s="626">
        <v>1025.2457416</v>
      </c>
      <c r="T98" s="626">
        <v>1309.5311155999998</v>
      </c>
      <c r="U98" s="626">
        <v>1179.8378543000001</v>
      </c>
      <c r="V98" s="626">
        <v>2074.236434</v>
      </c>
      <c r="W98" s="626">
        <v>1854.3474046000001</v>
      </c>
      <c r="X98" s="626">
        <v>1517.2843802</v>
      </c>
      <c r="Y98" s="626">
        <v>1224.0990075999998</v>
      </c>
      <c r="Z98" s="626">
        <v>276.4524344</v>
      </c>
      <c r="AA98" s="626">
        <v>249.6938473</v>
      </c>
      <c r="AB98" s="626">
        <v>1343.7156018</v>
      </c>
      <c r="AC98" s="626">
        <v>1151.5222301000001</v>
      </c>
      <c r="AD98" s="626">
        <v>1132.559937</v>
      </c>
      <c r="AE98" s="626">
        <v>1016.7908222000001</v>
      </c>
      <c r="AF98" s="626">
        <v>992.36748710000006</v>
      </c>
      <c r="AG98" s="626">
        <v>706.1312957</v>
      </c>
      <c r="AH98" s="625">
        <v>0.80784783304140118</v>
      </c>
      <c r="AI98" s="625">
        <v>0.23740054931458715</v>
      </c>
      <c r="AJ98" s="625">
        <v>0.37429394199441829</v>
      </c>
      <c r="AK98" s="625">
        <v>1.2262195890049248</v>
      </c>
      <c r="AL98" s="625">
        <v>1.2311047060452354</v>
      </c>
      <c r="AM98" s="625">
        <v>1.1099246484264822</v>
      </c>
      <c r="AN98" s="625">
        <v>1.1185802772992044</v>
      </c>
      <c r="AO98" s="625">
        <v>1.2395111594428045</v>
      </c>
      <c r="AP98" s="625">
        <v>1.1071655846689408</v>
      </c>
      <c r="AQ98" s="625">
        <v>1.1669037442278831</v>
      </c>
      <c r="AR98" s="625">
        <v>1.1138573561237575</v>
      </c>
      <c r="AS98" s="625">
        <v>1.4053583139750969</v>
      </c>
    </row>
    <row r="99">
      <c r="B99" s="623">
        <v>800000</v>
      </c>
      <c r="C99" s="603" t="s">
        <v>79</v>
      </c>
      <c r="D99" s="0" t="s">
        <v>116</v>
      </c>
      <c r="E99" s="0" t="s">
        <v>72</v>
      </c>
      <c r="F99" s="625">
        <v>5.1437300736721081</v>
      </c>
      <c r="G99" s="625">
        <v>0.91036555702294608</v>
      </c>
      <c r="H99" s="624">
        <v>7.4935973185424505</v>
      </c>
      <c r="I99" s="624">
        <v>20.836572918172379</v>
      </c>
      <c r="J99" s="626">
        <v>1040</v>
      </c>
      <c r="K99" s="626">
        <v>1287.3711576</v>
      </c>
      <c r="L99" s="626">
        <v>582.0221603</v>
      </c>
      <c r="M99" s="626">
        <v>2451.6462238</v>
      </c>
      <c r="N99" s="626">
        <v>267.02806</v>
      </c>
      <c r="O99" s="626">
        <v>713.41806539999993</v>
      </c>
      <c r="P99" s="626">
        <v>300.0299764</v>
      </c>
      <c r="Q99" s="626">
        <v>244.67883170000002</v>
      </c>
      <c r="R99" s="626">
        <v>1376.9289353</v>
      </c>
      <c r="S99" s="626">
        <v>1118.4498999</v>
      </c>
      <c r="T99" s="626">
        <v>1428.5793989</v>
      </c>
      <c r="U99" s="626">
        <v>1287.0958411000001</v>
      </c>
      <c r="V99" s="626">
        <v>2262.8033826</v>
      </c>
      <c r="W99" s="626">
        <v>2022.9244414</v>
      </c>
      <c r="X99" s="626">
        <v>1655.2193239</v>
      </c>
      <c r="Y99" s="626">
        <v>1335.3807356</v>
      </c>
      <c r="Z99" s="626">
        <v>301.5844739</v>
      </c>
      <c r="AA99" s="626">
        <v>272.3932879</v>
      </c>
      <c r="AB99" s="626">
        <v>1465.8715656000002</v>
      </c>
      <c r="AC99" s="626">
        <v>1256.2060691</v>
      </c>
      <c r="AD99" s="626">
        <v>1235.5199312</v>
      </c>
      <c r="AE99" s="626">
        <v>1109.2263515000002</v>
      </c>
      <c r="AF99" s="626">
        <v>1082.5827132000002</v>
      </c>
      <c r="AG99" s="626">
        <v>770.3250498</v>
      </c>
      <c r="AH99" s="625">
        <v>0.80784783304140106</v>
      </c>
      <c r="AI99" s="625">
        <v>0.2374005493145871</v>
      </c>
      <c r="AJ99" s="625">
        <v>0.37429394199441834</v>
      </c>
      <c r="AK99" s="625">
        <v>1.226219589004925</v>
      </c>
      <c r="AL99" s="625">
        <v>1.2311047060452354</v>
      </c>
      <c r="AM99" s="625">
        <v>1.109924648426482</v>
      </c>
      <c r="AN99" s="625">
        <v>1.1185802772992044</v>
      </c>
      <c r="AO99" s="625">
        <v>1.2395111594428045</v>
      </c>
      <c r="AP99" s="625">
        <v>1.107165584668941</v>
      </c>
      <c r="AQ99" s="625">
        <v>1.1669037442278831</v>
      </c>
      <c r="AR99" s="625">
        <v>1.1138573561237575</v>
      </c>
      <c r="AS99" s="625">
        <v>1.4053583139750969</v>
      </c>
    </row>
    <row r="100">
      <c r="B100" s="623">
        <v>957039</v>
      </c>
      <c r="C100" s="603" t="s">
        <v>77</v>
      </c>
      <c r="D100" s="0" t="s">
        <v>116</v>
      </c>
      <c r="E100" s="0" t="s">
        <v>72</v>
      </c>
      <c r="F100" s="625">
        <v>4.2415674658151925</v>
      </c>
      <c r="G100" s="625">
        <v>0.8576207096199715</v>
      </c>
      <c r="H100" s="624">
        <v>5.6109906707806232</v>
      </c>
      <c r="I100" s="624">
        <v>14.886534781931736</v>
      </c>
      <c r="J100" s="626">
        <v>957.039</v>
      </c>
      <c r="K100" s="626">
        <v>1030.1100523</v>
      </c>
      <c r="L100" s="626">
        <v>505.60338540000004</v>
      </c>
      <c r="M100" s="626">
        <v>2129.8452238</v>
      </c>
      <c r="N100" s="626">
        <v>205.4062</v>
      </c>
      <c r="O100" s="626">
        <v>552.0843329</v>
      </c>
      <c r="P100" s="626">
        <v>288.1946573</v>
      </c>
      <c r="Q100" s="626">
        <v>231.2415723</v>
      </c>
      <c r="R100" s="626">
        <v>1315.0997118</v>
      </c>
      <c r="S100" s="626">
        <v>986.5004365</v>
      </c>
      <c r="T100" s="626">
        <v>1436.9212631</v>
      </c>
      <c r="U100" s="626">
        <v>1272.1545967000002</v>
      </c>
      <c r="V100" s="626">
        <v>2111.9080448</v>
      </c>
      <c r="W100" s="626">
        <v>1875.8107577</v>
      </c>
      <c r="X100" s="626">
        <v>1744.3476457</v>
      </c>
      <c r="Y100" s="626">
        <v>1429.5512628</v>
      </c>
      <c r="Z100" s="626">
        <v>301.7336898</v>
      </c>
      <c r="AA100" s="626">
        <v>273.3319058</v>
      </c>
      <c r="AB100" s="626">
        <v>1469.5786875</v>
      </c>
      <c r="AC100" s="626">
        <v>1276.3155134</v>
      </c>
      <c r="AD100" s="626">
        <v>1192.2089072</v>
      </c>
      <c r="AE100" s="626">
        <v>1062.5224131</v>
      </c>
      <c r="AF100" s="626">
        <v>1057.2861096000002</v>
      </c>
      <c r="AG100" s="626">
        <v>749.803885</v>
      </c>
      <c r="AH100" s="625">
        <v>0.92906481001578445</v>
      </c>
      <c r="AI100" s="625">
        <v>0.2373897313014941</v>
      </c>
      <c r="AJ100" s="625">
        <v>0.37205583958758104</v>
      </c>
      <c r="AK100" s="625">
        <v>1.2462925867620147</v>
      </c>
      <c r="AL100" s="625">
        <v>1.333095924875491</v>
      </c>
      <c r="AM100" s="625">
        <v>1.1295178014195775</v>
      </c>
      <c r="AN100" s="625">
        <v>1.125864128995421</v>
      </c>
      <c r="AO100" s="625">
        <v>1.2202064319742678</v>
      </c>
      <c r="AP100" s="625">
        <v>1.1039095087565887</v>
      </c>
      <c r="AQ100" s="625">
        <v>1.1514227258270722</v>
      </c>
      <c r="AR100" s="625">
        <v>1.1220553021102531</v>
      </c>
      <c r="AS100" s="625">
        <v>1.4100835308129294</v>
      </c>
    </row>
    <row r="101">
      <c r="B101" s="623">
        <v>957039</v>
      </c>
      <c r="C101" s="603" t="s">
        <v>78</v>
      </c>
      <c r="D101" s="0" t="s">
        <v>116</v>
      </c>
      <c r="E101" s="0" t="s">
        <v>72</v>
      </c>
      <c r="F101" s="625">
        <v>4.8778025856874709</v>
      </c>
      <c r="G101" s="625">
        <v>0.9862638160629672</v>
      </c>
      <c r="H101" s="624">
        <v>6.4526392713977163</v>
      </c>
      <c r="I101" s="624">
        <v>17.119514999221497</v>
      </c>
      <c r="J101" s="626">
        <v>1148.4468</v>
      </c>
      <c r="K101" s="626">
        <v>1236.1320627</v>
      </c>
      <c r="L101" s="626">
        <v>606.7240625</v>
      </c>
      <c r="M101" s="626">
        <v>2555.8142686</v>
      </c>
      <c r="N101" s="626">
        <v>246.48744</v>
      </c>
      <c r="O101" s="626">
        <v>662.5011995</v>
      </c>
      <c r="P101" s="626">
        <v>317.01412300000004</v>
      </c>
      <c r="Q101" s="626">
        <v>254.3657295</v>
      </c>
      <c r="R101" s="626">
        <v>1446.609683</v>
      </c>
      <c r="S101" s="626">
        <v>1085.1504802000002</v>
      </c>
      <c r="T101" s="626">
        <v>1580.6133894</v>
      </c>
      <c r="U101" s="626">
        <v>1399.3700563999998</v>
      </c>
      <c r="V101" s="626">
        <v>2323.0988493</v>
      </c>
      <c r="W101" s="626">
        <v>2063.3918334</v>
      </c>
      <c r="X101" s="626">
        <v>1918.7824102</v>
      </c>
      <c r="Y101" s="626">
        <v>1572.506389</v>
      </c>
      <c r="Z101" s="626">
        <v>331.9070588</v>
      </c>
      <c r="AA101" s="626">
        <v>300.6650964</v>
      </c>
      <c r="AB101" s="626">
        <v>1616.5365562</v>
      </c>
      <c r="AC101" s="626">
        <v>1403.9470648000001</v>
      </c>
      <c r="AD101" s="626">
        <v>1311.4297978999998</v>
      </c>
      <c r="AE101" s="626">
        <v>1168.7746544000001</v>
      </c>
      <c r="AF101" s="626">
        <v>1163.0147206</v>
      </c>
      <c r="AG101" s="626">
        <v>824.7842735</v>
      </c>
      <c r="AH101" s="625">
        <v>0.92906481001578445</v>
      </c>
      <c r="AI101" s="625">
        <v>0.2373897313014941</v>
      </c>
      <c r="AJ101" s="625">
        <v>0.37205583958758104</v>
      </c>
      <c r="AK101" s="625">
        <v>1.2462925867620147</v>
      </c>
      <c r="AL101" s="625">
        <v>1.333095924875491</v>
      </c>
      <c r="AM101" s="625">
        <v>1.1295178014195777</v>
      </c>
      <c r="AN101" s="625">
        <v>1.1258641289954212</v>
      </c>
      <c r="AO101" s="625">
        <v>1.2202064319742678</v>
      </c>
      <c r="AP101" s="625">
        <v>1.1039095087565889</v>
      </c>
      <c r="AQ101" s="625">
        <v>1.1514227258270724</v>
      </c>
      <c r="AR101" s="625">
        <v>1.1220553021102531</v>
      </c>
      <c r="AS101" s="625">
        <v>1.4100835308129294</v>
      </c>
    </row>
    <row r="102">
      <c r="B102" s="623">
        <v>957039</v>
      </c>
      <c r="C102" s="603" t="s">
        <v>79</v>
      </c>
      <c r="D102" s="0" t="s">
        <v>116</v>
      </c>
      <c r="E102" s="0" t="s">
        <v>72</v>
      </c>
      <c r="F102" s="625">
        <v>5.51403770555975</v>
      </c>
      <c r="G102" s="625">
        <v>1.1149069225059631</v>
      </c>
      <c r="H102" s="624">
        <v>7.2942878720148112</v>
      </c>
      <c r="I102" s="624">
        <v>19.352495216511262</v>
      </c>
      <c r="J102" s="626">
        <v>1244.1507</v>
      </c>
      <c r="K102" s="626">
        <v>1339.1430679</v>
      </c>
      <c r="L102" s="626">
        <v>657.284401</v>
      </c>
      <c r="M102" s="626">
        <v>2768.7987909</v>
      </c>
      <c r="N102" s="626">
        <v>267.02806</v>
      </c>
      <c r="O102" s="626">
        <v>717.7096328</v>
      </c>
      <c r="P102" s="626">
        <v>345.8335887</v>
      </c>
      <c r="Q102" s="626">
        <v>277.4898867</v>
      </c>
      <c r="R102" s="626">
        <v>1578.1196542</v>
      </c>
      <c r="S102" s="626">
        <v>1183.8005238</v>
      </c>
      <c r="T102" s="626">
        <v>1724.3055157000001</v>
      </c>
      <c r="U102" s="626">
        <v>1526.585516</v>
      </c>
      <c r="V102" s="626">
        <v>2534.2896538</v>
      </c>
      <c r="W102" s="626">
        <v>2250.9729092000002</v>
      </c>
      <c r="X102" s="626">
        <v>2093.2171748</v>
      </c>
      <c r="Y102" s="626">
        <v>1715.4615153</v>
      </c>
      <c r="Z102" s="626">
        <v>362.0804278</v>
      </c>
      <c r="AA102" s="626">
        <v>327.9982869</v>
      </c>
      <c r="AB102" s="626">
        <v>1763.494425</v>
      </c>
      <c r="AC102" s="626">
        <v>1531.5786161</v>
      </c>
      <c r="AD102" s="626">
        <v>1430.6506887</v>
      </c>
      <c r="AE102" s="626">
        <v>1275.0268957</v>
      </c>
      <c r="AF102" s="626">
        <v>1268.7433315</v>
      </c>
      <c r="AG102" s="626">
        <v>899.764662</v>
      </c>
      <c r="AH102" s="625">
        <v>0.92906481001578434</v>
      </c>
      <c r="AI102" s="625">
        <v>0.2373897313014941</v>
      </c>
      <c r="AJ102" s="625">
        <v>0.37205583958758104</v>
      </c>
      <c r="AK102" s="625">
        <v>1.2462925867620149</v>
      </c>
      <c r="AL102" s="625">
        <v>1.333095924875491</v>
      </c>
      <c r="AM102" s="625">
        <v>1.1295178014195777</v>
      </c>
      <c r="AN102" s="625">
        <v>1.125864128995421</v>
      </c>
      <c r="AO102" s="625">
        <v>1.2202064319742678</v>
      </c>
      <c r="AP102" s="625">
        <v>1.1039095087565889</v>
      </c>
      <c r="AQ102" s="625">
        <v>1.1514227258270724</v>
      </c>
      <c r="AR102" s="625">
        <v>1.1220553021102528</v>
      </c>
      <c r="AS102" s="625">
        <v>1.4100835308129294</v>
      </c>
    </row>
    <row r="103">
      <c r="B103" s="623">
        <v>1000000</v>
      </c>
      <c r="C103" s="603" t="s">
        <v>77</v>
      </c>
      <c r="D103" s="0" t="s">
        <v>116</v>
      </c>
      <c r="E103" s="0" t="s">
        <v>72</v>
      </c>
      <c r="F103" s="625">
        <v>4.309515463413458</v>
      </c>
      <c r="G103" s="625">
        <v>0.900663920358489</v>
      </c>
      <c r="H103" s="624">
        <v>5.5768447297439341</v>
      </c>
      <c r="I103" s="624">
        <v>14.62898556963891</v>
      </c>
      <c r="J103" s="626">
        <v>1000</v>
      </c>
      <c r="K103" s="626">
        <v>1041.004813</v>
      </c>
      <c r="L103" s="626">
        <v>521.4413968</v>
      </c>
      <c r="M103" s="626">
        <v>2196.5860747</v>
      </c>
      <c r="N103" s="626">
        <v>205.4062</v>
      </c>
      <c r="O103" s="626">
        <v>552.9874404</v>
      </c>
      <c r="P103" s="626">
        <v>298.6366971</v>
      </c>
      <c r="Q103" s="626">
        <v>238.7216448</v>
      </c>
      <c r="R103" s="626">
        <v>1360.9659959</v>
      </c>
      <c r="S103" s="626">
        <v>1001.3986898</v>
      </c>
      <c r="T103" s="626">
        <v>1504.3391747</v>
      </c>
      <c r="U103" s="626">
        <v>1326.7520530000002</v>
      </c>
      <c r="V103" s="626">
        <v>2173.7998981</v>
      </c>
      <c r="W103" s="626">
        <v>1927.7999143999998</v>
      </c>
      <c r="X103" s="626">
        <v>1844.1998356000001</v>
      </c>
      <c r="Y103" s="626">
        <v>1516.1998574000002</v>
      </c>
      <c r="Z103" s="626">
        <v>315.52520380000004</v>
      </c>
      <c r="AA103" s="626">
        <v>286.0084084</v>
      </c>
      <c r="AB103" s="626">
        <v>1537.4290074</v>
      </c>
      <c r="AC103" s="626">
        <v>1339.0933370999999</v>
      </c>
      <c r="AD103" s="626">
        <v>1236.6936768</v>
      </c>
      <c r="AE103" s="626">
        <v>1100.3206521</v>
      </c>
      <c r="AF103" s="626">
        <v>1099.7259193</v>
      </c>
      <c r="AG103" s="626">
        <v>779.3127713</v>
      </c>
      <c r="AH103" s="625">
        <v>0.96061035210637591</v>
      </c>
      <c r="AI103" s="625">
        <v>0.23738719044237258</v>
      </c>
      <c r="AJ103" s="625">
        <v>0.37144821925559873</v>
      </c>
      <c r="AK103" s="625">
        <v>1.2509829065134432</v>
      </c>
      <c r="AL103" s="625">
        <v>1.3590650855055593</v>
      </c>
      <c r="AM103" s="625">
        <v>1.1338510246534201</v>
      </c>
      <c r="AN103" s="625">
        <v>1.1276065954037831</v>
      </c>
      <c r="AO103" s="625">
        <v>1.2163303054489247</v>
      </c>
      <c r="AP103" s="625">
        <v>1.10320254404423</v>
      </c>
      <c r="AQ103" s="625">
        <v>1.1481119088025611</v>
      </c>
      <c r="AR103" s="625">
        <v>1.1239393484539013</v>
      </c>
      <c r="AS103" s="625">
        <v>1.4111483345944735</v>
      </c>
    </row>
    <row r="104">
      <c r="B104" s="623">
        <v>1000000</v>
      </c>
      <c r="C104" s="603" t="s">
        <v>78</v>
      </c>
      <c r="D104" s="0" t="s">
        <v>116</v>
      </c>
      <c r="E104" s="0" t="s">
        <v>72</v>
      </c>
      <c r="F104" s="625">
        <v>4.9559427829254759</v>
      </c>
      <c r="G104" s="625">
        <v>1.0357635084122623</v>
      </c>
      <c r="H104" s="624">
        <v>6.4133714392055232</v>
      </c>
      <c r="I104" s="624">
        <v>16.823333405084746</v>
      </c>
      <c r="J104" s="626">
        <v>1200</v>
      </c>
      <c r="K104" s="626">
        <v>1249.2057756000002</v>
      </c>
      <c r="L104" s="626">
        <v>625.7296762</v>
      </c>
      <c r="M104" s="626">
        <v>2635.9032897</v>
      </c>
      <c r="N104" s="626">
        <v>246.48744</v>
      </c>
      <c r="O104" s="626">
        <v>663.5849285</v>
      </c>
      <c r="P104" s="626">
        <v>328.5003668</v>
      </c>
      <c r="Q104" s="626">
        <v>262.59380930000003</v>
      </c>
      <c r="R104" s="626">
        <v>1497.0625955</v>
      </c>
      <c r="S104" s="626">
        <v>1101.5385586999998</v>
      </c>
      <c r="T104" s="626">
        <v>1654.7730922</v>
      </c>
      <c r="U104" s="626">
        <v>1459.4272583000002</v>
      </c>
      <c r="V104" s="626">
        <v>2391.1798879</v>
      </c>
      <c r="W104" s="626">
        <v>2120.5799059</v>
      </c>
      <c r="X104" s="626">
        <v>2028.6198192</v>
      </c>
      <c r="Y104" s="626">
        <v>1667.8198430999998</v>
      </c>
      <c r="Z104" s="626">
        <v>347.0777242</v>
      </c>
      <c r="AA104" s="626">
        <v>314.60924930000004</v>
      </c>
      <c r="AB104" s="626">
        <v>1691.1719080999999</v>
      </c>
      <c r="AC104" s="626">
        <v>1473.0026708</v>
      </c>
      <c r="AD104" s="626">
        <v>1360.3630444</v>
      </c>
      <c r="AE104" s="626">
        <v>1210.3527173</v>
      </c>
      <c r="AF104" s="626">
        <v>1209.6985112</v>
      </c>
      <c r="AG104" s="626">
        <v>857.2440484</v>
      </c>
      <c r="AH104" s="625">
        <v>0.960610352106376</v>
      </c>
      <c r="AI104" s="625">
        <v>0.23738719044237255</v>
      </c>
      <c r="AJ104" s="625">
        <v>0.37144821925559868</v>
      </c>
      <c r="AK104" s="625">
        <v>1.2509829065134432</v>
      </c>
      <c r="AL104" s="625">
        <v>1.3590650855055593</v>
      </c>
      <c r="AM104" s="625">
        <v>1.1338510246534201</v>
      </c>
      <c r="AN104" s="625">
        <v>1.1276065954037833</v>
      </c>
      <c r="AO104" s="625">
        <v>1.216330305448925</v>
      </c>
      <c r="AP104" s="625">
        <v>1.1032025440442297</v>
      </c>
      <c r="AQ104" s="625">
        <v>1.1481119088025609</v>
      </c>
      <c r="AR104" s="625">
        <v>1.1239393484539013</v>
      </c>
      <c r="AS104" s="625">
        <v>1.4111483345944735</v>
      </c>
    </row>
    <row r="105">
      <c r="B105" s="623">
        <v>1000000</v>
      </c>
      <c r="C105" s="603" t="s">
        <v>79</v>
      </c>
      <c r="D105" s="0" t="s">
        <v>116</v>
      </c>
      <c r="E105" s="0" t="s">
        <v>72</v>
      </c>
      <c r="F105" s="625">
        <v>5.6023701024374954</v>
      </c>
      <c r="G105" s="625">
        <v>1.1708630964660358</v>
      </c>
      <c r="H105" s="624">
        <v>7.249898148667115</v>
      </c>
      <c r="I105" s="624">
        <v>19.017681240530585</v>
      </c>
      <c r="J105" s="626">
        <v>1300</v>
      </c>
      <c r="K105" s="626">
        <v>1353.306257</v>
      </c>
      <c r="L105" s="626">
        <v>677.87381590000007</v>
      </c>
      <c r="M105" s="626">
        <v>2855.5618971000004</v>
      </c>
      <c r="N105" s="626">
        <v>267.02806</v>
      </c>
      <c r="O105" s="626">
        <v>718.8836725</v>
      </c>
      <c r="P105" s="626">
        <v>358.3640365</v>
      </c>
      <c r="Q105" s="626">
        <v>286.4659738</v>
      </c>
      <c r="R105" s="626">
        <v>1633.1591950999998</v>
      </c>
      <c r="S105" s="626">
        <v>1201.6784277</v>
      </c>
      <c r="T105" s="626">
        <v>1805.2070097</v>
      </c>
      <c r="U105" s="626">
        <v>1592.1024636</v>
      </c>
      <c r="V105" s="626">
        <v>2608.5598777</v>
      </c>
      <c r="W105" s="626">
        <v>2313.3598973</v>
      </c>
      <c r="X105" s="626">
        <v>2213.0398028</v>
      </c>
      <c r="Y105" s="626">
        <v>1819.4398288</v>
      </c>
      <c r="Z105" s="626">
        <v>378.63024459999997</v>
      </c>
      <c r="AA105" s="626">
        <v>343.21009009999995</v>
      </c>
      <c r="AB105" s="626">
        <v>1844.9148088</v>
      </c>
      <c r="AC105" s="626">
        <v>1606.9120046</v>
      </c>
      <c r="AD105" s="626">
        <v>1484.0324121</v>
      </c>
      <c r="AE105" s="626">
        <v>1320.3847825</v>
      </c>
      <c r="AF105" s="626">
        <v>1319.6711031</v>
      </c>
      <c r="AG105" s="626">
        <v>935.1753255</v>
      </c>
      <c r="AH105" s="625">
        <v>0.9606103521063758</v>
      </c>
      <c r="AI105" s="625">
        <v>0.23738719044237255</v>
      </c>
      <c r="AJ105" s="625">
        <v>0.37144821925559868</v>
      </c>
      <c r="AK105" s="625">
        <v>1.2509829065134432</v>
      </c>
      <c r="AL105" s="625">
        <v>1.3590650855055595</v>
      </c>
      <c r="AM105" s="625">
        <v>1.1338510246534201</v>
      </c>
      <c r="AN105" s="625">
        <v>1.1276065954037831</v>
      </c>
      <c r="AO105" s="625">
        <v>1.2163303054489247</v>
      </c>
      <c r="AP105" s="625">
        <v>1.1032025440442297</v>
      </c>
      <c r="AQ105" s="625">
        <v>1.1481119088025609</v>
      </c>
      <c r="AR105" s="625">
        <v>1.1239393484539013</v>
      </c>
      <c r="AS105" s="625">
        <v>1.4111483345944738</v>
      </c>
    </row>
    <row r="106">
      <c r="B106" s="623">
        <v>1101400</v>
      </c>
      <c r="C106" s="603" t="s">
        <v>77</v>
      </c>
      <c r="D106" s="0" t="s">
        <v>116</v>
      </c>
      <c r="E106" s="0" t="s">
        <v>72</v>
      </c>
      <c r="F106" s="625">
        <v>4.4559721039097786</v>
      </c>
      <c r="G106" s="625">
        <v>1.002257960741294</v>
      </c>
      <c r="H106" s="624">
        <v>5.5061327446463695</v>
      </c>
      <c r="I106" s="624">
        <v>14.091747791488738</v>
      </c>
      <c r="J106" s="626">
        <v>1101.4</v>
      </c>
      <c r="K106" s="626">
        <v>1066.7195018</v>
      </c>
      <c r="L106" s="626">
        <v>558.8235425</v>
      </c>
      <c r="M106" s="626">
        <v>2354.1131873</v>
      </c>
      <c r="N106" s="626">
        <v>205.4062</v>
      </c>
      <c r="O106" s="626">
        <v>555.11902709999993</v>
      </c>
      <c r="P106" s="626">
        <v>323.2828375</v>
      </c>
      <c r="Q106" s="626">
        <v>256.3767124</v>
      </c>
      <c r="R106" s="626">
        <v>1469.2232807</v>
      </c>
      <c r="S106" s="626">
        <v>1036.5627427</v>
      </c>
      <c r="T106" s="626">
        <v>1663.4643403</v>
      </c>
      <c r="U106" s="626">
        <v>1455.617351</v>
      </c>
      <c r="V106" s="626">
        <v>2319.8820173</v>
      </c>
      <c r="W106" s="626">
        <v>2050.5088944999998</v>
      </c>
      <c r="X106" s="626">
        <v>2079.8789879</v>
      </c>
      <c r="Y106" s="626">
        <v>1720.7148241999998</v>
      </c>
      <c r="Z106" s="626">
        <v>348.0770419</v>
      </c>
      <c r="AA106" s="626">
        <v>315.9285074</v>
      </c>
      <c r="AB106" s="626">
        <v>1697.5747775999998</v>
      </c>
      <c r="AC106" s="626">
        <v>1487.2665948000001</v>
      </c>
      <c r="AD106" s="626">
        <v>1341.6901999</v>
      </c>
      <c r="AE106" s="626">
        <v>1189.5350891</v>
      </c>
      <c r="AF106" s="626">
        <v>1199.8957639999999</v>
      </c>
      <c r="AG106" s="626">
        <v>848.9620127</v>
      </c>
      <c r="AH106" s="625">
        <v>1.0325113566959707</v>
      </c>
      <c r="AI106" s="625">
        <v>0.23738176462885158</v>
      </c>
      <c r="AJ106" s="625">
        <v>0.37002190513985461</v>
      </c>
      <c r="AK106" s="625">
        <v>1.2609680282338223</v>
      </c>
      <c r="AL106" s="625">
        <v>1.4173992756175537</v>
      </c>
      <c r="AM106" s="625">
        <v>1.1427895793906584</v>
      </c>
      <c r="AN106" s="625">
        <v>1.1313689121209567</v>
      </c>
      <c r="AO106" s="625">
        <v>1.208729627148917</v>
      </c>
      <c r="AP106" s="625">
        <v>1.1017588910239302</v>
      </c>
      <c r="AQ106" s="625">
        <v>1.141405840423295</v>
      </c>
      <c r="AR106" s="625">
        <v>1.127911410254081</v>
      </c>
      <c r="AS106" s="625">
        <v>1.4133680259278503</v>
      </c>
    </row>
    <row r="107">
      <c r="B107" s="623">
        <v>1101400</v>
      </c>
      <c r="C107" s="603" t="s">
        <v>78</v>
      </c>
      <c r="D107" s="0" t="s">
        <v>116</v>
      </c>
      <c r="E107" s="0" t="s">
        <v>72</v>
      </c>
      <c r="F107" s="625">
        <v>5.1243679194962457</v>
      </c>
      <c r="G107" s="625">
        <v>1.1525966548524882</v>
      </c>
      <c r="H107" s="624">
        <v>6.3320526563433246</v>
      </c>
      <c r="I107" s="624">
        <v>16.205509960212048</v>
      </c>
      <c r="J107" s="626">
        <v>1321.68</v>
      </c>
      <c r="K107" s="626">
        <v>1280.0634021</v>
      </c>
      <c r="L107" s="626">
        <v>670.588251</v>
      </c>
      <c r="M107" s="626">
        <v>2824.9358248</v>
      </c>
      <c r="N107" s="626">
        <v>246.48744</v>
      </c>
      <c r="O107" s="626">
        <v>666.1428326</v>
      </c>
      <c r="P107" s="626">
        <v>355.6111212</v>
      </c>
      <c r="Q107" s="626">
        <v>282.0143836</v>
      </c>
      <c r="R107" s="626">
        <v>1616.1456088</v>
      </c>
      <c r="S107" s="626">
        <v>1140.219017</v>
      </c>
      <c r="T107" s="626">
        <v>1829.8107742999998</v>
      </c>
      <c r="U107" s="626">
        <v>1601.1790861</v>
      </c>
      <c r="V107" s="626">
        <v>2551.8702190999998</v>
      </c>
      <c r="W107" s="626">
        <v>2255.559784</v>
      </c>
      <c r="X107" s="626">
        <v>2287.8668867</v>
      </c>
      <c r="Y107" s="626">
        <v>1892.7863067</v>
      </c>
      <c r="Z107" s="626">
        <v>382.8847461</v>
      </c>
      <c r="AA107" s="626">
        <v>347.5213581</v>
      </c>
      <c r="AB107" s="626">
        <v>1867.3322554</v>
      </c>
      <c r="AC107" s="626">
        <v>1635.9932543</v>
      </c>
      <c r="AD107" s="626">
        <v>1475.8592199</v>
      </c>
      <c r="AE107" s="626">
        <v>1308.4885981</v>
      </c>
      <c r="AF107" s="626">
        <v>1319.8853404000001</v>
      </c>
      <c r="AG107" s="626">
        <v>933.85821400000009</v>
      </c>
      <c r="AH107" s="625">
        <v>1.0325113566959707</v>
      </c>
      <c r="AI107" s="625">
        <v>0.23738176462885158</v>
      </c>
      <c r="AJ107" s="625">
        <v>0.37002190513985461</v>
      </c>
      <c r="AK107" s="625">
        <v>1.2609680282338225</v>
      </c>
      <c r="AL107" s="625">
        <v>1.4173992756175537</v>
      </c>
      <c r="AM107" s="625">
        <v>1.1427895793906584</v>
      </c>
      <c r="AN107" s="625">
        <v>1.1313689121209565</v>
      </c>
      <c r="AO107" s="625">
        <v>1.208729627148917</v>
      </c>
      <c r="AP107" s="625">
        <v>1.10175889102393</v>
      </c>
      <c r="AQ107" s="625">
        <v>1.141405840423295</v>
      </c>
      <c r="AR107" s="625">
        <v>1.127911410254081</v>
      </c>
      <c r="AS107" s="625">
        <v>1.41336802592785</v>
      </c>
    </row>
    <row r="108">
      <c r="B108" s="623">
        <v>1101400</v>
      </c>
      <c r="C108" s="603" t="s">
        <v>79</v>
      </c>
      <c r="D108" s="0" t="s">
        <v>116</v>
      </c>
      <c r="E108" s="0" t="s">
        <v>72</v>
      </c>
      <c r="F108" s="625">
        <v>5.7927637350827137</v>
      </c>
      <c r="G108" s="625">
        <v>1.3029353489636826</v>
      </c>
      <c r="H108" s="624">
        <v>7.1579725680402815</v>
      </c>
      <c r="I108" s="624">
        <v>18.31927212893536</v>
      </c>
      <c r="J108" s="626">
        <v>1431.82</v>
      </c>
      <c r="K108" s="626">
        <v>1386.7353523</v>
      </c>
      <c r="L108" s="626">
        <v>726.4706053000001</v>
      </c>
      <c r="M108" s="626">
        <v>3060.3471434999997</v>
      </c>
      <c r="N108" s="626">
        <v>267.02806</v>
      </c>
      <c r="O108" s="626">
        <v>721.6547353</v>
      </c>
      <c r="P108" s="626">
        <v>387.939405</v>
      </c>
      <c r="Q108" s="626">
        <v>307.6520549</v>
      </c>
      <c r="R108" s="626">
        <v>1763.0679368</v>
      </c>
      <c r="S108" s="626">
        <v>1243.8752912999998</v>
      </c>
      <c r="T108" s="626">
        <v>1996.1572084</v>
      </c>
      <c r="U108" s="626">
        <v>1746.7408211999998</v>
      </c>
      <c r="V108" s="626">
        <v>2783.8584207999997</v>
      </c>
      <c r="W108" s="626">
        <v>2460.6106735</v>
      </c>
      <c r="X108" s="626">
        <v>2495.8547855</v>
      </c>
      <c r="Y108" s="626">
        <v>2064.8577891</v>
      </c>
      <c r="Z108" s="626">
        <v>417.6924503</v>
      </c>
      <c r="AA108" s="626">
        <v>379.11420890000005</v>
      </c>
      <c r="AB108" s="626">
        <v>2037.0897331</v>
      </c>
      <c r="AC108" s="626">
        <v>1784.7199138</v>
      </c>
      <c r="AD108" s="626">
        <v>1610.0282399</v>
      </c>
      <c r="AE108" s="626">
        <v>1427.442107</v>
      </c>
      <c r="AF108" s="626">
        <v>1439.8749168</v>
      </c>
      <c r="AG108" s="626">
        <v>1018.7544153</v>
      </c>
      <c r="AH108" s="625">
        <v>1.0325113566959707</v>
      </c>
      <c r="AI108" s="625">
        <v>0.23738176462885161</v>
      </c>
      <c r="AJ108" s="625">
        <v>0.37002190513985456</v>
      </c>
      <c r="AK108" s="625">
        <v>1.2609680282338223</v>
      </c>
      <c r="AL108" s="625">
        <v>1.4173992756175537</v>
      </c>
      <c r="AM108" s="625">
        <v>1.1427895793906584</v>
      </c>
      <c r="AN108" s="625">
        <v>1.1313689121209567</v>
      </c>
      <c r="AO108" s="625">
        <v>1.208729627148917</v>
      </c>
      <c r="AP108" s="625">
        <v>1.10175889102393</v>
      </c>
      <c r="AQ108" s="625">
        <v>1.1414058404232947</v>
      </c>
      <c r="AR108" s="625">
        <v>1.127911410254081</v>
      </c>
      <c r="AS108" s="625">
        <v>1.4133680259278503</v>
      </c>
    </row>
    <row r="109">
      <c r="B109" s="623">
        <v>1257800</v>
      </c>
      <c r="C109" s="603" t="s">
        <v>77</v>
      </c>
      <c r="D109" s="0" t="s">
        <v>116</v>
      </c>
      <c r="E109" s="0" t="s">
        <v>72</v>
      </c>
      <c r="F109" s="625">
        <v>4.64986408184154</v>
      </c>
      <c r="G109" s="625">
        <v>1.158957249852445</v>
      </c>
      <c r="H109" s="624">
        <v>5.4181474938670169</v>
      </c>
      <c r="I109" s="624">
        <v>13.415859949744171</v>
      </c>
      <c r="J109" s="626">
        <v>1257.8</v>
      </c>
      <c r="K109" s="626">
        <v>1106.382</v>
      </c>
      <c r="L109" s="626">
        <v>616.482</v>
      </c>
      <c r="M109" s="626">
        <v>2597.084</v>
      </c>
      <c r="N109" s="626">
        <v>205.4062</v>
      </c>
      <c r="O109" s="626">
        <v>558.40680000000009</v>
      </c>
      <c r="P109" s="626">
        <v>361.29720000000003</v>
      </c>
      <c r="Q109" s="626">
        <v>283.608</v>
      </c>
      <c r="R109" s="626">
        <v>1636.2</v>
      </c>
      <c r="S109" s="626">
        <v>1090.8</v>
      </c>
      <c r="T109" s="626">
        <v>1908.9</v>
      </c>
      <c r="U109" s="626">
        <v>1654.38</v>
      </c>
      <c r="V109" s="626">
        <v>2545.2</v>
      </c>
      <c r="W109" s="626">
        <v>2239.776</v>
      </c>
      <c r="X109" s="626">
        <v>2443.392</v>
      </c>
      <c r="Y109" s="626">
        <v>2036.16</v>
      </c>
      <c r="Z109" s="626">
        <v>398.2852025</v>
      </c>
      <c r="AA109" s="626">
        <v>362.0774568</v>
      </c>
      <c r="AB109" s="626">
        <v>1944.5846244000002</v>
      </c>
      <c r="AC109" s="626">
        <v>1715.8099627000001</v>
      </c>
      <c r="AD109" s="626">
        <v>1503.6375</v>
      </c>
      <c r="AE109" s="626">
        <v>1327.14</v>
      </c>
      <c r="AF109" s="626">
        <v>1354.3983648</v>
      </c>
      <c r="AG109" s="626">
        <v>956.3894424</v>
      </c>
      <c r="AH109" s="625">
        <v>1.1368586979903868</v>
      </c>
      <c r="AI109" s="625">
        <v>0.23737468637903125</v>
      </c>
      <c r="AJ109" s="625">
        <v>0.36784329990250847</v>
      </c>
      <c r="AK109" s="625">
        <v>1.2739316239316241</v>
      </c>
      <c r="AL109" s="625">
        <v>1.5</v>
      </c>
      <c r="AM109" s="625">
        <v>1.1538461538461537</v>
      </c>
      <c r="AN109" s="625">
        <v>1.1363636363636362</v>
      </c>
      <c r="AO109" s="625">
        <v>1.1999999999999997</v>
      </c>
      <c r="AP109" s="625">
        <v>1.0999999999999999</v>
      </c>
      <c r="AQ109" s="625">
        <v>1.1333333333333338</v>
      </c>
      <c r="AR109" s="625">
        <v>1.1329908675799087</v>
      </c>
      <c r="AS109" s="625">
        <v>1.4161577959311642</v>
      </c>
    </row>
    <row r="110">
      <c r="B110" s="623">
        <v>1257800</v>
      </c>
      <c r="C110" s="603" t="s">
        <v>78</v>
      </c>
      <c r="D110" s="0" t="s">
        <v>116</v>
      </c>
      <c r="E110" s="0" t="s">
        <v>72</v>
      </c>
      <c r="F110" s="625">
        <v>5.3473436941177708</v>
      </c>
      <c r="G110" s="625">
        <v>1.3328008373303117</v>
      </c>
      <c r="H110" s="624">
        <v>6.2308696179470688</v>
      </c>
      <c r="I110" s="624">
        <v>15.428238942205796</v>
      </c>
      <c r="J110" s="626">
        <v>1509.36</v>
      </c>
      <c r="K110" s="626">
        <v>1327.6583999999998</v>
      </c>
      <c r="L110" s="626">
        <v>739.7784</v>
      </c>
      <c r="M110" s="626">
        <v>3116.5008</v>
      </c>
      <c r="N110" s="626">
        <v>246.48744</v>
      </c>
      <c r="O110" s="626">
        <v>670.08816</v>
      </c>
      <c r="P110" s="626">
        <v>397.42692</v>
      </c>
      <c r="Q110" s="626">
        <v>311.9688</v>
      </c>
      <c r="R110" s="626">
        <v>1799.82</v>
      </c>
      <c r="S110" s="626">
        <v>1199.88</v>
      </c>
      <c r="T110" s="626">
        <v>2099.79</v>
      </c>
      <c r="U110" s="626">
        <v>1819.818</v>
      </c>
      <c r="V110" s="626">
        <v>2799.72</v>
      </c>
      <c r="W110" s="626">
        <v>2463.7536</v>
      </c>
      <c r="X110" s="626">
        <v>2687.7312</v>
      </c>
      <c r="Y110" s="626">
        <v>2239.776</v>
      </c>
      <c r="Z110" s="626">
        <v>438.1137227</v>
      </c>
      <c r="AA110" s="626">
        <v>398.2852025</v>
      </c>
      <c r="AB110" s="626">
        <v>2139.0430869</v>
      </c>
      <c r="AC110" s="626">
        <v>1887.390959</v>
      </c>
      <c r="AD110" s="626">
        <v>1654.00125</v>
      </c>
      <c r="AE110" s="626">
        <v>1459.854</v>
      </c>
      <c r="AF110" s="626">
        <v>1489.8382013</v>
      </c>
      <c r="AG110" s="626">
        <v>1052.0283866</v>
      </c>
      <c r="AH110" s="625">
        <v>1.1368586979903868</v>
      </c>
      <c r="AI110" s="625">
        <v>0.23737468637903128</v>
      </c>
      <c r="AJ110" s="625">
        <v>0.36784329990250847</v>
      </c>
      <c r="AK110" s="625">
        <v>1.2739316239316241</v>
      </c>
      <c r="AL110" s="625">
        <v>1.5</v>
      </c>
      <c r="AM110" s="625">
        <v>1.153846153846154</v>
      </c>
      <c r="AN110" s="625">
        <v>1.1363636363636362</v>
      </c>
      <c r="AO110" s="625">
        <v>1.1999999999999997</v>
      </c>
      <c r="AP110" s="625">
        <v>1.0999999999999999</v>
      </c>
      <c r="AQ110" s="625">
        <v>1.1333333333333338</v>
      </c>
      <c r="AR110" s="625">
        <v>1.1329908675799087</v>
      </c>
      <c r="AS110" s="625">
        <v>1.4161577959311642</v>
      </c>
    </row>
    <row r="111">
      <c r="B111" s="623">
        <v>1257800</v>
      </c>
      <c r="C111" s="603" t="s">
        <v>79</v>
      </c>
      <c r="D111" s="0" t="s">
        <v>116</v>
      </c>
      <c r="E111" s="0" t="s">
        <v>72</v>
      </c>
      <c r="F111" s="625">
        <v>6.0448233063940027</v>
      </c>
      <c r="G111" s="625">
        <v>1.5066444248081787</v>
      </c>
      <c r="H111" s="624">
        <v>7.0435917420271226</v>
      </c>
      <c r="I111" s="624">
        <v>17.440617934667426</v>
      </c>
      <c r="J111" s="626">
        <v>1635.14</v>
      </c>
      <c r="K111" s="626">
        <v>1438.2966000000001</v>
      </c>
      <c r="L111" s="626">
        <v>801.4266</v>
      </c>
      <c r="M111" s="626">
        <v>3376.2092000000002</v>
      </c>
      <c r="N111" s="626">
        <v>267.02806</v>
      </c>
      <c r="O111" s="626">
        <v>725.92883999999992</v>
      </c>
      <c r="P111" s="626">
        <v>433.55664</v>
      </c>
      <c r="Q111" s="626">
        <v>340.32959999999997</v>
      </c>
      <c r="R111" s="626">
        <v>1963.44</v>
      </c>
      <c r="S111" s="626">
        <v>1308.96</v>
      </c>
      <c r="T111" s="626">
        <v>2290.68</v>
      </c>
      <c r="U111" s="626">
        <v>1985.256</v>
      </c>
      <c r="V111" s="626">
        <v>3054.24</v>
      </c>
      <c r="W111" s="626">
        <v>2687.7312</v>
      </c>
      <c r="X111" s="626">
        <v>2932.0704</v>
      </c>
      <c r="Y111" s="626">
        <v>2443.392</v>
      </c>
      <c r="Z111" s="626">
        <v>477.942243</v>
      </c>
      <c r="AA111" s="626">
        <v>434.4929482</v>
      </c>
      <c r="AB111" s="626">
        <v>2333.5015493</v>
      </c>
      <c r="AC111" s="626">
        <v>2058.9719553</v>
      </c>
      <c r="AD111" s="626">
        <v>1804.365</v>
      </c>
      <c r="AE111" s="626">
        <v>1592.568</v>
      </c>
      <c r="AF111" s="626">
        <v>1625.2780378</v>
      </c>
      <c r="AG111" s="626">
        <v>1147.6673309</v>
      </c>
      <c r="AH111" s="625">
        <v>1.1368586979903865</v>
      </c>
      <c r="AI111" s="625">
        <v>0.23737468637903122</v>
      </c>
      <c r="AJ111" s="625">
        <v>0.36784329990250847</v>
      </c>
      <c r="AK111" s="625">
        <v>1.2739316239316241</v>
      </c>
      <c r="AL111" s="625">
        <v>1.5</v>
      </c>
      <c r="AM111" s="625">
        <v>1.1538461538461537</v>
      </c>
      <c r="AN111" s="625">
        <v>1.1363636363636362</v>
      </c>
      <c r="AO111" s="625">
        <v>1.1999999999999997</v>
      </c>
      <c r="AP111" s="625">
        <v>1.0999999999999999</v>
      </c>
      <c r="AQ111" s="625">
        <v>1.1333333333333338</v>
      </c>
      <c r="AR111" s="625">
        <v>1.1329908675799087</v>
      </c>
      <c r="AS111" s="625">
        <v>1.4161577959311642</v>
      </c>
    </row>
    <row r="112">
      <c r="B112" s="623">
        <v>1300000</v>
      </c>
      <c r="C112" s="603" t="s">
        <v>77</v>
      </c>
      <c r="D112" s="0" t="s">
        <v>116</v>
      </c>
      <c r="E112" s="0" t="s">
        <v>72</v>
      </c>
      <c r="F112" s="625">
        <v>4.74990299866034</v>
      </c>
      <c r="G112" s="625">
        <v>1.1968451625497383</v>
      </c>
      <c r="H112" s="624">
        <v>5.3477087173082136</v>
      </c>
      <c r="I112" s="624">
        <v>13.133525112418793</v>
      </c>
      <c r="J112" s="626">
        <v>1300</v>
      </c>
      <c r="K112" s="626">
        <v>1123.8741510999998</v>
      </c>
      <c r="L112" s="626">
        <v>631.61180110000009</v>
      </c>
      <c r="M112" s="626">
        <v>2666.6856833</v>
      </c>
      <c r="N112" s="626">
        <v>205.4062</v>
      </c>
      <c r="O112" s="626">
        <v>565.4588807</v>
      </c>
      <c r="P112" s="626">
        <v>377.0671863</v>
      </c>
      <c r="Q112" s="626">
        <v>296.3083064</v>
      </c>
      <c r="R112" s="626">
        <v>1678.1116699000002</v>
      </c>
      <c r="S112" s="626">
        <v>1151.1396301</v>
      </c>
      <c r="T112" s="626">
        <v>1996.1816702</v>
      </c>
      <c r="U112" s="626">
        <v>1731.616044</v>
      </c>
      <c r="V112" s="626">
        <v>2559.0333213</v>
      </c>
      <c r="W112" s="626">
        <v>2260.0648713</v>
      </c>
      <c r="X112" s="626">
        <v>2611.4668539</v>
      </c>
      <c r="Y112" s="626">
        <v>2184.8682041</v>
      </c>
      <c r="Z112" s="626">
        <v>415.9895293</v>
      </c>
      <c r="AA112" s="626">
        <v>377.02753210000003</v>
      </c>
      <c r="AB112" s="626">
        <v>2008.9334697</v>
      </c>
      <c r="AC112" s="626">
        <v>1771.3380744</v>
      </c>
      <c r="AD112" s="626">
        <v>1533.0744783999999</v>
      </c>
      <c r="AE112" s="626">
        <v>1349.1250999000001</v>
      </c>
      <c r="AF112" s="626">
        <v>1495.3977886</v>
      </c>
      <c r="AG112" s="626">
        <v>1058.6913987</v>
      </c>
      <c r="AH112" s="625">
        <v>1.1567131415272258</v>
      </c>
      <c r="AI112" s="625">
        <v>0.23685273637364315</v>
      </c>
      <c r="AJ112" s="625">
        <v>0.36325576804890486</v>
      </c>
      <c r="AK112" s="625">
        <v>1.2725501719706218</v>
      </c>
      <c r="AL112" s="625">
        <v>1.4577829014313084</v>
      </c>
      <c r="AM112" s="625">
        <v>1.1527853862920179</v>
      </c>
      <c r="AN112" s="625">
        <v>1.1322831277350043</v>
      </c>
      <c r="AO112" s="625">
        <v>1.1952514339469207</v>
      </c>
      <c r="AP112" s="625">
        <v>1.1033399260096628</v>
      </c>
      <c r="AQ112" s="625">
        <v>1.1341332852603934</v>
      </c>
      <c r="AR112" s="625">
        <v>1.1363471619147387</v>
      </c>
      <c r="AS112" s="625">
        <v>1.4124963991783763</v>
      </c>
    </row>
    <row r="113">
      <c r="B113" s="623">
        <v>1300000</v>
      </c>
      <c r="C113" s="603" t="s">
        <v>78</v>
      </c>
      <c r="D113" s="0" t="s">
        <v>116</v>
      </c>
      <c r="E113" s="0" t="s">
        <v>72</v>
      </c>
      <c r="F113" s="625">
        <v>5.4623884484593912</v>
      </c>
      <c r="G113" s="625">
        <v>1.376371936932199</v>
      </c>
      <c r="H113" s="624">
        <v>6.1498650249044449</v>
      </c>
      <c r="I113" s="624">
        <v>15.103553879281611</v>
      </c>
      <c r="J113" s="626">
        <v>1560</v>
      </c>
      <c r="K113" s="626">
        <v>1348.6489813</v>
      </c>
      <c r="L113" s="626">
        <v>757.9341614</v>
      </c>
      <c r="M113" s="626">
        <v>3200.0228199999997</v>
      </c>
      <c r="N113" s="626">
        <v>246.48744</v>
      </c>
      <c r="O113" s="626">
        <v>678.5506568</v>
      </c>
      <c r="P113" s="626">
        <v>414.77390490000005</v>
      </c>
      <c r="Q113" s="626">
        <v>325.9391371</v>
      </c>
      <c r="R113" s="626">
        <v>1845.9228369</v>
      </c>
      <c r="S113" s="626">
        <v>1266.2535931</v>
      </c>
      <c r="T113" s="626">
        <v>2195.7998371999997</v>
      </c>
      <c r="U113" s="626">
        <v>1904.7776484</v>
      </c>
      <c r="V113" s="626">
        <v>2814.9366534</v>
      </c>
      <c r="W113" s="626">
        <v>2486.0713584</v>
      </c>
      <c r="X113" s="626">
        <v>2872.6135393</v>
      </c>
      <c r="Y113" s="626">
        <v>2403.3550244999997</v>
      </c>
      <c r="Z113" s="626">
        <v>457.58848229999995</v>
      </c>
      <c r="AA113" s="626">
        <v>414.7302853</v>
      </c>
      <c r="AB113" s="626">
        <v>2209.8268166</v>
      </c>
      <c r="AC113" s="626">
        <v>1948.4718819</v>
      </c>
      <c r="AD113" s="626">
        <v>1686.3819262000002</v>
      </c>
      <c r="AE113" s="626">
        <v>1484.0376099</v>
      </c>
      <c r="AF113" s="626">
        <v>1644.9375674</v>
      </c>
      <c r="AG113" s="626">
        <v>1164.5605386000002</v>
      </c>
      <c r="AH113" s="625">
        <v>1.156713141527226</v>
      </c>
      <c r="AI113" s="625">
        <v>0.23685273637364315</v>
      </c>
      <c r="AJ113" s="625">
        <v>0.3632557680489048</v>
      </c>
      <c r="AK113" s="625">
        <v>1.2725501719706218</v>
      </c>
      <c r="AL113" s="625">
        <v>1.4577829014313084</v>
      </c>
      <c r="AM113" s="625">
        <v>1.1527853862920179</v>
      </c>
      <c r="AN113" s="625">
        <v>1.1322831277350045</v>
      </c>
      <c r="AO113" s="625">
        <v>1.1952514339469207</v>
      </c>
      <c r="AP113" s="625">
        <v>1.1033399260096626</v>
      </c>
      <c r="AQ113" s="625">
        <v>1.1341332852603931</v>
      </c>
      <c r="AR113" s="625">
        <v>1.1363471619147387</v>
      </c>
      <c r="AS113" s="625">
        <v>1.4124963991783763</v>
      </c>
    </row>
    <row r="114">
      <c r="B114" s="623">
        <v>1300000</v>
      </c>
      <c r="C114" s="603" t="s">
        <v>79</v>
      </c>
      <c r="D114" s="0" t="s">
        <v>116</v>
      </c>
      <c r="E114" s="0" t="s">
        <v>72</v>
      </c>
      <c r="F114" s="625">
        <v>6.1748738982584426</v>
      </c>
      <c r="G114" s="625">
        <v>1.55589871131466</v>
      </c>
      <c r="H114" s="624">
        <v>6.9520213325006779</v>
      </c>
      <c r="I114" s="624">
        <v>17.073582646144434</v>
      </c>
      <c r="J114" s="626">
        <v>1690</v>
      </c>
      <c r="K114" s="626">
        <v>1461.0363964</v>
      </c>
      <c r="L114" s="626">
        <v>821.0953415</v>
      </c>
      <c r="M114" s="626">
        <v>3466.6913883</v>
      </c>
      <c r="N114" s="626">
        <v>267.02806</v>
      </c>
      <c r="O114" s="626">
        <v>735.0965449</v>
      </c>
      <c r="P114" s="626">
        <v>452.4806236</v>
      </c>
      <c r="Q114" s="626">
        <v>355.5699677</v>
      </c>
      <c r="R114" s="626">
        <v>2013.7340038999998</v>
      </c>
      <c r="S114" s="626">
        <v>1381.3675561</v>
      </c>
      <c r="T114" s="626">
        <v>2395.4180042</v>
      </c>
      <c r="U114" s="626">
        <v>2077.9392528</v>
      </c>
      <c r="V114" s="626">
        <v>3070.8399855999996</v>
      </c>
      <c r="W114" s="626">
        <v>2712.0778455</v>
      </c>
      <c r="X114" s="626">
        <v>3133.7602247</v>
      </c>
      <c r="Y114" s="626">
        <v>2621.8418449</v>
      </c>
      <c r="Z114" s="626">
        <v>499.1874352</v>
      </c>
      <c r="AA114" s="626">
        <v>452.4330385</v>
      </c>
      <c r="AB114" s="626">
        <v>2410.7201636</v>
      </c>
      <c r="AC114" s="626">
        <v>2125.6056893</v>
      </c>
      <c r="AD114" s="626">
        <v>1839.6893741</v>
      </c>
      <c r="AE114" s="626">
        <v>1618.9501199000001</v>
      </c>
      <c r="AF114" s="626">
        <v>1794.4773463000001</v>
      </c>
      <c r="AG114" s="626">
        <v>1270.4296785</v>
      </c>
      <c r="AH114" s="625">
        <v>1.1567131415272258</v>
      </c>
      <c r="AI114" s="625">
        <v>0.23685273637364313</v>
      </c>
      <c r="AJ114" s="625">
        <v>0.36325576804890486</v>
      </c>
      <c r="AK114" s="625">
        <v>1.272550171970622</v>
      </c>
      <c r="AL114" s="625">
        <v>1.4577829014313082</v>
      </c>
      <c r="AM114" s="625">
        <v>1.1527853862920179</v>
      </c>
      <c r="AN114" s="625">
        <v>1.1322831277350043</v>
      </c>
      <c r="AO114" s="625">
        <v>1.1952514339469209</v>
      </c>
      <c r="AP114" s="625">
        <v>1.1033399260096626</v>
      </c>
      <c r="AQ114" s="625">
        <v>1.1341332852603931</v>
      </c>
      <c r="AR114" s="625">
        <v>1.1363471619147387</v>
      </c>
      <c r="AS114" s="625">
        <v>1.4124963991783763</v>
      </c>
    </row>
    <row r="115">
      <c r="B115" s="623">
        <v>1428221</v>
      </c>
      <c r="C115" s="603" t="s">
        <v>77</v>
      </c>
      <c r="D115" s="0" t="s">
        <v>116</v>
      </c>
      <c r="E115" s="0" t="s">
        <v>72</v>
      </c>
      <c r="F115" s="625">
        <v>5.0280092256162972</v>
      </c>
      <c r="G115" s="625">
        <v>1.3119642633544693</v>
      </c>
      <c r="H115" s="624">
        <v>5.1641539086991486</v>
      </c>
      <c r="I115" s="624">
        <v>12.405263862164441</v>
      </c>
      <c r="J115" s="626">
        <v>1428.221</v>
      </c>
      <c r="K115" s="626">
        <v>1177.0225185</v>
      </c>
      <c r="L115" s="626">
        <v>677.5823754</v>
      </c>
      <c r="M115" s="626">
        <v>2878.1642956</v>
      </c>
      <c r="N115" s="626">
        <v>205.4062</v>
      </c>
      <c r="O115" s="626">
        <v>586.8860095</v>
      </c>
      <c r="P115" s="626">
        <v>424.982907</v>
      </c>
      <c r="Q115" s="626">
        <v>334.89707400000003</v>
      </c>
      <c r="R115" s="626">
        <v>1805.4566043</v>
      </c>
      <c r="S115" s="626">
        <v>1334.4763057</v>
      </c>
      <c r="T115" s="626">
        <v>2261.3793724</v>
      </c>
      <c r="U115" s="626">
        <v>1966.2909918</v>
      </c>
      <c r="V115" s="626">
        <v>2601.0646552</v>
      </c>
      <c r="W115" s="626">
        <v>2321.7108276999998</v>
      </c>
      <c r="X115" s="626">
        <v>3122.1475613000002</v>
      </c>
      <c r="Y115" s="626">
        <v>2636.7050439</v>
      </c>
      <c r="Z115" s="626">
        <v>469.7825742</v>
      </c>
      <c r="AA115" s="626">
        <v>422.4520249</v>
      </c>
      <c r="AB115" s="626">
        <v>2204.4517938999998</v>
      </c>
      <c r="AC115" s="626">
        <v>1940.0553732</v>
      </c>
      <c r="AD115" s="626">
        <v>1622.5161563</v>
      </c>
      <c r="AE115" s="626">
        <v>1415.9248985</v>
      </c>
      <c r="AF115" s="626">
        <v>1923.8121752</v>
      </c>
      <c r="AG115" s="626">
        <v>1369.5269235</v>
      </c>
      <c r="AH115" s="625">
        <v>1.2134185858785853</v>
      </c>
      <c r="AI115" s="625">
        <v>0.23542171529655226</v>
      </c>
      <c r="AJ115" s="625">
        <v>0.34999334909219965</v>
      </c>
      <c r="AK115" s="625">
        <v>1.2689955811086264</v>
      </c>
      <c r="AL115" s="625">
        <v>1.3529326796726353</v>
      </c>
      <c r="AM115" s="625">
        <v>1.1500736065146382</v>
      </c>
      <c r="AN115" s="625">
        <v>1.1203224037287429</v>
      </c>
      <c r="AO115" s="625">
        <v>1.1841095265729047</v>
      </c>
      <c r="AP115" s="625">
        <v>1.1120376905098832</v>
      </c>
      <c r="AQ115" s="625">
        <v>1.1362829248757911</v>
      </c>
      <c r="AR115" s="625">
        <v>1.1459055193912668</v>
      </c>
      <c r="AS115" s="625">
        <v>1.4047275319460562</v>
      </c>
    </row>
    <row r="116">
      <c r="B116" s="623">
        <v>1428221</v>
      </c>
      <c r="C116" s="603" t="s">
        <v>78</v>
      </c>
      <c r="D116" s="0" t="s">
        <v>116</v>
      </c>
      <c r="E116" s="0" t="s">
        <v>72</v>
      </c>
      <c r="F116" s="625">
        <v>5.7822106094587413</v>
      </c>
      <c r="G116" s="625">
        <v>1.5087589028576396</v>
      </c>
      <c r="H116" s="624">
        <v>5.93877699500402</v>
      </c>
      <c r="I116" s="624">
        <v>14.266053441489108</v>
      </c>
      <c r="J116" s="626">
        <v>1713.8652</v>
      </c>
      <c r="K116" s="626">
        <v>1412.4270223</v>
      </c>
      <c r="L116" s="626">
        <v>813.0988504</v>
      </c>
      <c r="M116" s="626">
        <v>3453.7971546999997</v>
      </c>
      <c r="N116" s="626">
        <v>246.48744</v>
      </c>
      <c r="O116" s="626">
        <v>704.2632114</v>
      </c>
      <c r="P116" s="626">
        <v>467.4811977</v>
      </c>
      <c r="Q116" s="626">
        <v>368.38678139999996</v>
      </c>
      <c r="R116" s="626">
        <v>1986.0022646999998</v>
      </c>
      <c r="S116" s="626">
        <v>1467.9239363</v>
      </c>
      <c r="T116" s="626">
        <v>2487.5173096</v>
      </c>
      <c r="U116" s="626">
        <v>2162.920091</v>
      </c>
      <c r="V116" s="626">
        <v>2861.1711208</v>
      </c>
      <c r="W116" s="626">
        <v>2553.8819105000002</v>
      </c>
      <c r="X116" s="626">
        <v>3434.3623174</v>
      </c>
      <c r="Y116" s="626">
        <v>2900.3755483</v>
      </c>
      <c r="Z116" s="626">
        <v>516.7608316</v>
      </c>
      <c r="AA116" s="626">
        <v>464.6972274</v>
      </c>
      <c r="AB116" s="626">
        <v>2424.8969733000004</v>
      </c>
      <c r="AC116" s="626">
        <v>2134.0609105000003</v>
      </c>
      <c r="AD116" s="626">
        <v>1784.7677719</v>
      </c>
      <c r="AE116" s="626">
        <v>1557.5173884</v>
      </c>
      <c r="AF116" s="626">
        <v>2116.1933927</v>
      </c>
      <c r="AG116" s="626">
        <v>1506.4796158</v>
      </c>
      <c r="AH116" s="625">
        <v>1.2134185858785853</v>
      </c>
      <c r="AI116" s="625">
        <v>0.23542171529655223</v>
      </c>
      <c r="AJ116" s="625">
        <v>0.34999334909219959</v>
      </c>
      <c r="AK116" s="625">
        <v>1.2689955811086264</v>
      </c>
      <c r="AL116" s="625">
        <v>1.3529326796726353</v>
      </c>
      <c r="AM116" s="625">
        <v>1.1500736065146382</v>
      </c>
      <c r="AN116" s="625">
        <v>1.1203224037287431</v>
      </c>
      <c r="AO116" s="625">
        <v>1.1841095265729047</v>
      </c>
      <c r="AP116" s="625">
        <v>1.1120376905098832</v>
      </c>
      <c r="AQ116" s="625">
        <v>1.1362829248757913</v>
      </c>
      <c r="AR116" s="625">
        <v>1.1459055193912671</v>
      </c>
      <c r="AS116" s="625">
        <v>1.4047275319460562</v>
      </c>
    </row>
    <row r="117">
      <c r="B117" s="623">
        <v>1428221</v>
      </c>
      <c r="C117" s="603" t="s">
        <v>79</v>
      </c>
      <c r="D117" s="0" t="s">
        <v>116</v>
      </c>
      <c r="E117" s="0" t="s">
        <v>72</v>
      </c>
      <c r="F117" s="625">
        <v>6.5364119933011873</v>
      </c>
      <c r="G117" s="625">
        <v>1.7055535423608104</v>
      </c>
      <c r="H117" s="624">
        <v>6.7134000813088939</v>
      </c>
      <c r="I117" s="624">
        <v>16.126843020813777</v>
      </c>
      <c r="J117" s="626">
        <v>1856.6873</v>
      </c>
      <c r="K117" s="626">
        <v>1530.1292741</v>
      </c>
      <c r="L117" s="626">
        <v>880.857088</v>
      </c>
      <c r="M117" s="626">
        <v>3741.6135843</v>
      </c>
      <c r="N117" s="626">
        <v>267.02806</v>
      </c>
      <c r="O117" s="626">
        <v>762.9518123</v>
      </c>
      <c r="P117" s="626">
        <v>509.9794884</v>
      </c>
      <c r="Q117" s="626">
        <v>401.8764888</v>
      </c>
      <c r="R117" s="626">
        <v>2166.5479251</v>
      </c>
      <c r="S117" s="626">
        <v>1601.3715669</v>
      </c>
      <c r="T117" s="626">
        <v>2713.6552469000003</v>
      </c>
      <c r="U117" s="626">
        <v>2359.5491902</v>
      </c>
      <c r="V117" s="626">
        <v>3121.2775863</v>
      </c>
      <c r="W117" s="626">
        <v>2786.0529932</v>
      </c>
      <c r="X117" s="626">
        <v>3746.5770735</v>
      </c>
      <c r="Y117" s="626">
        <v>3164.0460527</v>
      </c>
      <c r="Z117" s="626">
        <v>563.739089</v>
      </c>
      <c r="AA117" s="626">
        <v>506.9424299</v>
      </c>
      <c r="AB117" s="626">
        <v>2645.3421527</v>
      </c>
      <c r="AC117" s="626">
        <v>2328.0664478000003</v>
      </c>
      <c r="AD117" s="626">
        <v>1947.0193875</v>
      </c>
      <c r="AE117" s="626">
        <v>1699.1098782</v>
      </c>
      <c r="AF117" s="626">
        <v>2308.5746102</v>
      </c>
      <c r="AG117" s="626">
        <v>1643.4323082</v>
      </c>
      <c r="AH117" s="625">
        <v>1.2134185858785853</v>
      </c>
      <c r="AI117" s="625">
        <v>0.23542171529655226</v>
      </c>
      <c r="AJ117" s="625">
        <v>0.34999334909219965</v>
      </c>
      <c r="AK117" s="625">
        <v>1.2689955811086267</v>
      </c>
      <c r="AL117" s="625">
        <v>1.3529326796726353</v>
      </c>
      <c r="AM117" s="625">
        <v>1.1500736065146382</v>
      </c>
      <c r="AN117" s="625">
        <v>1.1203224037287429</v>
      </c>
      <c r="AO117" s="625">
        <v>1.1841095265729047</v>
      </c>
      <c r="AP117" s="625">
        <v>1.1120376905098832</v>
      </c>
      <c r="AQ117" s="625">
        <v>1.1362829248757913</v>
      </c>
      <c r="AR117" s="625">
        <v>1.1459055193912671</v>
      </c>
      <c r="AS117" s="625">
        <v>1.4047275319460562</v>
      </c>
    </row>
    <row r="118">
      <c r="B118" s="623">
        <v>1500000</v>
      </c>
      <c r="C118" s="603" t="s">
        <v>77</v>
      </c>
      <c r="D118" s="0" t="s">
        <v>116</v>
      </c>
      <c r="E118" s="0" t="s">
        <v>72</v>
      </c>
      <c r="F118" s="625">
        <v>5.1686923117971624</v>
      </c>
      <c r="G118" s="625">
        <v>1.3764087298354888</v>
      </c>
      <c r="H118" s="624">
        <v>5.0775942488594072</v>
      </c>
      <c r="I118" s="624">
        <v>12.06552963068099</v>
      </c>
      <c r="J118" s="626">
        <v>1500</v>
      </c>
      <c r="K118" s="626">
        <v>1206.7753411</v>
      </c>
      <c r="L118" s="626">
        <v>703.3170198</v>
      </c>
      <c r="M118" s="626">
        <v>2996.5514811</v>
      </c>
      <c r="N118" s="626">
        <v>205.4062</v>
      </c>
      <c r="O118" s="626">
        <v>598.881064</v>
      </c>
      <c r="P118" s="626">
        <v>451.8064578</v>
      </c>
      <c r="Q118" s="626">
        <v>356.4993321</v>
      </c>
      <c r="R118" s="626">
        <v>1876.7451767</v>
      </c>
      <c r="S118" s="626">
        <v>1437.109441</v>
      </c>
      <c r="T118" s="626">
        <v>2409.8388749</v>
      </c>
      <c r="U118" s="626">
        <v>2097.6636458999997</v>
      </c>
      <c r="V118" s="626">
        <v>2624.5940858</v>
      </c>
      <c r="W118" s="626">
        <v>2356.2206592</v>
      </c>
      <c r="X118" s="626">
        <v>3408.0301428000002</v>
      </c>
      <c r="Y118" s="626">
        <v>2889.6464226000003</v>
      </c>
      <c r="Z118" s="626">
        <v>499.8962916</v>
      </c>
      <c r="AA118" s="626">
        <v>447.8809693</v>
      </c>
      <c r="AB118" s="626">
        <v>2313.9043001</v>
      </c>
      <c r="AC118" s="626">
        <v>2034.5044805</v>
      </c>
      <c r="AD118" s="626">
        <v>1672.5862243</v>
      </c>
      <c r="AE118" s="626">
        <v>1453.3198863999999</v>
      </c>
      <c r="AF118" s="626">
        <v>2163.6415030999997</v>
      </c>
      <c r="AG118" s="626">
        <v>1543.5347937000001</v>
      </c>
      <c r="AH118" s="625">
        <v>1.2429819775523276</v>
      </c>
      <c r="AI118" s="625">
        <v>0.23470880586492648</v>
      </c>
      <c r="AJ118" s="625">
        <v>0.34298329393982224</v>
      </c>
      <c r="AK118" s="625">
        <v>1.2673416669323021</v>
      </c>
      <c r="AL118" s="625">
        <v>1.3059166707217675</v>
      </c>
      <c r="AM118" s="625">
        <v>1.1488204410694556</v>
      </c>
      <c r="AN118" s="625">
        <v>1.1138999548129411</v>
      </c>
      <c r="AO118" s="625">
        <v>1.1793934773804704</v>
      </c>
      <c r="AP118" s="625">
        <v>1.1161364868939359</v>
      </c>
      <c r="AQ118" s="625">
        <v>1.1373306484315164</v>
      </c>
      <c r="AR118" s="625">
        <v>1.1508727293642389</v>
      </c>
      <c r="AS118" s="625">
        <v>1.4017445618159139</v>
      </c>
    </row>
    <row r="119">
      <c r="B119" s="623">
        <v>1500000</v>
      </c>
      <c r="C119" s="603" t="s">
        <v>78</v>
      </c>
      <c r="D119" s="0" t="s">
        <v>116</v>
      </c>
      <c r="E119" s="0" t="s">
        <v>72</v>
      </c>
      <c r="F119" s="625">
        <v>5.943996158566736</v>
      </c>
      <c r="G119" s="625">
        <v>1.5828700393108119</v>
      </c>
      <c r="H119" s="624">
        <v>5.8392333861883179</v>
      </c>
      <c r="I119" s="624">
        <v>13.875359075283138</v>
      </c>
      <c r="J119" s="626">
        <v>1800</v>
      </c>
      <c r="K119" s="626">
        <v>1448.1304094</v>
      </c>
      <c r="L119" s="626">
        <v>843.9804238</v>
      </c>
      <c r="M119" s="626">
        <v>3595.8617773</v>
      </c>
      <c r="N119" s="626">
        <v>246.48744</v>
      </c>
      <c r="O119" s="626">
        <v>718.6572768</v>
      </c>
      <c r="P119" s="626">
        <v>496.98710359999995</v>
      </c>
      <c r="Q119" s="626">
        <v>392.1492653</v>
      </c>
      <c r="R119" s="626">
        <v>2064.4196944</v>
      </c>
      <c r="S119" s="626">
        <v>1580.8203851</v>
      </c>
      <c r="T119" s="626">
        <v>2650.8227624</v>
      </c>
      <c r="U119" s="626">
        <v>2307.4300104999998</v>
      </c>
      <c r="V119" s="626">
        <v>2887.0534944</v>
      </c>
      <c r="W119" s="626">
        <v>2591.8427251</v>
      </c>
      <c r="X119" s="626">
        <v>3748.8331571</v>
      </c>
      <c r="Y119" s="626">
        <v>3178.6110649</v>
      </c>
      <c r="Z119" s="626">
        <v>549.8859208</v>
      </c>
      <c r="AA119" s="626">
        <v>492.6690662</v>
      </c>
      <c r="AB119" s="626">
        <v>2545.2947301</v>
      </c>
      <c r="AC119" s="626">
        <v>2237.9549286</v>
      </c>
      <c r="AD119" s="626">
        <v>1839.8448467</v>
      </c>
      <c r="AE119" s="626">
        <v>1598.651875</v>
      </c>
      <c r="AF119" s="626">
        <v>2380.0056534</v>
      </c>
      <c r="AG119" s="626">
        <v>1697.8882731</v>
      </c>
      <c r="AH119" s="625">
        <v>1.2429819775523276</v>
      </c>
      <c r="AI119" s="625">
        <v>0.23470880586492646</v>
      </c>
      <c r="AJ119" s="625">
        <v>0.34298329393982224</v>
      </c>
      <c r="AK119" s="625">
        <v>1.2673416669323021</v>
      </c>
      <c r="AL119" s="625">
        <v>1.3059166707217673</v>
      </c>
      <c r="AM119" s="625">
        <v>1.1488204410694556</v>
      </c>
      <c r="AN119" s="625">
        <v>1.1138999548129411</v>
      </c>
      <c r="AO119" s="625">
        <v>1.1793934773804704</v>
      </c>
      <c r="AP119" s="625">
        <v>1.1161364868939356</v>
      </c>
      <c r="AQ119" s="625">
        <v>1.1373306484315164</v>
      </c>
      <c r="AR119" s="625">
        <v>1.1508727293642391</v>
      </c>
      <c r="AS119" s="625">
        <v>1.4017445618159139</v>
      </c>
    </row>
    <row r="120">
      <c r="B120" s="623">
        <v>1500000</v>
      </c>
      <c r="C120" s="603" t="s">
        <v>79</v>
      </c>
      <c r="D120" s="0" t="s">
        <v>116</v>
      </c>
      <c r="E120" s="0" t="s">
        <v>72</v>
      </c>
      <c r="F120" s="625">
        <v>6.7193000053363114</v>
      </c>
      <c r="G120" s="625">
        <v>1.7893313487861355</v>
      </c>
      <c r="H120" s="624">
        <v>6.60087252351723</v>
      </c>
      <c r="I120" s="624">
        <v>15.685188519885289</v>
      </c>
      <c r="J120" s="626">
        <v>1950</v>
      </c>
      <c r="K120" s="626">
        <v>1568.8079435</v>
      </c>
      <c r="L120" s="626">
        <v>914.3121258</v>
      </c>
      <c r="M120" s="626">
        <v>3895.5169254</v>
      </c>
      <c r="N120" s="626">
        <v>267.02806</v>
      </c>
      <c r="O120" s="626">
        <v>778.54538320000006</v>
      </c>
      <c r="P120" s="626">
        <v>542.16774939999993</v>
      </c>
      <c r="Q120" s="626">
        <v>427.7991986</v>
      </c>
      <c r="R120" s="626">
        <v>2252.094212</v>
      </c>
      <c r="S120" s="626">
        <v>1724.5313292</v>
      </c>
      <c r="T120" s="626">
        <v>2891.8066498</v>
      </c>
      <c r="U120" s="626">
        <v>2517.196375</v>
      </c>
      <c r="V120" s="626">
        <v>3149.512903</v>
      </c>
      <c r="W120" s="626">
        <v>2827.4647911</v>
      </c>
      <c r="X120" s="626">
        <v>4089.6361714</v>
      </c>
      <c r="Y120" s="626">
        <v>3467.5757072</v>
      </c>
      <c r="Z120" s="626">
        <v>599.8755499</v>
      </c>
      <c r="AA120" s="626">
        <v>537.4571632</v>
      </c>
      <c r="AB120" s="626">
        <v>2776.6851601</v>
      </c>
      <c r="AC120" s="626">
        <v>2441.4053766</v>
      </c>
      <c r="AD120" s="626">
        <v>2007.1034691999998</v>
      </c>
      <c r="AE120" s="626">
        <v>1743.9838637</v>
      </c>
      <c r="AF120" s="626">
        <v>2596.3698037</v>
      </c>
      <c r="AG120" s="626">
        <v>1852.2417524999999</v>
      </c>
      <c r="AH120" s="625">
        <v>1.2429819775523274</v>
      </c>
      <c r="AI120" s="625">
        <v>0.23470880586492648</v>
      </c>
      <c r="AJ120" s="625">
        <v>0.34298329393982219</v>
      </c>
      <c r="AK120" s="625">
        <v>1.2673416669323021</v>
      </c>
      <c r="AL120" s="625">
        <v>1.3059166707217673</v>
      </c>
      <c r="AM120" s="625">
        <v>1.1488204410694556</v>
      </c>
      <c r="AN120" s="625">
        <v>1.1138999548129411</v>
      </c>
      <c r="AO120" s="625">
        <v>1.1793934773804702</v>
      </c>
      <c r="AP120" s="625">
        <v>1.1161364868939356</v>
      </c>
      <c r="AQ120" s="625">
        <v>1.1373306484315162</v>
      </c>
      <c r="AR120" s="625">
        <v>1.1508727293642389</v>
      </c>
      <c r="AS120" s="625">
        <v>1.4017445618159139</v>
      </c>
    </row>
    <row r="121">
      <c r="B121" s="623">
        <v>1800000</v>
      </c>
      <c r="C121" s="603" t="s">
        <v>77</v>
      </c>
      <c r="D121" s="0" t="s">
        <v>116</v>
      </c>
      <c r="E121" s="0" t="s">
        <v>72</v>
      </c>
      <c r="F121" s="625">
        <v>5.6646513664017384</v>
      </c>
      <c r="G121" s="625">
        <v>1.6457540807641142</v>
      </c>
      <c r="H121" s="624">
        <v>4.8015462116247747</v>
      </c>
      <c r="I121" s="624">
        <v>10.99755820827629</v>
      </c>
      <c r="J121" s="626">
        <v>1800</v>
      </c>
      <c r="K121" s="626">
        <v>1331.1271262</v>
      </c>
      <c r="L121" s="626">
        <v>810.87484790000008</v>
      </c>
      <c r="M121" s="626">
        <v>3491.3501776999997</v>
      </c>
      <c r="N121" s="626">
        <v>205.4062</v>
      </c>
      <c r="O121" s="626">
        <v>649.0143389</v>
      </c>
      <c r="P121" s="626">
        <v>563.9153652</v>
      </c>
      <c r="Q121" s="626">
        <v>446.78587070000003</v>
      </c>
      <c r="R121" s="626">
        <v>2174.6954369</v>
      </c>
      <c r="S121" s="626">
        <v>1866.0641573999999</v>
      </c>
      <c r="T121" s="626">
        <v>3030.3246819</v>
      </c>
      <c r="U121" s="626">
        <v>2646.7350487000003</v>
      </c>
      <c r="V121" s="626">
        <v>2722.9352326000003</v>
      </c>
      <c r="W121" s="626">
        <v>2500.4543411</v>
      </c>
      <c r="X121" s="626">
        <v>4602.8750761</v>
      </c>
      <c r="Y121" s="626">
        <v>3946.8137505</v>
      </c>
      <c r="Z121" s="626">
        <v>625.756435</v>
      </c>
      <c r="AA121" s="626">
        <v>554.16112509999994</v>
      </c>
      <c r="AB121" s="626">
        <v>2771.3605457000003</v>
      </c>
      <c r="AC121" s="626">
        <v>2429.2540896</v>
      </c>
      <c r="AD121" s="626">
        <v>1881.8538432</v>
      </c>
      <c r="AE121" s="626">
        <v>1609.6120661</v>
      </c>
      <c r="AF121" s="626">
        <v>3166.0070748000003</v>
      </c>
      <c r="AG121" s="626">
        <v>2270.7998862</v>
      </c>
      <c r="AH121" s="625">
        <v>1.3522374869749581</v>
      </c>
      <c r="AI121" s="625">
        <v>0.23225251166525782</v>
      </c>
      <c r="AJ121" s="625">
        <v>0.31648946360941621</v>
      </c>
      <c r="AK121" s="625">
        <v>1.2621602475718943</v>
      </c>
      <c r="AL121" s="625">
        <v>1.1653915693087262</v>
      </c>
      <c r="AM121" s="625">
        <v>1.1449293662349909</v>
      </c>
      <c r="AN121" s="625">
        <v>1.0889761863643004</v>
      </c>
      <c r="AO121" s="625">
        <v>1.1662255599381071</v>
      </c>
      <c r="AP121" s="625">
        <v>1.12919583610739</v>
      </c>
      <c r="AQ121" s="625">
        <v>1.1408277781555873</v>
      </c>
      <c r="AR121" s="625">
        <v>1.1691350250283406</v>
      </c>
      <c r="AS121" s="625">
        <v>1.3942254859571222</v>
      </c>
    </row>
    <row r="122">
      <c r="B122" s="623">
        <v>1800000</v>
      </c>
      <c r="C122" s="603" t="s">
        <v>78</v>
      </c>
      <c r="D122" s="0" t="s">
        <v>116</v>
      </c>
      <c r="E122" s="0" t="s">
        <v>72</v>
      </c>
      <c r="F122" s="625">
        <v>6.5143490713619983</v>
      </c>
      <c r="G122" s="625">
        <v>1.8926171928787312</v>
      </c>
      <c r="H122" s="624">
        <v>5.5217781433684907</v>
      </c>
      <c r="I122" s="624">
        <v>12.647191939517734</v>
      </c>
      <c r="J122" s="626">
        <v>2160</v>
      </c>
      <c r="K122" s="626">
        <v>1597.3525515000001</v>
      </c>
      <c r="L122" s="626">
        <v>973.0498174</v>
      </c>
      <c r="M122" s="626">
        <v>4189.6202132</v>
      </c>
      <c r="N122" s="626">
        <v>246.48744</v>
      </c>
      <c r="O122" s="626">
        <v>778.81720669999993</v>
      </c>
      <c r="P122" s="626">
        <v>620.3069017</v>
      </c>
      <c r="Q122" s="626">
        <v>491.4644578</v>
      </c>
      <c r="R122" s="626">
        <v>2392.1649806</v>
      </c>
      <c r="S122" s="626">
        <v>2052.6705732</v>
      </c>
      <c r="T122" s="626">
        <v>3333.3571501</v>
      </c>
      <c r="U122" s="626">
        <v>2911.4085536000002</v>
      </c>
      <c r="V122" s="626">
        <v>2995.2287559</v>
      </c>
      <c r="W122" s="626">
        <v>2750.4997753</v>
      </c>
      <c r="X122" s="626">
        <v>5063.1625837</v>
      </c>
      <c r="Y122" s="626">
        <v>4341.4951255</v>
      </c>
      <c r="Z122" s="626">
        <v>688.3320786</v>
      </c>
      <c r="AA122" s="626">
        <v>609.57723770000007</v>
      </c>
      <c r="AB122" s="626">
        <v>3048.4966002</v>
      </c>
      <c r="AC122" s="626">
        <v>2672.1794986</v>
      </c>
      <c r="AD122" s="626">
        <v>2070.0392275</v>
      </c>
      <c r="AE122" s="626">
        <v>1770.5732727000002</v>
      </c>
      <c r="AF122" s="626">
        <v>3482.6077823</v>
      </c>
      <c r="AG122" s="626">
        <v>2497.8798748</v>
      </c>
      <c r="AH122" s="625">
        <v>1.3522374869749581</v>
      </c>
      <c r="AI122" s="625">
        <v>0.23225251166525782</v>
      </c>
      <c r="AJ122" s="625">
        <v>0.31648946360941621</v>
      </c>
      <c r="AK122" s="625">
        <v>1.2621602475718943</v>
      </c>
      <c r="AL122" s="625">
        <v>1.165391569308726</v>
      </c>
      <c r="AM122" s="625">
        <v>1.1449293662349906</v>
      </c>
      <c r="AN122" s="625">
        <v>1.0889761863643004</v>
      </c>
      <c r="AO122" s="625">
        <v>1.1662255599381068</v>
      </c>
      <c r="AP122" s="625">
        <v>1.12919583610739</v>
      </c>
      <c r="AQ122" s="625">
        <v>1.1408277781555873</v>
      </c>
      <c r="AR122" s="625">
        <v>1.1691350250283406</v>
      </c>
      <c r="AS122" s="625">
        <v>1.3942254859571222</v>
      </c>
    </row>
    <row r="123">
      <c r="B123" s="623">
        <v>1800000</v>
      </c>
      <c r="C123" s="603" t="s">
        <v>79</v>
      </c>
      <c r="D123" s="0" t="s">
        <v>116</v>
      </c>
      <c r="E123" s="0" t="s">
        <v>72</v>
      </c>
      <c r="F123" s="625">
        <v>7.36404677632226</v>
      </c>
      <c r="G123" s="625">
        <v>2.1394803049933486</v>
      </c>
      <c r="H123" s="624">
        <v>6.2420100751122076</v>
      </c>
      <c r="I123" s="624">
        <v>14.29682567075918</v>
      </c>
      <c r="J123" s="626">
        <v>2340</v>
      </c>
      <c r="K123" s="626">
        <v>1730.4652641</v>
      </c>
      <c r="L123" s="626">
        <v>1054.1373022</v>
      </c>
      <c r="M123" s="626">
        <v>4538.755231</v>
      </c>
      <c r="N123" s="626">
        <v>267.02806</v>
      </c>
      <c r="O123" s="626">
        <v>843.71864060000007</v>
      </c>
      <c r="P123" s="626">
        <v>676.69843819999994</v>
      </c>
      <c r="Q123" s="626">
        <v>536.1430448</v>
      </c>
      <c r="R123" s="626">
        <v>2609.6345241999998</v>
      </c>
      <c r="S123" s="626">
        <v>2239.2769889</v>
      </c>
      <c r="T123" s="626">
        <v>3636.3896183</v>
      </c>
      <c r="U123" s="626">
        <v>3176.0820584</v>
      </c>
      <c r="V123" s="626">
        <v>3267.5222791</v>
      </c>
      <c r="W123" s="626">
        <v>3000.5452094</v>
      </c>
      <c r="X123" s="626">
        <v>5523.4500913</v>
      </c>
      <c r="Y123" s="626">
        <v>4736.1765005</v>
      </c>
      <c r="Z123" s="626">
        <v>750.9077221</v>
      </c>
      <c r="AA123" s="626">
        <v>664.9933502</v>
      </c>
      <c r="AB123" s="626">
        <v>3325.6326548</v>
      </c>
      <c r="AC123" s="626">
        <v>2915.1049076</v>
      </c>
      <c r="AD123" s="626">
        <v>2258.2246118000003</v>
      </c>
      <c r="AE123" s="626">
        <v>1931.5344793</v>
      </c>
      <c r="AF123" s="626">
        <v>3799.2084898000003</v>
      </c>
      <c r="AG123" s="626">
        <v>2724.9598634000004</v>
      </c>
      <c r="AH123" s="625">
        <v>1.3522374869749581</v>
      </c>
      <c r="AI123" s="625">
        <v>0.23225251166525779</v>
      </c>
      <c r="AJ123" s="625">
        <v>0.31648946360941621</v>
      </c>
      <c r="AK123" s="625">
        <v>1.2621602475718943</v>
      </c>
      <c r="AL123" s="625">
        <v>1.1653915693087262</v>
      </c>
      <c r="AM123" s="625">
        <v>1.1449293662349906</v>
      </c>
      <c r="AN123" s="625">
        <v>1.0889761863643004</v>
      </c>
      <c r="AO123" s="625">
        <v>1.1662255599381073</v>
      </c>
      <c r="AP123" s="625">
        <v>1.12919583610739</v>
      </c>
      <c r="AQ123" s="625">
        <v>1.1408277781555873</v>
      </c>
      <c r="AR123" s="625">
        <v>1.1691350250283408</v>
      </c>
      <c r="AS123" s="625">
        <v>1.3942254859571224</v>
      </c>
    </row>
    <row r="124">
      <c r="B124" s="623">
        <v>2034240</v>
      </c>
      <c r="C124" s="603" t="s">
        <v>77</v>
      </c>
      <c r="D124" s="0" t="s">
        <v>116</v>
      </c>
      <c r="E124" s="0" t="s">
        <v>72</v>
      </c>
      <c r="F124" s="625">
        <v>5.972621381620443</v>
      </c>
      <c r="G124" s="625">
        <v>1.856058930769185</v>
      </c>
      <c r="H124" s="624">
        <v>4.6498672491703052</v>
      </c>
      <c r="I124" s="624">
        <v>10.420573971060813</v>
      </c>
      <c r="J124" s="626">
        <v>2034.24</v>
      </c>
      <c r="K124" s="626">
        <v>1428.221</v>
      </c>
      <c r="L124" s="626">
        <v>894.856</v>
      </c>
      <c r="M124" s="626">
        <v>3877.689</v>
      </c>
      <c r="N124" s="626">
        <v>205.4062</v>
      </c>
      <c r="O124" s="626">
        <v>688.1584</v>
      </c>
      <c r="P124" s="626">
        <v>651.45</v>
      </c>
      <c r="Q124" s="626">
        <v>517.2816</v>
      </c>
      <c r="R124" s="626">
        <v>2407.335</v>
      </c>
      <c r="S124" s="626">
        <v>2200.992</v>
      </c>
      <c r="T124" s="626">
        <v>3514.8</v>
      </c>
      <c r="U124" s="626">
        <v>3075.45</v>
      </c>
      <c r="V124" s="626">
        <v>2799.72</v>
      </c>
      <c r="W124" s="626">
        <v>2613.072</v>
      </c>
      <c r="X124" s="626">
        <v>5535.81</v>
      </c>
      <c r="Y124" s="626">
        <v>4772.25</v>
      </c>
      <c r="Z124" s="626">
        <v>724.028035</v>
      </c>
      <c r="AA124" s="626">
        <v>637.1446708</v>
      </c>
      <c r="AB124" s="626">
        <v>3128.5423822</v>
      </c>
      <c r="AC124" s="626">
        <v>2737.4745844</v>
      </c>
      <c r="AD124" s="626">
        <v>2045.25</v>
      </c>
      <c r="AE124" s="626">
        <v>1731.645</v>
      </c>
      <c r="AF124" s="626">
        <v>3948.6541133</v>
      </c>
      <c r="AG124" s="626">
        <v>2838.6484704</v>
      </c>
      <c r="AH124" s="625">
        <v>1.4243173850545539</v>
      </c>
      <c r="AI124" s="625">
        <v>0.23077044084762857</v>
      </c>
      <c r="AJ124" s="625">
        <v>0.29848680187584725</v>
      </c>
      <c r="AK124" s="625">
        <v>1.2593720712277414</v>
      </c>
      <c r="AL124" s="625">
        <v>1.09375</v>
      </c>
      <c r="AM124" s="625">
        <v>1.1428571428571428</v>
      </c>
      <c r="AN124" s="625">
        <v>1.0714285714285712</v>
      </c>
      <c r="AO124" s="625">
        <v>1.16</v>
      </c>
      <c r="AP124" s="625">
        <v>1.1363636363636365</v>
      </c>
      <c r="AQ124" s="625">
        <v>1.1428571428571432</v>
      </c>
      <c r="AR124" s="625">
        <v>1.1811023622047243</v>
      </c>
      <c r="AS124" s="625">
        <v>1.3910331463918984</v>
      </c>
    </row>
    <row r="125">
      <c r="B125" s="623">
        <v>2034240</v>
      </c>
      <c r="C125" s="603" t="s">
        <v>78</v>
      </c>
      <c r="D125" s="0" t="s">
        <v>116</v>
      </c>
      <c r="E125" s="0" t="s">
        <v>72</v>
      </c>
      <c r="F125" s="625">
        <v>6.8685145888635093</v>
      </c>
      <c r="G125" s="625">
        <v>2.1344677703845627</v>
      </c>
      <c r="H125" s="624">
        <v>5.3473473365458508</v>
      </c>
      <c r="I125" s="624">
        <v>11.983660066719935</v>
      </c>
      <c r="J125" s="626">
        <v>2441.088</v>
      </c>
      <c r="K125" s="626">
        <v>1713.8652</v>
      </c>
      <c r="L125" s="626">
        <v>1073.8272</v>
      </c>
      <c r="M125" s="626">
        <v>4653.2267999999995</v>
      </c>
      <c r="N125" s="626">
        <v>246.48744</v>
      </c>
      <c r="O125" s="626">
        <v>825.79008</v>
      </c>
      <c r="P125" s="626">
        <v>716.595</v>
      </c>
      <c r="Q125" s="626">
        <v>569.00976</v>
      </c>
      <c r="R125" s="626">
        <v>2648.0685</v>
      </c>
      <c r="S125" s="626">
        <v>2421.0912000000003</v>
      </c>
      <c r="T125" s="626">
        <v>3866.28</v>
      </c>
      <c r="U125" s="626">
        <v>3382.995</v>
      </c>
      <c r="V125" s="626">
        <v>3079.692</v>
      </c>
      <c r="W125" s="626">
        <v>2874.3792000000003</v>
      </c>
      <c r="X125" s="626">
        <v>6089.391</v>
      </c>
      <c r="Y125" s="626">
        <v>5249.475</v>
      </c>
      <c r="Z125" s="626">
        <v>796.43083849999994</v>
      </c>
      <c r="AA125" s="626">
        <v>700.8591379</v>
      </c>
      <c r="AB125" s="626">
        <v>3441.3966204</v>
      </c>
      <c r="AC125" s="626">
        <v>3011.2220429</v>
      </c>
      <c r="AD125" s="626">
        <v>2249.775</v>
      </c>
      <c r="AE125" s="626">
        <v>1904.8095</v>
      </c>
      <c r="AF125" s="626">
        <v>4343.5195246</v>
      </c>
      <c r="AG125" s="626">
        <v>3122.5133174000002</v>
      </c>
      <c r="AH125" s="625">
        <v>1.4243173850545539</v>
      </c>
      <c r="AI125" s="625">
        <v>0.23077044084762857</v>
      </c>
      <c r="AJ125" s="625">
        <v>0.29848680187584725</v>
      </c>
      <c r="AK125" s="625">
        <v>1.2593720712277412</v>
      </c>
      <c r="AL125" s="625">
        <v>1.09375</v>
      </c>
      <c r="AM125" s="625">
        <v>1.142857142857143</v>
      </c>
      <c r="AN125" s="625">
        <v>1.0714285714285712</v>
      </c>
      <c r="AO125" s="625">
        <v>1.16</v>
      </c>
      <c r="AP125" s="625">
        <v>1.1363636363636365</v>
      </c>
      <c r="AQ125" s="625">
        <v>1.1428571428571432</v>
      </c>
      <c r="AR125" s="625">
        <v>1.1811023622047243</v>
      </c>
      <c r="AS125" s="625">
        <v>1.3910331463918984</v>
      </c>
    </row>
    <row r="126">
      <c r="B126" s="623">
        <v>2034240</v>
      </c>
      <c r="C126" s="603" t="s">
        <v>79</v>
      </c>
      <c r="D126" s="0" t="s">
        <v>116</v>
      </c>
      <c r="E126" s="0" t="s">
        <v>72</v>
      </c>
      <c r="F126" s="625">
        <v>7.7644077961065765</v>
      </c>
      <c r="G126" s="625">
        <v>2.412876609999941</v>
      </c>
      <c r="H126" s="624">
        <v>6.0448274239213973</v>
      </c>
      <c r="I126" s="624">
        <v>13.54674616237906</v>
      </c>
      <c r="J126" s="626">
        <v>2644.512</v>
      </c>
      <c r="K126" s="626">
        <v>1856.6873</v>
      </c>
      <c r="L126" s="626">
        <v>1163.3128000000002</v>
      </c>
      <c r="M126" s="626">
        <v>5040.9957</v>
      </c>
      <c r="N126" s="626">
        <v>267.02806</v>
      </c>
      <c r="O126" s="626">
        <v>894.60592000000008</v>
      </c>
      <c r="P126" s="626">
        <v>781.74</v>
      </c>
      <c r="Q126" s="626">
        <v>620.73792</v>
      </c>
      <c r="R126" s="626">
        <v>2888.802</v>
      </c>
      <c r="S126" s="626">
        <v>2641.1904</v>
      </c>
      <c r="T126" s="626">
        <v>4217.76</v>
      </c>
      <c r="U126" s="626">
        <v>3690.54</v>
      </c>
      <c r="V126" s="626">
        <v>3359.664</v>
      </c>
      <c r="W126" s="626">
        <v>3135.6864</v>
      </c>
      <c r="X126" s="626">
        <v>6642.972</v>
      </c>
      <c r="Y126" s="626">
        <v>5726.7</v>
      </c>
      <c r="Z126" s="626">
        <v>868.83364199999994</v>
      </c>
      <c r="AA126" s="626">
        <v>764.57360499999993</v>
      </c>
      <c r="AB126" s="626">
        <v>3754.2508587</v>
      </c>
      <c r="AC126" s="626">
        <v>3284.9695013</v>
      </c>
      <c r="AD126" s="626">
        <v>2454.3</v>
      </c>
      <c r="AE126" s="626">
        <v>2077.974</v>
      </c>
      <c r="AF126" s="626">
        <v>4738.3849359</v>
      </c>
      <c r="AG126" s="626">
        <v>3406.3781645</v>
      </c>
      <c r="AH126" s="625">
        <v>1.4243173850545539</v>
      </c>
      <c r="AI126" s="625">
        <v>0.23077044084762857</v>
      </c>
      <c r="AJ126" s="625">
        <v>0.29848680187584725</v>
      </c>
      <c r="AK126" s="625">
        <v>1.2593720712277414</v>
      </c>
      <c r="AL126" s="625">
        <v>1.09375</v>
      </c>
      <c r="AM126" s="625">
        <v>1.1428571428571428</v>
      </c>
      <c r="AN126" s="625">
        <v>1.0714285714285714</v>
      </c>
      <c r="AO126" s="625">
        <v>1.16</v>
      </c>
      <c r="AP126" s="625">
        <v>1.1363636363636365</v>
      </c>
      <c r="AQ126" s="625">
        <v>1.1428571428571432</v>
      </c>
      <c r="AR126" s="625">
        <v>1.1811023622047243</v>
      </c>
      <c r="AS126" s="625">
        <v>1.3910331463918981</v>
      </c>
    </row>
    <row r="127">
      <c r="B127" s="623">
        <v>2200000</v>
      </c>
      <c r="C127" s="603" t="s">
        <v>77</v>
      </c>
      <c r="D127" s="0" t="s">
        <v>116</v>
      </c>
      <c r="E127" s="0" t="s">
        <v>72</v>
      </c>
      <c r="F127" s="625">
        <v>6.45930029866927</v>
      </c>
      <c r="G127" s="625">
        <v>2.0072998504071333</v>
      </c>
      <c r="H127" s="624">
        <v>4.6498672491703044</v>
      </c>
      <c r="I127" s="624">
        <v>10.420573971060813</v>
      </c>
      <c r="J127" s="626">
        <v>2200</v>
      </c>
      <c r="K127" s="626">
        <v>1544.5995556</v>
      </c>
      <c r="L127" s="626">
        <v>967.7733207</v>
      </c>
      <c r="M127" s="626">
        <v>4193.6623997</v>
      </c>
      <c r="N127" s="626">
        <v>222.1437195</v>
      </c>
      <c r="O127" s="626">
        <v>744.2329715</v>
      </c>
      <c r="P127" s="626">
        <v>704.5333884</v>
      </c>
      <c r="Q127" s="626">
        <v>559.4322794</v>
      </c>
      <c r="R127" s="626">
        <v>2603.4966376</v>
      </c>
      <c r="S127" s="626">
        <v>2380.3397829</v>
      </c>
      <c r="T127" s="626">
        <v>3801.2033978</v>
      </c>
      <c r="U127" s="626">
        <v>3326.0529731</v>
      </c>
      <c r="V127" s="626">
        <v>3027.8551203</v>
      </c>
      <c r="W127" s="626">
        <v>2825.9981123000002</v>
      </c>
      <c r="X127" s="626">
        <v>5986.8953516</v>
      </c>
      <c r="Y127" s="626">
        <v>5161.1166824</v>
      </c>
      <c r="Z127" s="626">
        <v>783.025443</v>
      </c>
      <c r="AA127" s="626">
        <v>689.0623898</v>
      </c>
      <c r="AB127" s="626">
        <v>3383.4715869</v>
      </c>
      <c r="AC127" s="626">
        <v>2960.5376385</v>
      </c>
      <c r="AD127" s="626">
        <v>2211.9071496</v>
      </c>
      <c r="AE127" s="626">
        <v>1872.7480533</v>
      </c>
      <c r="AF127" s="626">
        <v>4270.4101036</v>
      </c>
      <c r="AG127" s="626">
        <v>3069.9556763</v>
      </c>
      <c r="AH127" s="625">
        <v>1.4243173850545541</v>
      </c>
      <c r="AI127" s="625">
        <v>0.23077044084762857</v>
      </c>
      <c r="AJ127" s="625">
        <v>0.29848680187584725</v>
      </c>
      <c r="AK127" s="625">
        <v>1.2593720712277414</v>
      </c>
      <c r="AL127" s="625">
        <v>1.09375</v>
      </c>
      <c r="AM127" s="625">
        <v>1.1428571428571428</v>
      </c>
      <c r="AN127" s="625">
        <v>1.0714285714285712</v>
      </c>
      <c r="AO127" s="625">
        <v>1.16</v>
      </c>
      <c r="AP127" s="625">
        <v>1.1363636363636362</v>
      </c>
      <c r="AQ127" s="625">
        <v>1.1428571428571432</v>
      </c>
      <c r="AR127" s="625">
        <v>1.1811023622047245</v>
      </c>
      <c r="AS127" s="625">
        <v>1.3910331463918984</v>
      </c>
    </row>
    <row r="128">
      <c r="B128" s="623">
        <v>2200000</v>
      </c>
      <c r="C128" s="603" t="s">
        <v>78</v>
      </c>
      <c r="D128" s="0" t="s">
        <v>116</v>
      </c>
      <c r="E128" s="0" t="s">
        <v>72</v>
      </c>
      <c r="F128" s="625">
        <v>7.42819534346966</v>
      </c>
      <c r="G128" s="625">
        <v>2.3083948279682032</v>
      </c>
      <c r="H128" s="624">
        <v>5.34734733654585</v>
      </c>
      <c r="I128" s="624">
        <v>11.983660066719935</v>
      </c>
      <c r="J128" s="626">
        <v>2640</v>
      </c>
      <c r="K128" s="626">
        <v>1853.5194667</v>
      </c>
      <c r="L128" s="626">
        <v>1161.3279849</v>
      </c>
      <c r="M128" s="626">
        <v>5032.3948797</v>
      </c>
      <c r="N128" s="626">
        <v>266.5724634</v>
      </c>
      <c r="O128" s="626">
        <v>893.0795658</v>
      </c>
      <c r="P128" s="626">
        <v>774.9867272</v>
      </c>
      <c r="Q128" s="626">
        <v>615.37550730000009</v>
      </c>
      <c r="R128" s="626">
        <v>2863.8463013</v>
      </c>
      <c r="S128" s="626">
        <v>2618.3737612</v>
      </c>
      <c r="T128" s="626">
        <v>4181.3237376</v>
      </c>
      <c r="U128" s="626">
        <v>3658.6582703999998</v>
      </c>
      <c r="V128" s="626">
        <v>3330.6406324</v>
      </c>
      <c r="W128" s="626">
        <v>3108.5979235</v>
      </c>
      <c r="X128" s="626">
        <v>6585.5848866999995</v>
      </c>
      <c r="Y128" s="626">
        <v>5677.2283505999994</v>
      </c>
      <c r="Z128" s="626">
        <v>861.32798719999994</v>
      </c>
      <c r="AA128" s="626">
        <v>757.96862879999992</v>
      </c>
      <c r="AB128" s="626">
        <v>3721.8187456</v>
      </c>
      <c r="AC128" s="626">
        <v>3256.5914024</v>
      </c>
      <c r="AD128" s="626">
        <v>2433.0978646</v>
      </c>
      <c r="AE128" s="626">
        <v>2060.0228587</v>
      </c>
      <c r="AF128" s="626">
        <v>4697.451114</v>
      </c>
      <c r="AG128" s="626">
        <v>3376.9512439</v>
      </c>
      <c r="AH128" s="625">
        <v>1.4243173850545541</v>
      </c>
      <c r="AI128" s="625">
        <v>0.23077044084762854</v>
      </c>
      <c r="AJ128" s="625">
        <v>0.29848680187584725</v>
      </c>
      <c r="AK128" s="625">
        <v>1.2593720712277414</v>
      </c>
      <c r="AL128" s="625">
        <v>1.09375</v>
      </c>
      <c r="AM128" s="625">
        <v>1.142857142857143</v>
      </c>
      <c r="AN128" s="625">
        <v>1.0714285714285712</v>
      </c>
      <c r="AO128" s="625">
        <v>1.1600000000000001</v>
      </c>
      <c r="AP128" s="625">
        <v>1.1363636363636362</v>
      </c>
      <c r="AQ128" s="625">
        <v>1.1428571428571432</v>
      </c>
      <c r="AR128" s="625">
        <v>1.1811023622047245</v>
      </c>
      <c r="AS128" s="625">
        <v>1.3910331463918984</v>
      </c>
    </row>
    <row r="129">
      <c r="B129" s="623">
        <v>2200000</v>
      </c>
      <c r="C129" s="603" t="s">
        <v>79</v>
      </c>
      <c r="D129" s="0" t="s">
        <v>116</v>
      </c>
      <c r="E129" s="0" t="s">
        <v>72</v>
      </c>
      <c r="F129" s="625">
        <v>8.3970903882700512</v>
      </c>
      <c r="G129" s="625">
        <v>2.6094898055292739</v>
      </c>
      <c r="H129" s="624">
        <v>6.0448274239213964</v>
      </c>
      <c r="I129" s="624">
        <v>13.54674616237906</v>
      </c>
      <c r="J129" s="626">
        <v>2860</v>
      </c>
      <c r="K129" s="626">
        <v>2007.9794223</v>
      </c>
      <c r="L129" s="626">
        <v>1258.105317</v>
      </c>
      <c r="M129" s="626">
        <v>5451.7611196</v>
      </c>
      <c r="N129" s="626">
        <v>288.7868354</v>
      </c>
      <c r="O129" s="626">
        <v>967.502863</v>
      </c>
      <c r="P129" s="626">
        <v>845.44006610000008</v>
      </c>
      <c r="Q129" s="626">
        <v>671.3187353</v>
      </c>
      <c r="R129" s="626">
        <v>3124.1959651</v>
      </c>
      <c r="S129" s="626">
        <v>2856.4077395</v>
      </c>
      <c r="T129" s="626">
        <v>4561.4440773999995</v>
      </c>
      <c r="U129" s="626">
        <v>3991.2635677</v>
      </c>
      <c r="V129" s="626">
        <v>3633.4261444</v>
      </c>
      <c r="W129" s="626">
        <v>3391.1977348</v>
      </c>
      <c r="X129" s="626">
        <v>7184.2744219000006</v>
      </c>
      <c r="Y129" s="626">
        <v>6193.3400188999994</v>
      </c>
      <c r="Z129" s="626">
        <v>939.63053150000007</v>
      </c>
      <c r="AA129" s="626">
        <v>826.87486780000006</v>
      </c>
      <c r="AB129" s="626">
        <v>4060.1659042</v>
      </c>
      <c r="AC129" s="626">
        <v>3552.6451662</v>
      </c>
      <c r="AD129" s="626">
        <v>2654.2885795</v>
      </c>
      <c r="AE129" s="626">
        <v>2247.2976639999997</v>
      </c>
      <c r="AF129" s="626">
        <v>5124.4921244</v>
      </c>
      <c r="AG129" s="626">
        <v>3683.9468115</v>
      </c>
      <c r="AH129" s="625">
        <v>1.4243173850545539</v>
      </c>
      <c r="AI129" s="625">
        <v>0.23077044084762857</v>
      </c>
      <c r="AJ129" s="625">
        <v>0.29848680187584725</v>
      </c>
      <c r="AK129" s="625">
        <v>1.2593720712277412</v>
      </c>
      <c r="AL129" s="625">
        <v>1.09375</v>
      </c>
      <c r="AM129" s="625">
        <v>1.142857142857143</v>
      </c>
      <c r="AN129" s="625">
        <v>1.0714285714285712</v>
      </c>
      <c r="AO129" s="625">
        <v>1.16</v>
      </c>
      <c r="AP129" s="625">
        <v>1.1363636363636362</v>
      </c>
      <c r="AQ129" s="625">
        <v>1.1428571428571432</v>
      </c>
      <c r="AR129" s="625">
        <v>1.1811023622047245</v>
      </c>
      <c r="AS129" s="625">
        <v>1.3910331463918984</v>
      </c>
    </row>
    <row r="130">
      <c r="B130" s="623">
        <v>600001</v>
      </c>
      <c r="C130" s="603" t="s">
        <v>77</v>
      </c>
      <c r="D130" s="0" t="s">
        <v>64</v>
      </c>
      <c r="E130" s="0" t="s">
        <v>74</v>
      </c>
      <c r="F130" s="625">
        <v>3.4843711252965321</v>
      </c>
      <c r="G130" s="625">
        <v>0.54115036641075254</v>
      </c>
      <c r="H130" s="624">
        <v>6.3006703623139577</v>
      </c>
      <c r="I130" s="624">
        <v>19.930234543926147</v>
      </c>
      <c r="J130" s="626">
        <v>600.001</v>
      </c>
      <c r="K130" s="626">
        <v>858.4606922</v>
      </c>
      <c r="L130" s="626">
        <v>358.2406927</v>
      </c>
      <c r="M130" s="626">
        <v>1175.7521359999998</v>
      </c>
      <c r="N130" s="626">
        <v>184.2486551</v>
      </c>
      <c r="O130" s="626">
        <v>381.6353122</v>
      </c>
      <c r="P130" s="626">
        <v>207.5075966</v>
      </c>
      <c r="Q130" s="626">
        <v>134.2009498</v>
      </c>
      <c r="R130" s="626">
        <v>958.2816091</v>
      </c>
      <c r="S130" s="626">
        <v>657.0816251</v>
      </c>
      <c r="T130" s="626">
        <v>936.6662345</v>
      </c>
      <c r="U130" s="626">
        <v>671.4538821000001</v>
      </c>
      <c r="V130" s="626">
        <v>1613.9479732</v>
      </c>
      <c r="W130" s="626">
        <v>1131.8152394</v>
      </c>
      <c r="X130" s="626">
        <v>1022.1670497</v>
      </c>
      <c r="Y130" s="626">
        <v>628.7862441</v>
      </c>
      <c r="Z130" s="626">
        <v>199.0175746</v>
      </c>
      <c r="AA130" s="626">
        <v>139.5652943</v>
      </c>
      <c r="AB130" s="626">
        <v>964.97050120000006</v>
      </c>
      <c r="AC130" s="626">
        <v>633.8743979</v>
      </c>
      <c r="AD130" s="626">
        <v>850.2047359</v>
      </c>
      <c r="AE130" s="626">
        <v>599.5925971</v>
      </c>
      <c r="AF130" s="626">
        <v>734.91582090000009</v>
      </c>
      <c r="AG130" s="626">
        <v>409.02832620000004</v>
      </c>
      <c r="AH130" s="625">
        <v>0.69892658501900129</v>
      </c>
      <c r="AI130" s="625">
        <v>0.30469065866147471</v>
      </c>
      <c r="AJ130" s="625">
        <v>0.48278722964362553</v>
      </c>
      <c r="AK130" s="625">
        <v>1.5462453644339014</v>
      </c>
      <c r="AL130" s="625">
        <v>1.4583905141819755</v>
      </c>
      <c r="AM130" s="625">
        <v>1.394982230956672</v>
      </c>
      <c r="AN130" s="625">
        <v>1.4259818360890426</v>
      </c>
      <c r="AO130" s="625">
        <v>1.625619293141509</v>
      </c>
      <c r="AP130" s="625">
        <v>1.4259818360890426</v>
      </c>
      <c r="AQ130" s="625">
        <v>1.5223370818363746</v>
      </c>
      <c r="AR130" s="625">
        <v>1.4179707021784298</v>
      </c>
      <c r="AS130" s="625">
        <v>1.7967357606235468</v>
      </c>
    </row>
    <row r="131">
      <c r="B131" s="623">
        <v>600001</v>
      </c>
      <c r="C131" s="603" t="s">
        <v>78</v>
      </c>
      <c r="D131" s="0" t="s">
        <v>64</v>
      </c>
      <c r="E131" s="0" t="s">
        <v>74</v>
      </c>
      <c r="F131" s="625">
        <v>4.0070267940910114</v>
      </c>
      <c r="G131" s="625">
        <v>0.62232292137236533</v>
      </c>
      <c r="H131" s="624">
        <v>7.24577091666105</v>
      </c>
      <c r="I131" s="624">
        <v>22.919769725515067</v>
      </c>
      <c r="J131" s="626">
        <v>720.00119999999993</v>
      </c>
      <c r="K131" s="626">
        <v>1030.1528307</v>
      </c>
      <c r="L131" s="626">
        <v>429.8888313</v>
      </c>
      <c r="M131" s="626">
        <v>1410.9025632</v>
      </c>
      <c r="N131" s="626">
        <v>221.0983861</v>
      </c>
      <c r="O131" s="626">
        <v>457.9623746</v>
      </c>
      <c r="P131" s="626">
        <v>228.2583562</v>
      </c>
      <c r="Q131" s="626">
        <v>147.6210448</v>
      </c>
      <c r="R131" s="626">
        <v>1054.10977</v>
      </c>
      <c r="S131" s="626">
        <v>722.78978760000007</v>
      </c>
      <c r="T131" s="626">
        <v>1030.3328579</v>
      </c>
      <c r="U131" s="626">
        <v>738.5992703</v>
      </c>
      <c r="V131" s="626">
        <v>1775.3427705000001</v>
      </c>
      <c r="W131" s="626">
        <v>1244.9967634</v>
      </c>
      <c r="X131" s="626">
        <v>1124.3837546999998</v>
      </c>
      <c r="Y131" s="626">
        <v>691.6648685</v>
      </c>
      <c r="Z131" s="626">
        <v>218.919332</v>
      </c>
      <c r="AA131" s="626">
        <v>153.5218237</v>
      </c>
      <c r="AB131" s="626">
        <v>1061.4675513</v>
      </c>
      <c r="AC131" s="626">
        <v>697.2618377</v>
      </c>
      <c r="AD131" s="626">
        <v>935.2252095</v>
      </c>
      <c r="AE131" s="626">
        <v>659.5518568</v>
      </c>
      <c r="AF131" s="626">
        <v>808.407403</v>
      </c>
      <c r="AG131" s="626">
        <v>449.93115889999996</v>
      </c>
      <c r="AH131" s="625">
        <v>0.69892658501900129</v>
      </c>
      <c r="AI131" s="625">
        <v>0.30469065866147471</v>
      </c>
      <c r="AJ131" s="625">
        <v>0.48278722964362558</v>
      </c>
      <c r="AK131" s="625">
        <v>1.5462453644339014</v>
      </c>
      <c r="AL131" s="625">
        <v>1.4583905141819753</v>
      </c>
      <c r="AM131" s="625">
        <v>1.394982230956672</v>
      </c>
      <c r="AN131" s="625">
        <v>1.4259818360890426</v>
      </c>
      <c r="AO131" s="625">
        <v>1.625619293141509</v>
      </c>
      <c r="AP131" s="625">
        <v>1.4259818360890426</v>
      </c>
      <c r="AQ131" s="625">
        <v>1.5223370818363746</v>
      </c>
      <c r="AR131" s="625">
        <v>1.4179707021784296</v>
      </c>
      <c r="AS131" s="625">
        <v>1.796735760623547</v>
      </c>
    </row>
    <row r="132">
      <c r="B132" s="623">
        <v>600001</v>
      </c>
      <c r="C132" s="603" t="s">
        <v>79</v>
      </c>
      <c r="D132" s="0" t="s">
        <v>64</v>
      </c>
      <c r="E132" s="0" t="s">
        <v>74</v>
      </c>
      <c r="F132" s="625">
        <v>4.5296824628854919</v>
      </c>
      <c r="G132" s="625">
        <v>0.70349547633397835</v>
      </c>
      <c r="H132" s="624">
        <v>8.1908714710081458</v>
      </c>
      <c r="I132" s="624">
        <v>25.909304907103991</v>
      </c>
      <c r="J132" s="626">
        <v>780.0013</v>
      </c>
      <c r="K132" s="626">
        <v>1115.9988999</v>
      </c>
      <c r="L132" s="626">
        <v>465.7129006</v>
      </c>
      <c r="M132" s="626">
        <v>1528.4777768000001</v>
      </c>
      <c r="N132" s="626">
        <v>239.52325159999998</v>
      </c>
      <c r="O132" s="626">
        <v>496.1259059</v>
      </c>
      <c r="P132" s="626">
        <v>249.0091159</v>
      </c>
      <c r="Q132" s="626">
        <v>161.0411398</v>
      </c>
      <c r="R132" s="626">
        <v>1149.9379309</v>
      </c>
      <c r="S132" s="626">
        <v>788.4979501</v>
      </c>
      <c r="T132" s="626">
        <v>1123.9994813</v>
      </c>
      <c r="U132" s="626">
        <v>805.7446585</v>
      </c>
      <c r="V132" s="626">
        <v>1936.7375679</v>
      </c>
      <c r="W132" s="626">
        <v>1358.1782873</v>
      </c>
      <c r="X132" s="626">
        <v>1226.6004596</v>
      </c>
      <c r="Y132" s="626">
        <v>754.54349289999993</v>
      </c>
      <c r="Z132" s="626">
        <v>238.8210895</v>
      </c>
      <c r="AA132" s="626">
        <v>167.47835310000002</v>
      </c>
      <c r="AB132" s="626">
        <v>1157.9646014</v>
      </c>
      <c r="AC132" s="626">
        <v>760.64927749999993</v>
      </c>
      <c r="AD132" s="626">
        <v>1020.2456831000001</v>
      </c>
      <c r="AE132" s="626">
        <v>719.5111165</v>
      </c>
      <c r="AF132" s="626">
        <v>881.8989851</v>
      </c>
      <c r="AG132" s="626">
        <v>490.8339915</v>
      </c>
      <c r="AH132" s="625">
        <v>0.69892658501900129</v>
      </c>
      <c r="AI132" s="625">
        <v>0.30469065866147466</v>
      </c>
      <c r="AJ132" s="625">
        <v>0.48278722964362553</v>
      </c>
      <c r="AK132" s="625">
        <v>1.5462453644339014</v>
      </c>
      <c r="AL132" s="625">
        <v>1.4583905141819755</v>
      </c>
      <c r="AM132" s="625">
        <v>1.3949822309566717</v>
      </c>
      <c r="AN132" s="625">
        <v>1.4259818360890426</v>
      </c>
      <c r="AO132" s="625">
        <v>1.625619293141509</v>
      </c>
      <c r="AP132" s="625">
        <v>1.4259818360890426</v>
      </c>
      <c r="AQ132" s="625">
        <v>1.5223370818363744</v>
      </c>
      <c r="AR132" s="625">
        <v>1.4179707021784296</v>
      </c>
      <c r="AS132" s="625">
        <v>1.796735760623547</v>
      </c>
    </row>
    <row r="133">
      <c r="B133" s="623">
        <v>668900</v>
      </c>
      <c r="C133" s="603" t="s">
        <v>77</v>
      </c>
      <c r="D133" s="0" t="s">
        <v>64</v>
      </c>
      <c r="E133" s="0" t="s">
        <v>74</v>
      </c>
      <c r="F133" s="625">
        <v>3.8844866020404156</v>
      </c>
      <c r="G133" s="625">
        <v>0.60329146133448508</v>
      </c>
      <c r="H133" s="624">
        <v>6.3006703623139559</v>
      </c>
      <c r="I133" s="624">
        <v>18.366433556044353</v>
      </c>
      <c r="J133" s="626">
        <v>668.9</v>
      </c>
      <c r="K133" s="626">
        <v>957.039</v>
      </c>
      <c r="L133" s="626">
        <v>399.378</v>
      </c>
      <c r="M133" s="626">
        <v>1682.215</v>
      </c>
      <c r="N133" s="626">
        <v>205.4062</v>
      </c>
      <c r="O133" s="626">
        <v>546.0272</v>
      </c>
      <c r="P133" s="626">
        <v>231.336</v>
      </c>
      <c r="Q133" s="626">
        <v>192.00888</v>
      </c>
      <c r="R133" s="626">
        <v>1068.3225</v>
      </c>
      <c r="S133" s="626">
        <v>940.12380000000007</v>
      </c>
      <c r="T133" s="626">
        <v>1044.225</v>
      </c>
      <c r="U133" s="626">
        <v>960.687</v>
      </c>
      <c r="V133" s="626">
        <v>1799.28</v>
      </c>
      <c r="W133" s="626">
        <v>1619.352</v>
      </c>
      <c r="X133" s="626">
        <v>1139.544</v>
      </c>
      <c r="Y133" s="626">
        <v>899.64</v>
      </c>
      <c r="Z133" s="626">
        <v>221.8710562</v>
      </c>
      <c r="AA133" s="626">
        <v>199.6839506</v>
      </c>
      <c r="AB133" s="626">
        <v>1075.7794873999999</v>
      </c>
      <c r="AC133" s="626">
        <v>906.9199091</v>
      </c>
      <c r="AD133" s="626">
        <v>947.835</v>
      </c>
      <c r="AE133" s="626">
        <v>857.871</v>
      </c>
      <c r="AF133" s="626">
        <v>819.30728879999992</v>
      </c>
      <c r="AG133" s="626">
        <v>585.2199326</v>
      </c>
      <c r="AH133" s="625">
        <v>0.69892658501900129</v>
      </c>
      <c r="AI133" s="625">
        <v>0.23741198360494942</v>
      </c>
      <c r="AJ133" s="625">
        <v>0.37618309124527138</v>
      </c>
      <c r="AK133" s="625">
        <v>1.2048192771084336</v>
      </c>
      <c r="AL133" s="625">
        <v>1.1363636363636365</v>
      </c>
      <c r="AM133" s="625">
        <v>1.0869565217391304</v>
      </c>
      <c r="AN133" s="625">
        <v>1.1111111111111112</v>
      </c>
      <c r="AO133" s="625">
        <v>1.2666666666666671</v>
      </c>
      <c r="AP133" s="625">
        <v>1.1111111111111112</v>
      </c>
      <c r="AQ133" s="625">
        <v>1.1861901769548482</v>
      </c>
      <c r="AR133" s="625">
        <v>1.1048689138576779</v>
      </c>
      <c r="AS133" s="625">
        <v>1.3999989458735553</v>
      </c>
    </row>
    <row r="134">
      <c r="B134" s="623">
        <v>668900</v>
      </c>
      <c r="C134" s="603" t="s">
        <v>78</v>
      </c>
      <c r="D134" s="0" t="s">
        <v>64</v>
      </c>
      <c r="E134" s="0" t="s">
        <v>74</v>
      </c>
      <c r="F134" s="625">
        <v>4.4671595923464782</v>
      </c>
      <c r="G134" s="625">
        <v>0.69378518053465776</v>
      </c>
      <c r="H134" s="624">
        <v>7.2457709166610487</v>
      </c>
      <c r="I134" s="624">
        <v>21.121398589451005</v>
      </c>
      <c r="J134" s="626">
        <v>802.68</v>
      </c>
      <c r="K134" s="626">
        <v>1148.4468</v>
      </c>
      <c r="L134" s="626">
        <v>479.25359999999995</v>
      </c>
      <c r="M134" s="626">
        <v>2018.658</v>
      </c>
      <c r="N134" s="626">
        <v>246.48744</v>
      </c>
      <c r="O134" s="626">
        <v>655.23264000000006</v>
      </c>
      <c r="P134" s="626">
        <v>254.4696</v>
      </c>
      <c r="Q134" s="626">
        <v>211.209768</v>
      </c>
      <c r="R134" s="626">
        <v>1175.15475</v>
      </c>
      <c r="S134" s="626">
        <v>1034.13618</v>
      </c>
      <c r="T134" s="626">
        <v>1148.6475</v>
      </c>
      <c r="U134" s="626">
        <v>1056.7557</v>
      </c>
      <c r="V134" s="626">
        <v>1979.208</v>
      </c>
      <c r="W134" s="626">
        <v>1781.2872</v>
      </c>
      <c r="X134" s="626">
        <v>1253.4984</v>
      </c>
      <c r="Y134" s="626">
        <v>989.604</v>
      </c>
      <c r="Z134" s="626">
        <v>244.05816190000002</v>
      </c>
      <c r="AA134" s="626">
        <v>219.6523457</v>
      </c>
      <c r="AB134" s="626">
        <v>1183.3574362000002</v>
      </c>
      <c r="AC134" s="626">
        <v>997.6119</v>
      </c>
      <c r="AD134" s="626">
        <v>1042.6185</v>
      </c>
      <c r="AE134" s="626">
        <v>943.6581</v>
      </c>
      <c r="AF134" s="626">
        <v>901.2380177</v>
      </c>
      <c r="AG134" s="626">
        <v>643.74192590000007</v>
      </c>
      <c r="AH134" s="625">
        <v>0.69892658501900129</v>
      </c>
      <c r="AI134" s="625">
        <v>0.23741198360494942</v>
      </c>
      <c r="AJ134" s="625">
        <v>0.37618309124527138</v>
      </c>
      <c r="AK134" s="625">
        <v>1.2048192771084338</v>
      </c>
      <c r="AL134" s="625">
        <v>1.1363636363636365</v>
      </c>
      <c r="AM134" s="625">
        <v>1.0869565217391304</v>
      </c>
      <c r="AN134" s="625">
        <v>1.1111111111111112</v>
      </c>
      <c r="AO134" s="625">
        <v>1.2666666666666668</v>
      </c>
      <c r="AP134" s="625">
        <v>1.1111111111111114</v>
      </c>
      <c r="AQ134" s="625">
        <v>1.1861901769548482</v>
      </c>
      <c r="AR134" s="625">
        <v>1.1048689138576779</v>
      </c>
      <c r="AS134" s="625">
        <v>1.3999989458735556</v>
      </c>
    </row>
    <row r="135">
      <c r="B135" s="623">
        <v>668900</v>
      </c>
      <c r="C135" s="603" t="s">
        <v>79</v>
      </c>
      <c r="D135" s="0" t="s">
        <v>64</v>
      </c>
      <c r="E135" s="0" t="s">
        <v>74</v>
      </c>
      <c r="F135" s="625">
        <v>5.0498325826525408</v>
      </c>
      <c r="G135" s="625">
        <v>0.78427889973483056</v>
      </c>
      <c r="H135" s="624">
        <v>8.1908714710081423</v>
      </c>
      <c r="I135" s="624">
        <v>23.87636362285766</v>
      </c>
      <c r="J135" s="626">
        <v>869.57</v>
      </c>
      <c r="K135" s="626">
        <v>1244.1507</v>
      </c>
      <c r="L135" s="626">
        <v>519.1914</v>
      </c>
      <c r="M135" s="626">
        <v>2186.8795</v>
      </c>
      <c r="N135" s="626">
        <v>267.02806</v>
      </c>
      <c r="O135" s="626">
        <v>709.83536</v>
      </c>
      <c r="P135" s="626">
        <v>277.6032</v>
      </c>
      <c r="Q135" s="626">
        <v>230.410656</v>
      </c>
      <c r="R135" s="626">
        <v>1281.987</v>
      </c>
      <c r="S135" s="626">
        <v>1128.14856</v>
      </c>
      <c r="T135" s="626">
        <v>1253.07</v>
      </c>
      <c r="U135" s="626">
        <v>1152.8244</v>
      </c>
      <c r="V135" s="626">
        <v>2159.136</v>
      </c>
      <c r="W135" s="626">
        <v>1943.2223999999999</v>
      </c>
      <c r="X135" s="626">
        <v>1367.4528</v>
      </c>
      <c r="Y135" s="626">
        <v>1079.568</v>
      </c>
      <c r="Z135" s="626">
        <v>266.2452675</v>
      </c>
      <c r="AA135" s="626">
        <v>239.6207407</v>
      </c>
      <c r="AB135" s="626">
        <v>1290.9353849</v>
      </c>
      <c r="AC135" s="626">
        <v>1088.3038909</v>
      </c>
      <c r="AD135" s="626">
        <v>1137.402</v>
      </c>
      <c r="AE135" s="626">
        <v>1029.4451999999999</v>
      </c>
      <c r="AF135" s="626">
        <v>983.1687466</v>
      </c>
      <c r="AG135" s="626">
        <v>702.2639192</v>
      </c>
      <c r="AH135" s="625">
        <v>0.69892658501900129</v>
      </c>
      <c r="AI135" s="625">
        <v>0.23741198360494945</v>
      </c>
      <c r="AJ135" s="625">
        <v>0.37618309124527138</v>
      </c>
      <c r="AK135" s="625">
        <v>1.2048192771084336</v>
      </c>
      <c r="AL135" s="625">
        <v>1.1363636363636365</v>
      </c>
      <c r="AM135" s="625">
        <v>1.0869565217391306</v>
      </c>
      <c r="AN135" s="625">
        <v>1.1111111111111114</v>
      </c>
      <c r="AO135" s="625">
        <v>1.2666666666666671</v>
      </c>
      <c r="AP135" s="625">
        <v>1.1111111111111114</v>
      </c>
      <c r="AQ135" s="625">
        <v>1.1861901769548482</v>
      </c>
      <c r="AR135" s="625">
        <v>1.1048689138576779</v>
      </c>
      <c r="AS135" s="625">
        <v>1.3999989458735553</v>
      </c>
    </row>
    <row r="136">
      <c r="B136" s="623">
        <v>700000</v>
      </c>
      <c r="C136" s="603" t="s">
        <v>77</v>
      </c>
      <c r="D136" s="0" t="s">
        <v>64</v>
      </c>
      <c r="E136" s="0" t="s">
        <v>74</v>
      </c>
      <c r="F136" s="625">
        <v>3.9641606339961668</v>
      </c>
      <c r="G136" s="625">
        <v>0.63633288590997772</v>
      </c>
      <c r="H136" s="624">
        <v>6.2502649929856124</v>
      </c>
      <c r="I136" s="624">
        <v>18.002709490804186</v>
      </c>
      <c r="J136" s="626">
        <v>700</v>
      </c>
      <c r="K136" s="626">
        <v>964.9258523</v>
      </c>
      <c r="L136" s="626">
        <v>410.8433327</v>
      </c>
      <c r="M136" s="626">
        <v>1730.5295286</v>
      </c>
      <c r="N136" s="626">
        <v>205.4062</v>
      </c>
      <c r="O136" s="626">
        <v>546.6809707</v>
      </c>
      <c r="P136" s="626">
        <v>239.351663</v>
      </c>
      <c r="Q136" s="626">
        <v>197.7508367</v>
      </c>
      <c r="R136" s="626">
        <v>1103.5310112</v>
      </c>
      <c r="S136" s="626">
        <v>951.56020319999993</v>
      </c>
      <c r="T136" s="626">
        <v>1095.9772695</v>
      </c>
      <c r="U136" s="626">
        <v>1002.5978543</v>
      </c>
      <c r="V136" s="626">
        <v>1846.7902801999999</v>
      </c>
      <c r="W136" s="626">
        <v>1659.2606354</v>
      </c>
      <c r="X136" s="626">
        <v>1216.1939187</v>
      </c>
      <c r="Y136" s="626">
        <v>966.15439229999993</v>
      </c>
      <c r="Z136" s="626">
        <v>232.4578889</v>
      </c>
      <c r="AA136" s="626">
        <v>209.4148629</v>
      </c>
      <c r="AB136" s="626">
        <v>1127.8636881</v>
      </c>
      <c r="AC136" s="626">
        <v>955.11029009999993</v>
      </c>
      <c r="AD136" s="626">
        <v>981.98301390000006</v>
      </c>
      <c r="AE136" s="626">
        <v>886.88620680000008</v>
      </c>
      <c r="AF136" s="626">
        <v>851.88552229999993</v>
      </c>
      <c r="AG136" s="626">
        <v>607.8719519</v>
      </c>
      <c r="AH136" s="625">
        <v>0.7254443420242731</v>
      </c>
      <c r="AI136" s="625">
        <v>0.23740902761911614</v>
      </c>
      <c r="AJ136" s="625">
        <v>0.37573321738330068</v>
      </c>
      <c r="AK136" s="625">
        <v>1.2103699127451424</v>
      </c>
      <c r="AL136" s="625">
        <v>1.1597069818015522</v>
      </c>
      <c r="AM136" s="625">
        <v>1.0931374576356041</v>
      </c>
      <c r="AN136" s="625">
        <v>1.1130200047139238</v>
      </c>
      <c r="AO136" s="625">
        <v>1.2587987266249239</v>
      </c>
      <c r="AP136" s="625">
        <v>1.1100352941010683</v>
      </c>
      <c r="AQ136" s="625">
        <v>1.1808727220160205</v>
      </c>
      <c r="AR136" s="625">
        <v>1.1072254888209732</v>
      </c>
      <c r="AS136" s="625">
        <v>1.401422651007771</v>
      </c>
    </row>
    <row r="137">
      <c r="B137" s="623">
        <v>700000</v>
      </c>
      <c r="C137" s="603" t="s">
        <v>78</v>
      </c>
      <c r="D137" s="0" t="s">
        <v>64</v>
      </c>
      <c r="E137" s="0" t="s">
        <v>74</v>
      </c>
      <c r="F137" s="625">
        <v>4.5587847290955912</v>
      </c>
      <c r="G137" s="625">
        <v>0.73178281879647433</v>
      </c>
      <c r="H137" s="624">
        <v>7.1878047419334541</v>
      </c>
      <c r="I137" s="624">
        <v>20.703115914424814</v>
      </c>
      <c r="J137" s="626">
        <v>840</v>
      </c>
      <c r="K137" s="626">
        <v>1157.9110227</v>
      </c>
      <c r="L137" s="626">
        <v>493.01199920000005</v>
      </c>
      <c r="M137" s="626">
        <v>2076.6354343000003</v>
      </c>
      <c r="N137" s="626">
        <v>246.48744</v>
      </c>
      <c r="O137" s="626">
        <v>656.0171648</v>
      </c>
      <c r="P137" s="626">
        <v>263.28682929999997</v>
      </c>
      <c r="Q137" s="626">
        <v>217.5259204</v>
      </c>
      <c r="R137" s="626">
        <v>1213.8841123</v>
      </c>
      <c r="S137" s="626">
        <v>1046.7162235</v>
      </c>
      <c r="T137" s="626">
        <v>1205.5749964000002</v>
      </c>
      <c r="U137" s="626">
        <v>1102.8576397</v>
      </c>
      <c r="V137" s="626">
        <v>2031.4693082000001</v>
      </c>
      <c r="W137" s="626">
        <v>1825.1866989</v>
      </c>
      <c r="X137" s="626">
        <v>1337.8133106</v>
      </c>
      <c r="Y137" s="626">
        <v>1062.7698315</v>
      </c>
      <c r="Z137" s="626">
        <v>255.7036778</v>
      </c>
      <c r="AA137" s="626">
        <v>230.3563492</v>
      </c>
      <c r="AB137" s="626">
        <v>1240.650057</v>
      </c>
      <c r="AC137" s="626">
        <v>1050.6213192</v>
      </c>
      <c r="AD137" s="626">
        <v>1080.1813152999998</v>
      </c>
      <c r="AE137" s="626">
        <v>975.5748275</v>
      </c>
      <c r="AF137" s="626">
        <v>937.07407449999994</v>
      </c>
      <c r="AG137" s="626">
        <v>668.65914709999993</v>
      </c>
      <c r="AH137" s="625">
        <v>0.7254443420242731</v>
      </c>
      <c r="AI137" s="625">
        <v>0.23740902761911614</v>
      </c>
      <c r="AJ137" s="625">
        <v>0.37573321738330068</v>
      </c>
      <c r="AK137" s="625">
        <v>1.2103699127451424</v>
      </c>
      <c r="AL137" s="625">
        <v>1.159706981801552</v>
      </c>
      <c r="AM137" s="625">
        <v>1.0931374576356041</v>
      </c>
      <c r="AN137" s="625">
        <v>1.1130200047139238</v>
      </c>
      <c r="AO137" s="625">
        <v>1.2587987266249239</v>
      </c>
      <c r="AP137" s="625">
        <v>1.1100352941010683</v>
      </c>
      <c r="AQ137" s="625">
        <v>1.1808727220160202</v>
      </c>
      <c r="AR137" s="625">
        <v>1.1072254888209732</v>
      </c>
      <c r="AS137" s="625">
        <v>1.401422651007771</v>
      </c>
    </row>
    <row r="138">
      <c r="B138" s="623">
        <v>700000</v>
      </c>
      <c r="C138" s="603" t="s">
        <v>79</v>
      </c>
      <c r="D138" s="0" t="s">
        <v>64</v>
      </c>
      <c r="E138" s="0" t="s">
        <v>74</v>
      </c>
      <c r="F138" s="625">
        <v>5.1534088241950169</v>
      </c>
      <c r="G138" s="625">
        <v>0.82723275168297117</v>
      </c>
      <c r="H138" s="624">
        <v>8.1253444908812966</v>
      </c>
      <c r="I138" s="624">
        <v>23.403522338045445</v>
      </c>
      <c r="J138" s="626">
        <v>910</v>
      </c>
      <c r="K138" s="626">
        <v>1254.4036079</v>
      </c>
      <c r="L138" s="626">
        <v>534.0963325</v>
      </c>
      <c r="M138" s="626">
        <v>2249.6883872000003</v>
      </c>
      <c r="N138" s="626">
        <v>267.02806</v>
      </c>
      <c r="O138" s="626">
        <v>710.6852619</v>
      </c>
      <c r="P138" s="626">
        <v>287.2219956</v>
      </c>
      <c r="Q138" s="626">
        <v>237.3010041</v>
      </c>
      <c r="R138" s="626">
        <v>1324.2372134</v>
      </c>
      <c r="S138" s="626">
        <v>1141.8722438</v>
      </c>
      <c r="T138" s="626">
        <v>1315.1727234</v>
      </c>
      <c r="U138" s="626">
        <v>1203.1174251999998</v>
      </c>
      <c r="V138" s="626">
        <v>2216.1483362</v>
      </c>
      <c r="W138" s="626">
        <v>1991.1127623999998</v>
      </c>
      <c r="X138" s="626">
        <v>1459.4327024000002</v>
      </c>
      <c r="Y138" s="626">
        <v>1159.3852707</v>
      </c>
      <c r="Z138" s="626">
        <v>278.9494667</v>
      </c>
      <c r="AA138" s="626">
        <v>251.2978354</v>
      </c>
      <c r="AB138" s="626">
        <v>1353.4364258</v>
      </c>
      <c r="AC138" s="626">
        <v>1146.1323481999998</v>
      </c>
      <c r="AD138" s="626">
        <v>1178.3796166999998</v>
      </c>
      <c r="AE138" s="626">
        <v>1064.2634482</v>
      </c>
      <c r="AF138" s="626">
        <v>1022.2626268</v>
      </c>
      <c r="AG138" s="626">
        <v>729.4463423</v>
      </c>
      <c r="AH138" s="625">
        <v>0.7254443420242731</v>
      </c>
      <c r="AI138" s="625">
        <v>0.23740902761911611</v>
      </c>
      <c r="AJ138" s="625">
        <v>0.37573321738330068</v>
      </c>
      <c r="AK138" s="625">
        <v>1.2103699127451424</v>
      </c>
      <c r="AL138" s="625">
        <v>1.159706981801552</v>
      </c>
      <c r="AM138" s="625">
        <v>1.0931374576356041</v>
      </c>
      <c r="AN138" s="625">
        <v>1.1130200047139238</v>
      </c>
      <c r="AO138" s="625">
        <v>1.2587987266249237</v>
      </c>
      <c r="AP138" s="625">
        <v>1.1100352941010683</v>
      </c>
      <c r="AQ138" s="625">
        <v>1.18087272201602</v>
      </c>
      <c r="AR138" s="625">
        <v>1.1072254888209732</v>
      </c>
      <c r="AS138" s="625">
        <v>1.4014226510077712</v>
      </c>
    </row>
    <row r="139">
      <c r="B139" s="623">
        <v>800000</v>
      </c>
      <c r="C139" s="603" t="s">
        <v>77</v>
      </c>
      <c r="D139" s="0" t="s">
        <v>64</v>
      </c>
      <c r="E139" s="0" t="s">
        <v>74</v>
      </c>
      <c r="F139" s="625">
        <v>4.1956853837797627</v>
      </c>
      <c r="G139" s="625">
        <v>0.742575408660758</v>
      </c>
      <c r="H139" s="624">
        <v>6.1124468607455942</v>
      </c>
      <c r="I139" s="624">
        <v>16.996168770268561</v>
      </c>
      <c r="J139" s="626">
        <v>800</v>
      </c>
      <c r="K139" s="626">
        <v>990.2855059</v>
      </c>
      <c r="L139" s="626">
        <v>447.709354</v>
      </c>
      <c r="M139" s="626">
        <v>1885.8817106000001</v>
      </c>
      <c r="N139" s="626">
        <v>205.4062</v>
      </c>
      <c r="O139" s="626">
        <v>548.7831273</v>
      </c>
      <c r="P139" s="626">
        <v>265.125499</v>
      </c>
      <c r="Q139" s="626">
        <v>216.21372010000002</v>
      </c>
      <c r="R139" s="626">
        <v>1216.7416581999999</v>
      </c>
      <c r="S139" s="626">
        <v>988.3332036999999</v>
      </c>
      <c r="T139" s="626">
        <v>1262.3832807000001</v>
      </c>
      <c r="U139" s="626">
        <v>1137.3594437</v>
      </c>
      <c r="V139" s="626">
        <v>1999.5564544</v>
      </c>
      <c r="W139" s="626">
        <v>1787.5842217000002</v>
      </c>
      <c r="X139" s="626">
        <v>1462.6566798000001</v>
      </c>
      <c r="Y139" s="626">
        <v>1180.0270361999999</v>
      </c>
      <c r="Z139" s="626">
        <v>266.49915139999996</v>
      </c>
      <c r="AA139" s="626">
        <v>240.70396979999998</v>
      </c>
      <c r="AB139" s="626">
        <v>1295.3370023</v>
      </c>
      <c r="AC139" s="626">
        <v>1110.0632839</v>
      </c>
      <c r="AD139" s="626">
        <v>1091.7837016</v>
      </c>
      <c r="AE139" s="626">
        <v>980.1826918</v>
      </c>
      <c r="AF139" s="626">
        <v>956.6386847</v>
      </c>
      <c r="AG139" s="626">
        <v>680.7080267</v>
      </c>
      <c r="AH139" s="625">
        <v>0.80784783304140106</v>
      </c>
      <c r="AI139" s="625">
        <v>0.2374005493145871</v>
      </c>
      <c r="AJ139" s="625">
        <v>0.37429394199441829</v>
      </c>
      <c r="AK139" s="625">
        <v>1.226219589004925</v>
      </c>
      <c r="AL139" s="625">
        <v>1.2311047060452354</v>
      </c>
      <c r="AM139" s="625">
        <v>1.1099246484264818</v>
      </c>
      <c r="AN139" s="625">
        <v>1.1185802772992044</v>
      </c>
      <c r="AO139" s="625">
        <v>1.2395111594428045</v>
      </c>
      <c r="AP139" s="625">
        <v>1.1071655846689408</v>
      </c>
      <c r="AQ139" s="625">
        <v>1.1669037442278831</v>
      </c>
      <c r="AR139" s="625">
        <v>1.1138573561237575</v>
      </c>
      <c r="AS139" s="625">
        <v>1.4053583139750967</v>
      </c>
    </row>
    <row r="140">
      <c r="B140" s="623">
        <v>800000</v>
      </c>
      <c r="C140" s="603" t="s">
        <v>78</v>
      </c>
      <c r="D140" s="0" t="s">
        <v>64</v>
      </c>
      <c r="E140" s="0" t="s">
        <v>74</v>
      </c>
      <c r="F140" s="625">
        <v>4.8250381913467271</v>
      </c>
      <c r="G140" s="625">
        <v>0.85396171995987169</v>
      </c>
      <c r="H140" s="624">
        <v>7.0293138898574323</v>
      </c>
      <c r="I140" s="624">
        <v>19.545594085808844</v>
      </c>
      <c r="J140" s="626">
        <v>960</v>
      </c>
      <c r="K140" s="626">
        <v>1188.342607</v>
      </c>
      <c r="L140" s="626">
        <v>537.2512249</v>
      </c>
      <c r="M140" s="626">
        <v>2263.0580528</v>
      </c>
      <c r="N140" s="626">
        <v>246.48744</v>
      </c>
      <c r="O140" s="626">
        <v>658.5397527</v>
      </c>
      <c r="P140" s="626">
        <v>291.6380488</v>
      </c>
      <c r="Q140" s="626">
        <v>237.8350921</v>
      </c>
      <c r="R140" s="626">
        <v>1338.415824</v>
      </c>
      <c r="S140" s="626">
        <v>1087.166524</v>
      </c>
      <c r="T140" s="626">
        <v>1388.6216088</v>
      </c>
      <c r="U140" s="626">
        <v>1251.0953881</v>
      </c>
      <c r="V140" s="626">
        <v>2199.5120997999998</v>
      </c>
      <c r="W140" s="626">
        <v>1966.3426439</v>
      </c>
      <c r="X140" s="626">
        <v>1608.9223478000001</v>
      </c>
      <c r="Y140" s="626">
        <v>1298.0297398</v>
      </c>
      <c r="Z140" s="626">
        <v>293.1490666</v>
      </c>
      <c r="AA140" s="626">
        <v>264.7743668</v>
      </c>
      <c r="AB140" s="626">
        <v>1424.8707024999999</v>
      </c>
      <c r="AC140" s="626">
        <v>1221.0696123</v>
      </c>
      <c r="AD140" s="626">
        <v>1200.9620718</v>
      </c>
      <c r="AE140" s="626">
        <v>1078.200961</v>
      </c>
      <c r="AF140" s="626">
        <v>1052.3025532</v>
      </c>
      <c r="AG140" s="626">
        <v>748.7788293</v>
      </c>
      <c r="AH140" s="625">
        <v>0.80784783304140118</v>
      </c>
      <c r="AI140" s="625">
        <v>0.23740054931458715</v>
      </c>
      <c r="AJ140" s="625">
        <v>0.37429394199441829</v>
      </c>
      <c r="AK140" s="625">
        <v>1.226219589004925</v>
      </c>
      <c r="AL140" s="625">
        <v>1.2311047060452354</v>
      </c>
      <c r="AM140" s="625">
        <v>1.109924648426482</v>
      </c>
      <c r="AN140" s="625">
        <v>1.1185802772992044</v>
      </c>
      <c r="AO140" s="625">
        <v>1.2395111594428043</v>
      </c>
      <c r="AP140" s="625">
        <v>1.107165584668941</v>
      </c>
      <c r="AQ140" s="625">
        <v>1.1669037442278833</v>
      </c>
      <c r="AR140" s="625">
        <v>1.1138573561237575</v>
      </c>
      <c r="AS140" s="625">
        <v>1.4053583139750967</v>
      </c>
    </row>
    <row r="141">
      <c r="B141" s="623">
        <v>800000</v>
      </c>
      <c r="C141" s="603" t="s">
        <v>79</v>
      </c>
      <c r="D141" s="0" t="s">
        <v>64</v>
      </c>
      <c r="E141" s="0" t="s">
        <v>74</v>
      </c>
      <c r="F141" s="625">
        <v>5.4543909989136914</v>
      </c>
      <c r="G141" s="625">
        <v>0.9653480312589855</v>
      </c>
      <c r="H141" s="624">
        <v>7.9461809189692723</v>
      </c>
      <c r="I141" s="624">
        <v>22.095019401349131</v>
      </c>
      <c r="J141" s="626">
        <v>1040</v>
      </c>
      <c r="K141" s="626">
        <v>1287.3711576</v>
      </c>
      <c r="L141" s="626">
        <v>582.0221603</v>
      </c>
      <c r="M141" s="626">
        <v>2451.6462238</v>
      </c>
      <c r="N141" s="626">
        <v>267.02806</v>
      </c>
      <c r="O141" s="626">
        <v>713.41806539999993</v>
      </c>
      <c r="P141" s="626">
        <v>318.1505987</v>
      </c>
      <c r="Q141" s="626">
        <v>259.4564641</v>
      </c>
      <c r="R141" s="626">
        <v>1460.0899898</v>
      </c>
      <c r="S141" s="626">
        <v>1185.9998444</v>
      </c>
      <c r="T141" s="626">
        <v>1514.8599368</v>
      </c>
      <c r="U141" s="626">
        <v>1364.8313325</v>
      </c>
      <c r="V141" s="626">
        <v>2399.4677453</v>
      </c>
      <c r="W141" s="626">
        <v>2145.101066</v>
      </c>
      <c r="X141" s="626">
        <v>1755.1880157</v>
      </c>
      <c r="Y141" s="626">
        <v>1416.0324434</v>
      </c>
      <c r="Z141" s="626">
        <v>319.7989817</v>
      </c>
      <c r="AA141" s="626">
        <v>288.8447637</v>
      </c>
      <c r="AB141" s="626">
        <v>1554.4044027</v>
      </c>
      <c r="AC141" s="626">
        <v>1332.0759406999998</v>
      </c>
      <c r="AD141" s="626">
        <v>1310.1404419</v>
      </c>
      <c r="AE141" s="626">
        <v>1176.2192302</v>
      </c>
      <c r="AF141" s="626">
        <v>1147.9664216</v>
      </c>
      <c r="AG141" s="626">
        <v>816.84963199999993</v>
      </c>
      <c r="AH141" s="625">
        <v>0.80784783304140106</v>
      </c>
      <c r="AI141" s="625">
        <v>0.2374005493145871</v>
      </c>
      <c r="AJ141" s="625">
        <v>0.37429394199441834</v>
      </c>
      <c r="AK141" s="625">
        <v>1.2262195890049248</v>
      </c>
      <c r="AL141" s="625">
        <v>1.2311047060452356</v>
      </c>
      <c r="AM141" s="625">
        <v>1.109924648426482</v>
      </c>
      <c r="AN141" s="625">
        <v>1.1185802772992044</v>
      </c>
      <c r="AO141" s="625">
        <v>1.2395111594428048</v>
      </c>
      <c r="AP141" s="625">
        <v>1.107165584668941</v>
      </c>
      <c r="AQ141" s="625">
        <v>1.1669037442278831</v>
      </c>
      <c r="AR141" s="625">
        <v>1.1138573561237575</v>
      </c>
      <c r="AS141" s="625">
        <v>1.4053583139750967</v>
      </c>
    </row>
    <row r="142">
      <c r="B142" s="623">
        <v>957039</v>
      </c>
      <c r="C142" s="603" t="s">
        <v>77</v>
      </c>
      <c r="D142" s="0" t="s">
        <v>64</v>
      </c>
      <c r="E142" s="0" t="s">
        <v>74</v>
      </c>
      <c r="F142" s="625">
        <v>4.4977413424634376</v>
      </c>
      <c r="G142" s="625">
        <v>0.909417603963356</v>
      </c>
      <c r="H142" s="624">
        <v>5.9498722855505433</v>
      </c>
      <c r="I142" s="624">
        <v>15.785622526187023</v>
      </c>
      <c r="J142" s="626">
        <v>957.039</v>
      </c>
      <c r="K142" s="626">
        <v>1030.1100523</v>
      </c>
      <c r="L142" s="626">
        <v>505.60338540000004</v>
      </c>
      <c r="M142" s="626">
        <v>2129.8452238</v>
      </c>
      <c r="N142" s="626">
        <v>205.4062</v>
      </c>
      <c r="O142" s="626">
        <v>552.0843329</v>
      </c>
      <c r="P142" s="626">
        <v>305.6004732</v>
      </c>
      <c r="Q142" s="626">
        <v>245.20764739999999</v>
      </c>
      <c r="R142" s="626">
        <v>1394.5265261</v>
      </c>
      <c r="S142" s="626">
        <v>1046.0811559</v>
      </c>
      <c r="T142" s="626">
        <v>1523.7056166</v>
      </c>
      <c r="U142" s="626">
        <v>1348.9876961</v>
      </c>
      <c r="V142" s="626">
        <v>2239.4589267</v>
      </c>
      <c r="W142" s="626">
        <v>1989.1022985</v>
      </c>
      <c r="X142" s="626">
        <v>1849.6993351</v>
      </c>
      <c r="Y142" s="626">
        <v>1515.8904974</v>
      </c>
      <c r="Z142" s="626">
        <v>319.9572097</v>
      </c>
      <c r="AA142" s="626">
        <v>289.8400704</v>
      </c>
      <c r="AB142" s="626">
        <v>1558.3354201</v>
      </c>
      <c r="AC142" s="626">
        <v>1353.3999157</v>
      </c>
      <c r="AD142" s="626">
        <v>1264.2136036</v>
      </c>
      <c r="AE142" s="626">
        <v>1126.6945588</v>
      </c>
      <c r="AF142" s="626">
        <v>1121.1420034</v>
      </c>
      <c r="AG142" s="626">
        <v>795.08907019999992</v>
      </c>
      <c r="AH142" s="625">
        <v>0.92906481001578445</v>
      </c>
      <c r="AI142" s="625">
        <v>0.2373897313014941</v>
      </c>
      <c r="AJ142" s="625">
        <v>0.37205583958758104</v>
      </c>
      <c r="AK142" s="625">
        <v>1.2462925867620145</v>
      </c>
      <c r="AL142" s="625">
        <v>1.3330959248754912</v>
      </c>
      <c r="AM142" s="625">
        <v>1.1295178014195777</v>
      </c>
      <c r="AN142" s="625">
        <v>1.125864128995421</v>
      </c>
      <c r="AO142" s="625">
        <v>1.2202064319742678</v>
      </c>
      <c r="AP142" s="625">
        <v>1.1039095087565887</v>
      </c>
      <c r="AQ142" s="625">
        <v>1.1514227258270722</v>
      </c>
      <c r="AR142" s="625">
        <v>1.1220553021102531</v>
      </c>
      <c r="AS142" s="625">
        <v>1.4100835308129294</v>
      </c>
    </row>
    <row r="143">
      <c r="B143" s="623">
        <v>957039</v>
      </c>
      <c r="C143" s="603" t="s">
        <v>78</v>
      </c>
      <c r="D143" s="0" t="s">
        <v>64</v>
      </c>
      <c r="E143" s="0" t="s">
        <v>74</v>
      </c>
      <c r="F143" s="625">
        <v>5.1724025438329528</v>
      </c>
      <c r="G143" s="625">
        <v>1.0458302445578593</v>
      </c>
      <c r="H143" s="624">
        <v>6.8423531283831238</v>
      </c>
      <c r="I143" s="624">
        <v>18.153465905115073</v>
      </c>
      <c r="J143" s="626">
        <v>1148.4468</v>
      </c>
      <c r="K143" s="626">
        <v>1236.1320627</v>
      </c>
      <c r="L143" s="626">
        <v>606.7240625</v>
      </c>
      <c r="M143" s="626">
        <v>2555.8142686</v>
      </c>
      <c r="N143" s="626">
        <v>246.48744</v>
      </c>
      <c r="O143" s="626">
        <v>662.5011995</v>
      </c>
      <c r="P143" s="626">
        <v>336.16052049999996</v>
      </c>
      <c r="Q143" s="626">
        <v>269.72841220000004</v>
      </c>
      <c r="R143" s="626">
        <v>1533.9791787000002</v>
      </c>
      <c r="S143" s="626">
        <v>1150.6892715000001</v>
      </c>
      <c r="T143" s="626">
        <v>1676.0761783</v>
      </c>
      <c r="U143" s="626">
        <v>1483.8864657000001</v>
      </c>
      <c r="V143" s="626">
        <v>2463.4048193999997</v>
      </c>
      <c r="W143" s="626">
        <v>2188.0125282999998</v>
      </c>
      <c r="X143" s="626">
        <v>2034.6692687</v>
      </c>
      <c r="Y143" s="626">
        <v>1667.4795471999998</v>
      </c>
      <c r="Z143" s="626">
        <v>351.9529307</v>
      </c>
      <c r="AA143" s="626">
        <v>318.8240774</v>
      </c>
      <c r="AB143" s="626">
        <v>1714.1689620999998</v>
      </c>
      <c r="AC143" s="626">
        <v>1488.7399073000001</v>
      </c>
      <c r="AD143" s="626">
        <v>1390.6349639999999</v>
      </c>
      <c r="AE143" s="626">
        <v>1239.3640146999999</v>
      </c>
      <c r="AF143" s="626">
        <v>1233.2562037</v>
      </c>
      <c r="AG143" s="626">
        <v>874.5979772</v>
      </c>
      <c r="AH143" s="625">
        <v>0.92906481001578445</v>
      </c>
      <c r="AI143" s="625">
        <v>0.2373897313014941</v>
      </c>
      <c r="AJ143" s="625">
        <v>0.37205583958758104</v>
      </c>
      <c r="AK143" s="625">
        <v>1.2462925867620147</v>
      </c>
      <c r="AL143" s="625">
        <v>1.3330959248754912</v>
      </c>
      <c r="AM143" s="625">
        <v>1.1295178014195775</v>
      </c>
      <c r="AN143" s="625">
        <v>1.1258641289954212</v>
      </c>
      <c r="AO143" s="625">
        <v>1.2202064319742678</v>
      </c>
      <c r="AP143" s="625">
        <v>1.1039095087565887</v>
      </c>
      <c r="AQ143" s="625">
        <v>1.1514227258270724</v>
      </c>
      <c r="AR143" s="625">
        <v>1.1220553021102531</v>
      </c>
      <c r="AS143" s="625">
        <v>1.4100835308129294</v>
      </c>
    </row>
    <row r="144">
      <c r="B144" s="623">
        <v>957039</v>
      </c>
      <c r="C144" s="603" t="s">
        <v>79</v>
      </c>
      <c r="D144" s="0" t="s">
        <v>64</v>
      </c>
      <c r="E144" s="0" t="s">
        <v>74</v>
      </c>
      <c r="F144" s="625">
        <v>5.847063745202469</v>
      </c>
      <c r="G144" s="625">
        <v>1.182242885152363</v>
      </c>
      <c r="H144" s="624">
        <v>7.7348339712157062</v>
      </c>
      <c r="I144" s="624">
        <v>20.521309284043131</v>
      </c>
      <c r="J144" s="626">
        <v>1244.1507</v>
      </c>
      <c r="K144" s="626">
        <v>1339.1430679</v>
      </c>
      <c r="L144" s="626">
        <v>657.284401</v>
      </c>
      <c r="M144" s="626">
        <v>2768.7987909</v>
      </c>
      <c r="N144" s="626">
        <v>267.02806</v>
      </c>
      <c r="O144" s="626">
        <v>717.7096328</v>
      </c>
      <c r="P144" s="626">
        <v>366.72056790000005</v>
      </c>
      <c r="Q144" s="626">
        <v>294.2491769</v>
      </c>
      <c r="R144" s="626">
        <v>1673.4318312999999</v>
      </c>
      <c r="S144" s="626">
        <v>1255.2973871</v>
      </c>
      <c r="T144" s="626">
        <v>1828.44674</v>
      </c>
      <c r="U144" s="626">
        <v>1618.7852353</v>
      </c>
      <c r="V144" s="626">
        <v>2687.3507121000002</v>
      </c>
      <c r="W144" s="626">
        <v>2386.9227582</v>
      </c>
      <c r="X144" s="626">
        <v>2219.6392022</v>
      </c>
      <c r="Y144" s="626">
        <v>1819.0685969</v>
      </c>
      <c r="Z144" s="626">
        <v>383.94865169999997</v>
      </c>
      <c r="AA144" s="626">
        <v>347.8080845</v>
      </c>
      <c r="AB144" s="626">
        <v>1870.0025041000001</v>
      </c>
      <c r="AC144" s="626">
        <v>1624.0798989</v>
      </c>
      <c r="AD144" s="626">
        <v>1517.0563243</v>
      </c>
      <c r="AE144" s="626">
        <v>1352.0334705999999</v>
      </c>
      <c r="AF144" s="626">
        <v>1345.370404</v>
      </c>
      <c r="AG144" s="626">
        <v>954.1068842</v>
      </c>
      <c r="AH144" s="625">
        <v>0.92906481001578434</v>
      </c>
      <c r="AI144" s="625">
        <v>0.2373897313014941</v>
      </c>
      <c r="AJ144" s="625">
        <v>0.37205583958758104</v>
      </c>
      <c r="AK144" s="625">
        <v>1.2462925867620149</v>
      </c>
      <c r="AL144" s="625">
        <v>1.3330959248754912</v>
      </c>
      <c r="AM144" s="625">
        <v>1.1295178014195777</v>
      </c>
      <c r="AN144" s="625">
        <v>1.125864128995421</v>
      </c>
      <c r="AO144" s="625">
        <v>1.2202064319742676</v>
      </c>
      <c r="AP144" s="625">
        <v>1.1039095087565889</v>
      </c>
      <c r="AQ144" s="625">
        <v>1.1514227258270724</v>
      </c>
      <c r="AR144" s="625">
        <v>1.1220553021102531</v>
      </c>
      <c r="AS144" s="625">
        <v>1.4100835308129294</v>
      </c>
    </row>
    <row r="145">
      <c r="B145" s="623">
        <v>1000000</v>
      </c>
      <c r="C145" s="603" t="s">
        <v>77</v>
      </c>
      <c r="D145" s="0" t="s">
        <v>64</v>
      </c>
      <c r="E145" s="0" t="s">
        <v>74</v>
      </c>
      <c r="F145" s="625">
        <v>4.5697931300156576</v>
      </c>
      <c r="G145" s="625">
        <v>0.95506045416231866</v>
      </c>
      <c r="H145" s="624">
        <v>5.9136640649066869</v>
      </c>
      <c r="I145" s="624">
        <v>15.51251836146859</v>
      </c>
      <c r="J145" s="626">
        <v>1000</v>
      </c>
      <c r="K145" s="626">
        <v>1041.004813</v>
      </c>
      <c r="L145" s="626">
        <v>521.4413968</v>
      </c>
      <c r="M145" s="626">
        <v>2196.5860747</v>
      </c>
      <c r="N145" s="626">
        <v>205.4062</v>
      </c>
      <c r="O145" s="626">
        <v>552.9874404</v>
      </c>
      <c r="P145" s="626">
        <v>316.6731709</v>
      </c>
      <c r="Q145" s="626">
        <v>253.13948670000002</v>
      </c>
      <c r="R145" s="626">
        <v>1443.1629521000002</v>
      </c>
      <c r="S145" s="626">
        <v>1061.8792047</v>
      </c>
      <c r="T145" s="626">
        <v>1595.1953030999998</v>
      </c>
      <c r="U145" s="626">
        <v>1406.8826225</v>
      </c>
      <c r="V145" s="626">
        <v>2305.0888029</v>
      </c>
      <c r="W145" s="626">
        <v>2044.2313944</v>
      </c>
      <c r="X145" s="626">
        <v>1955.5822019</v>
      </c>
      <c r="Y145" s="626">
        <v>1607.772324</v>
      </c>
      <c r="Z145" s="626">
        <v>334.5816765</v>
      </c>
      <c r="AA145" s="626">
        <v>303.2821836</v>
      </c>
      <c r="AB145" s="626">
        <v>1630.2836306</v>
      </c>
      <c r="AC145" s="626">
        <v>1419.9692714</v>
      </c>
      <c r="AD145" s="626">
        <v>1311.3850771000002</v>
      </c>
      <c r="AE145" s="626">
        <v>1166.7756617</v>
      </c>
      <c r="AF145" s="626">
        <v>1166.1450095</v>
      </c>
      <c r="AG145" s="626">
        <v>826.38017619999994</v>
      </c>
      <c r="AH145" s="625">
        <v>0.96061035210637591</v>
      </c>
      <c r="AI145" s="625">
        <v>0.23738719044237258</v>
      </c>
      <c r="AJ145" s="625">
        <v>0.37144821925559873</v>
      </c>
      <c r="AK145" s="625">
        <v>1.2509829065134432</v>
      </c>
      <c r="AL145" s="625">
        <v>1.3590650855055595</v>
      </c>
      <c r="AM145" s="625">
        <v>1.1338510246534201</v>
      </c>
      <c r="AN145" s="625">
        <v>1.1276065954037833</v>
      </c>
      <c r="AO145" s="625">
        <v>1.216330305448925</v>
      </c>
      <c r="AP145" s="625">
        <v>1.10320254404423</v>
      </c>
      <c r="AQ145" s="625">
        <v>1.1481119088025609</v>
      </c>
      <c r="AR145" s="625">
        <v>1.1239393484539013</v>
      </c>
      <c r="AS145" s="625">
        <v>1.4111483345944738</v>
      </c>
    </row>
    <row r="146">
      <c r="B146" s="623">
        <v>1000000</v>
      </c>
      <c r="C146" s="603" t="s">
        <v>78</v>
      </c>
      <c r="D146" s="0" t="s">
        <v>64</v>
      </c>
      <c r="E146" s="0" t="s">
        <v>74</v>
      </c>
      <c r="F146" s="625">
        <v>5.2552620995180055</v>
      </c>
      <c r="G146" s="625">
        <v>1.0983195222866664</v>
      </c>
      <c r="H146" s="624">
        <v>6.8007136746426893</v>
      </c>
      <c r="I146" s="624">
        <v>17.839396115688878</v>
      </c>
      <c r="J146" s="626">
        <v>1200</v>
      </c>
      <c r="K146" s="626">
        <v>1249.2057756000002</v>
      </c>
      <c r="L146" s="626">
        <v>625.7296762</v>
      </c>
      <c r="M146" s="626">
        <v>2635.9032897</v>
      </c>
      <c r="N146" s="626">
        <v>246.48744</v>
      </c>
      <c r="O146" s="626">
        <v>663.5849285</v>
      </c>
      <c r="P146" s="626">
        <v>348.340488</v>
      </c>
      <c r="Q146" s="626">
        <v>278.4534354</v>
      </c>
      <c r="R146" s="626">
        <v>1587.4792473</v>
      </c>
      <c r="S146" s="626">
        <v>1168.0671252</v>
      </c>
      <c r="T146" s="626">
        <v>1754.7148333999999</v>
      </c>
      <c r="U146" s="626">
        <v>1547.5708848000002</v>
      </c>
      <c r="V146" s="626">
        <v>2535.5976831</v>
      </c>
      <c r="W146" s="626">
        <v>2248.6545338</v>
      </c>
      <c r="X146" s="626">
        <v>2151.1404221000003</v>
      </c>
      <c r="Y146" s="626">
        <v>1768.5495563999998</v>
      </c>
      <c r="Z146" s="626">
        <v>368.0398442</v>
      </c>
      <c r="AA146" s="626">
        <v>333.610402</v>
      </c>
      <c r="AB146" s="626">
        <v>1793.3119935999998</v>
      </c>
      <c r="AC146" s="626">
        <v>1561.9661985</v>
      </c>
      <c r="AD146" s="626">
        <v>1442.5235848</v>
      </c>
      <c r="AE146" s="626">
        <v>1283.4532279</v>
      </c>
      <c r="AF146" s="626">
        <v>1282.7595104</v>
      </c>
      <c r="AG146" s="626">
        <v>909.01819389999991</v>
      </c>
      <c r="AH146" s="625">
        <v>0.960610352106376</v>
      </c>
      <c r="AI146" s="625">
        <v>0.23738719044237255</v>
      </c>
      <c r="AJ146" s="625">
        <v>0.37144821925559868</v>
      </c>
      <c r="AK146" s="625">
        <v>1.2509829065134432</v>
      </c>
      <c r="AL146" s="625">
        <v>1.3590650855055595</v>
      </c>
      <c r="AM146" s="625">
        <v>1.1338510246534204</v>
      </c>
      <c r="AN146" s="625">
        <v>1.1276065954037831</v>
      </c>
      <c r="AO146" s="625">
        <v>1.2163303054489247</v>
      </c>
      <c r="AP146" s="625">
        <v>1.10320254404423</v>
      </c>
      <c r="AQ146" s="625">
        <v>1.1481119088025609</v>
      </c>
      <c r="AR146" s="625">
        <v>1.1239393484539013</v>
      </c>
      <c r="AS146" s="625">
        <v>1.4111483345944738</v>
      </c>
    </row>
    <row r="147">
      <c r="B147" s="623">
        <v>1000000</v>
      </c>
      <c r="C147" s="603" t="s">
        <v>79</v>
      </c>
      <c r="D147" s="0" t="s">
        <v>64</v>
      </c>
      <c r="E147" s="0" t="s">
        <v>74</v>
      </c>
      <c r="F147" s="625">
        <v>5.9407310690203552</v>
      </c>
      <c r="G147" s="625">
        <v>1.2415785904110144</v>
      </c>
      <c r="H147" s="624">
        <v>7.6877632843786934</v>
      </c>
      <c r="I147" s="624">
        <v>20.166273869909169</v>
      </c>
      <c r="J147" s="626">
        <v>1300</v>
      </c>
      <c r="K147" s="626">
        <v>1353.306257</v>
      </c>
      <c r="L147" s="626">
        <v>677.87381590000007</v>
      </c>
      <c r="M147" s="626">
        <v>2855.5618971000004</v>
      </c>
      <c r="N147" s="626">
        <v>267.02806</v>
      </c>
      <c r="O147" s="626">
        <v>718.8836725</v>
      </c>
      <c r="P147" s="626">
        <v>380.0078051</v>
      </c>
      <c r="Q147" s="626">
        <v>303.7673841</v>
      </c>
      <c r="R147" s="626">
        <v>1731.7955425</v>
      </c>
      <c r="S147" s="626">
        <v>1274.2550456000001</v>
      </c>
      <c r="T147" s="626">
        <v>1914.2343637000001</v>
      </c>
      <c r="U147" s="626">
        <v>1688.2591470000002</v>
      </c>
      <c r="V147" s="626">
        <v>2766.1065633999997</v>
      </c>
      <c r="W147" s="626">
        <v>2453.0776733</v>
      </c>
      <c r="X147" s="626">
        <v>2346.6986423</v>
      </c>
      <c r="Y147" s="626">
        <v>1929.3267888</v>
      </c>
      <c r="Z147" s="626">
        <v>401.4980118</v>
      </c>
      <c r="AA147" s="626">
        <v>363.9386203</v>
      </c>
      <c r="AB147" s="626">
        <v>1956.3403566999998</v>
      </c>
      <c r="AC147" s="626">
        <v>1703.9631256</v>
      </c>
      <c r="AD147" s="626">
        <v>1573.6620925</v>
      </c>
      <c r="AE147" s="626">
        <v>1400.1307941</v>
      </c>
      <c r="AF147" s="626">
        <v>1399.3740113</v>
      </c>
      <c r="AG147" s="626">
        <v>991.65621149999993</v>
      </c>
      <c r="AH147" s="625">
        <v>0.9606103521063758</v>
      </c>
      <c r="AI147" s="625">
        <v>0.23738719044237255</v>
      </c>
      <c r="AJ147" s="625">
        <v>0.37144821925559868</v>
      </c>
      <c r="AK147" s="625">
        <v>1.2509829065134432</v>
      </c>
      <c r="AL147" s="625">
        <v>1.3590650855055595</v>
      </c>
      <c r="AM147" s="625">
        <v>1.1338510246534204</v>
      </c>
      <c r="AN147" s="625">
        <v>1.1276065954037831</v>
      </c>
      <c r="AO147" s="625">
        <v>1.216330305448925</v>
      </c>
      <c r="AP147" s="625">
        <v>1.10320254404423</v>
      </c>
      <c r="AQ147" s="625">
        <v>1.1481119088025609</v>
      </c>
      <c r="AR147" s="625">
        <v>1.1239393484539013</v>
      </c>
      <c r="AS147" s="625">
        <v>1.4111483345944735</v>
      </c>
    </row>
    <row r="148">
      <c r="B148" s="623">
        <v>1101400</v>
      </c>
      <c r="C148" s="603" t="s">
        <v>77</v>
      </c>
      <c r="D148" s="0" t="s">
        <v>64</v>
      </c>
      <c r="E148" s="0" t="s">
        <v>74</v>
      </c>
      <c r="F148" s="625">
        <v>4.7250951715716578</v>
      </c>
      <c r="G148" s="625">
        <v>1.06279037223161</v>
      </c>
      <c r="H148" s="624">
        <v>5.8386813559566955</v>
      </c>
      <c r="I148" s="624">
        <v>14.942833549192516</v>
      </c>
      <c r="J148" s="626">
        <v>1101.4</v>
      </c>
      <c r="K148" s="626">
        <v>1066.7195018</v>
      </c>
      <c r="L148" s="626">
        <v>558.8235425</v>
      </c>
      <c r="M148" s="626">
        <v>2354.1131873</v>
      </c>
      <c r="N148" s="626">
        <v>205.4062</v>
      </c>
      <c r="O148" s="626">
        <v>555.11902709999993</v>
      </c>
      <c r="P148" s="626">
        <v>342.8078406</v>
      </c>
      <c r="Q148" s="626">
        <v>271.8608505</v>
      </c>
      <c r="R148" s="626">
        <v>1557.9585481</v>
      </c>
      <c r="S148" s="626">
        <v>1099.1670272</v>
      </c>
      <c r="T148" s="626">
        <v>1763.9309985</v>
      </c>
      <c r="U148" s="626">
        <v>1543.5308742</v>
      </c>
      <c r="V148" s="626">
        <v>2459.9937035</v>
      </c>
      <c r="W148" s="626">
        <v>2174.351511</v>
      </c>
      <c r="X148" s="626">
        <v>2205.4954417</v>
      </c>
      <c r="Y148" s="626">
        <v>1824.6391849</v>
      </c>
      <c r="Z148" s="626">
        <v>369.0995167</v>
      </c>
      <c r="AA148" s="626">
        <v>335.009338</v>
      </c>
      <c r="AB148" s="626">
        <v>1800.1015711</v>
      </c>
      <c r="AC148" s="626">
        <v>1577.091607</v>
      </c>
      <c r="AD148" s="626">
        <v>1422.7229743999999</v>
      </c>
      <c r="AE148" s="626">
        <v>1261.3782975000001</v>
      </c>
      <c r="AF148" s="626">
        <v>1272.3647161000001</v>
      </c>
      <c r="AG148" s="626">
        <v>900.2359561</v>
      </c>
      <c r="AH148" s="625">
        <v>1.0325113566959707</v>
      </c>
      <c r="AI148" s="625">
        <v>0.23738176462885158</v>
      </c>
      <c r="AJ148" s="625">
        <v>0.37002190513985461</v>
      </c>
      <c r="AK148" s="625">
        <v>1.2609680282338225</v>
      </c>
      <c r="AL148" s="625">
        <v>1.4173992756175537</v>
      </c>
      <c r="AM148" s="625">
        <v>1.1427895793906586</v>
      </c>
      <c r="AN148" s="625">
        <v>1.1313689121209569</v>
      </c>
      <c r="AO148" s="625">
        <v>1.208729627148917</v>
      </c>
      <c r="AP148" s="625">
        <v>1.10175889102393</v>
      </c>
      <c r="AQ148" s="625">
        <v>1.141405840423295</v>
      </c>
      <c r="AR148" s="625">
        <v>1.127911410254081</v>
      </c>
      <c r="AS148" s="625">
        <v>1.4133680259278503</v>
      </c>
    </row>
    <row r="149">
      <c r="B149" s="623">
        <v>1101400</v>
      </c>
      <c r="C149" s="603" t="s">
        <v>78</v>
      </c>
      <c r="D149" s="0" t="s">
        <v>64</v>
      </c>
      <c r="E149" s="0" t="s">
        <v>74</v>
      </c>
      <c r="F149" s="625">
        <v>5.4338594473074062</v>
      </c>
      <c r="G149" s="625">
        <v>1.2222089280663515</v>
      </c>
      <c r="H149" s="624">
        <v>6.7144835593501995</v>
      </c>
      <c r="I149" s="624">
        <v>17.184258581571392</v>
      </c>
      <c r="J149" s="626">
        <v>1321.68</v>
      </c>
      <c r="K149" s="626">
        <v>1280.0634021</v>
      </c>
      <c r="L149" s="626">
        <v>670.588251</v>
      </c>
      <c r="M149" s="626">
        <v>2824.9358248</v>
      </c>
      <c r="N149" s="626">
        <v>246.48744</v>
      </c>
      <c r="O149" s="626">
        <v>666.1428326</v>
      </c>
      <c r="P149" s="626">
        <v>377.0886246</v>
      </c>
      <c r="Q149" s="626">
        <v>299.0469355</v>
      </c>
      <c r="R149" s="626">
        <v>1713.754403</v>
      </c>
      <c r="S149" s="626">
        <v>1209.0837299</v>
      </c>
      <c r="T149" s="626">
        <v>1940.3240983</v>
      </c>
      <c r="U149" s="626">
        <v>1697.8839616</v>
      </c>
      <c r="V149" s="626">
        <v>2705.9930739</v>
      </c>
      <c r="W149" s="626">
        <v>2391.786662</v>
      </c>
      <c r="X149" s="626">
        <v>2426.0449857999997</v>
      </c>
      <c r="Y149" s="626">
        <v>2007.1031034</v>
      </c>
      <c r="Z149" s="626">
        <v>406.0094684</v>
      </c>
      <c r="AA149" s="626">
        <v>368.5102718</v>
      </c>
      <c r="AB149" s="626">
        <v>1980.1117282</v>
      </c>
      <c r="AC149" s="626">
        <v>1734.8007677</v>
      </c>
      <c r="AD149" s="626">
        <v>1564.9952718</v>
      </c>
      <c r="AE149" s="626">
        <v>1387.5161273</v>
      </c>
      <c r="AF149" s="626">
        <v>1399.6011876999999</v>
      </c>
      <c r="AG149" s="626">
        <v>990.2595517</v>
      </c>
      <c r="AH149" s="625">
        <v>1.0325113566959707</v>
      </c>
      <c r="AI149" s="625">
        <v>0.23738176462885158</v>
      </c>
      <c r="AJ149" s="625">
        <v>0.37002190513985461</v>
      </c>
      <c r="AK149" s="625">
        <v>1.2609680282338223</v>
      </c>
      <c r="AL149" s="625">
        <v>1.4173992756175535</v>
      </c>
      <c r="AM149" s="625">
        <v>1.1427895793906584</v>
      </c>
      <c r="AN149" s="625">
        <v>1.1313689121209565</v>
      </c>
      <c r="AO149" s="625">
        <v>1.2087296271489172</v>
      </c>
      <c r="AP149" s="625">
        <v>1.1017588910239302</v>
      </c>
      <c r="AQ149" s="625">
        <v>1.141405840423295</v>
      </c>
      <c r="AR149" s="625">
        <v>1.127911410254081</v>
      </c>
      <c r="AS149" s="625">
        <v>1.4133680259278503</v>
      </c>
    </row>
    <row r="150">
      <c r="B150" s="623">
        <v>1101400</v>
      </c>
      <c r="C150" s="603" t="s">
        <v>79</v>
      </c>
      <c r="D150" s="0" t="s">
        <v>64</v>
      </c>
      <c r="E150" s="0" t="s">
        <v>74</v>
      </c>
      <c r="F150" s="625">
        <v>6.1426237230431555</v>
      </c>
      <c r="G150" s="625">
        <v>1.3816274839010931</v>
      </c>
      <c r="H150" s="624">
        <v>7.5902857627437053</v>
      </c>
      <c r="I150" s="624">
        <v>19.42568361395027</v>
      </c>
      <c r="J150" s="626">
        <v>1431.82</v>
      </c>
      <c r="K150" s="626">
        <v>1386.7353523</v>
      </c>
      <c r="L150" s="626">
        <v>726.4706053000001</v>
      </c>
      <c r="M150" s="626">
        <v>3060.3471434999997</v>
      </c>
      <c r="N150" s="626">
        <v>267.02806</v>
      </c>
      <c r="O150" s="626">
        <v>721.6547353</v>
      </c>
      <c r="P150" s="626">
        <v>411.3694087</v>
      </c>
      <c r="Q150" s="626">
        <v>326.2330205</v>
      </c>
      <c r="R150" s="626">
        <v>1869.5502578</v>
      </c>
      <c r="S150" s="626">
        <v>1319.0004325999998</v>
      </c>
      <c r="T150" s="626">
        <v>2116.7171982</v>
      </c>
      <c r="U150" s="626">
        <v>1852.237049</v>
      </c>
      <c r="V150" s="626">
        <v>2951.9924441999997</v>
      </c>
      <c r="W150" s="626">
        <v>2609.2218131</v>
      </c>
      <c r="X150" s="626">
        <v>2646.59453</v>
      </c>
      <c r="Y150" s="626">
        <v>2189.5670219</v>
      </c>
      <c r="Z150" s="626">
        <v>442.91942009999997</v>
      </c>
      <c r="AA150" s="626">
        <v>402.0112056</v>
      </c>
      <c r="AB150" s="626">
        <v>2160.1218853</v>
      </c>
      <c r="AC150" s="626">
        <v>1892.5099284</v>
      </c>
      <c r="AD150" s="626">
        <v>1707.2675693</v>
      </c>
      <c r="AE150" s="626">
        <v>1513.653957</v>
      </c>
      <c r="AF150" s="626">
        <v>1526.8376593</v>
      </c>
      <c r="AG150" s="626">
        <v>1080.2831473</v>
      </c>
      <c r="AH150" s="625">
        <v>1.0325113566959707</v>
      </c>
      <c r="AI150" s="625">
        <v>0.23738176462885161</v>
      </c>
      <c r="AJ150" s="625">
        <v>0.37002190513985456</v>
      </c>
      <c r="AK150" s="625">
        <v>1.2609680282338225</v>
      </c>
      <c r="AL150" s="625">
        <v>1.4173992756175537</v>
      </c>
      <c r="AM150" s="625">
        <v>1.1427895793906586</v>
      </c>
      <c r="AN150" s="625">
        <v>1.1313689121209567</v>
      </c>
      <c r="AO150" s="625">
        <v>1.208729627148917</v>
      </c>
      <c r="AP150" s="625">
        <v>1.10175889102393</v>
      </c>
      <c r="AQ150" s="625">
        <v>1.141405840423295</v>
      </c>
      <c r="AR150" s="625">
        <v>1.1279114102540813</v>
      </c>
      <c r="AS150" s="625">
        <v>1.4133680259278503</v>
      </c>
    </row>
    <row r="151">
      <c r="B151" s="623">
        <v>1257800</v>
      </c>
      <c r="C151" s="603" t="s">
        <v>77</v>
      </c>
      <c r="D151" s="0" t="s">
        <v>64</v>
      </c>
      <c r="E151" s="0" t="s">
        <v>74</v>
      </c>
      <c r="F151" s="625">
        <v>4.9306974570814752</v>
      </c>
      <c r="G151" s="625">
        <v>1.2289536778138304</v>
      </c>
      <c r="H151" s="624">
        <v>5.7453821444867081</v>
      </c>
      <c r="I151" s="624">
        <v>14.226124758590109</v>
      </c>
      <c r="J151" s="626">
        <v>1257.8</v>
      </c>
      <c r="K151" s="626">
        <v>1106.382</v>
      </c>
      <c r="L151" s="626">
        <v>616.482</v>
      </c>
      <c r="M151" s="626">
        <v>2597.084</v>
      </c>
      <c r="N151" s="626">
        <v>205.4062</v>
      </c>
      <c r="O151" s="626">
        <v>558.40680000000009</v>
      </c>
      <c r="P151" s="626">
        <v>383.11812</v>
      </c>
      <c r="Q151" s="626">
        <v>300.7368</v>
      </c>
      <c r="R151" s="626">
        <v>1735.02</v>
      </c>
      <c r="S151" s="626">
        <v>1156.68</v>
      </c>
      <c r="T151" s="626">
        <v>2024.19</v>
      </c>
      <c r="U151" s="626">
        <v>1754.298</v>
      </c>
      <c r="V151" s="626">
        <v>2698.92</v>
      </c>
      <c r="W151" s="626">
        <v>2375.0496000000003</v>
      </c>
      <c r="X151" s="626">
        <v>2590.9632</v>
      </c>
      <c r="Y151" s="626">
        <v>2159.136</v>
      </c>
      <c r="Z151" s="626">
        <v>422.3400514</v>
      </c>
      <c r="AA151" s="626">
        <v>383.9455012</v>
      </c>
      <c r="AB151" s="626">
        <v>2062.0298344000003</v>
      </c>
      <c r="AC151" s="626">
        <v>1819.4380892000002</v>
      </c>
      <c r="AD151" s="626">
        <v>1594.45125</v>
      </c>
      <c r="AE151" s="626">
        <v>1407.294</v>
      </c>
      <c r="AF151" s="626">
        <v>1436.1986621</v>
      </c>
      <c r="AG151" s="626">
        <v>1014.1515770000001</v>
      </c>
      <c r="AH151" s="625">
        <v>1.1368586979903868</v>
      </c>
      <c r="AI151" s="625">
        <v>0.23737468637903125</v>
      </c>
      <c r="AJ151" s="625">
        <v>0.36784329990250847</v>
      </c>
      <c r="AK151" s="625">
        <v>1.2739316239316239</v>
      </c>
      <c r="AL151" s="625">
        <v>1.5</v>
      </c>
      <c r="AM151" s="625">
        <v>1.1538461538461537</v>
      </c>
      <c r="AN151" s="625">
        <v>1.1363636363636362</v>
      </c>
      <c r="AO151" s="625">
        <v>1.2</v>
      </c>
      <c r="AP151" s="625">
        <v>1.0999999999999999</v>
      </c>
      <c r="AQ151" s="625">
        <v>1.1333333333333338</v>
      </c>
      <c r="AR151" s="625">
        <v>1.1329908675799087</v>
      </c>
      <c r="AS151" s="625">
        <v>1.416157795931164</v>
      </c>
    </row>
    <row r="152">
      <c r="B152" s="623">
        <v>1257800</v>
      </c>
      <c r="C152" s="603" t="s">
        <v>78</v>
      </c>
      <c r="D152" s="0" t="s">
        <v>64</v>
      </c>
      <c r="E152" s="0" t="s">
        <v>74</v>
      </c>
      <c r="F152" s="625">
        <v>5.6703020756436961</v>
      </c>
      <c r="G152" s="625">
        <v>1.4132967294859049</v>
      </c>
      <c r="H152" s="624">
        <v>6.6071894661597144</v>
      </c>
      <c r="I152" s="624">
        <v>16.360043472378624</v>
      </c>
      <c r="J152" s="626">
        <v>1509.36</v>
      </c>
      <c r="K152" s="626">
        <v>1327.6583999999998</v>
      </c>
      <c r="L152" s="626">
        <v>739.7784</v>
      </c>
      <c r="M152" s="626">
        <v>3116.5008</v>
      </c>
      <c r="N152" s="626">
        <v>246.48744</v>
      </c>
      <c r="O152" s="626">
        <v>670.08816</v>
      </c>
      <c r="P152" s="626">
        <v>421.42993199999995</v>
      </c>
      <c r="Q152" s="626">
        <v>330.81048</v>
      </c>
      <c r="R152" s="626">
        <v>1908.522</v>
      </c>
      <c r="S152" s="626">
        <v>1272.348</v>
      </c>
      <c r="T152" s="626">
        <v>2226.609</v>
      </c>
      <c r="U152" s="626">
        <v>1929.7278000000001</v>
      </c>
      <c r="V152" s="626">
        <v>2968.812</v>
      </c>
      <c r="W152" s="626">
        <v>2612.55456</v>
      </c>
      <c r="X152" s="626">
        <v>2850.05952</v>
      </c>
      <c r="Y152" s="626">
        <v>2375.0496000000003</v>
      </c>
      <c r="Z152" s="626">
        <v>464.5740565</v>
      </c>
      <c r="AA152" s="626">
        <v>422.3400514</v>
      </c>
      <c r="AB152" s="626">
        <v>2268.2328179</v>
      </c>
      <c r="AC152" s="626">
        <v>2001.3818981000002</v>
      </c>
      <c r="AD152" s="626">
        <v>1753.896375</v>
      </c>
      <c r="AE152" s="626">
        <v>1548.0233999999998</v>
      </c>
      <c r="AF152" s="626">
        <v>1579.8185282999998</v>
      </c>
      <c r="AG152" s="626">
        <v>1115.5667346999999</v>
      </c>
      <c r="AH152" s="625">
        <v>1.1368586979903868</v>
      </c>
      <c r="AI152" s="625">
        <v>0.23737468637903128</v>
      </c>
      <c r="AJ152" s="625">
        <v>0.36784329990250847</v>
      </c>
      <c r="AK152" s="625">
        <v>1.2739316239316241</v>
      </c>
      <c r="AL152" s="625">
        <v>1.5</v>
      </c>
      <c r="AM152" s="625">
        <v>1.1538461538461537</v>
      </c>
      <c r="AN152" s="625">
        <v>1.1363636363636362</v>
      </c>
      <c r="AO152" s="625">
        <v>1.1999999999999997</v>
      </c>
      <c r="AP152" s="625">
        <v>1.0999999999999999</v>
      </c>
      <c r="AQ152" s="625">
        <v>1.1333333333333338</v>
      </c>
      <c r="AR152" s="625">
        <v>1.1329908675799087</v>
      </c>
      <c r="AS152" s="625">
        <v>1.416157795931164</v>
      </c>
    </row>
    <row r="153">
      <c r="B153" s="623">
        <v>1257800</v>
      </c>
      <c r="C153" s="603" t="s">
        <v>79</v>
      </c>
      <c r="D153" s="0" t="s">
        <v>64</v>
      </c>
      <c r="E153" s="0" t="s">
        <v>74</v>
      </c>
      <c r="F153" s="625">
        <v>6.409906694205918</v>
      </c>
      <c r="G153" s="625">
        <v>1.5976397811579797</v>
      </c>
      <c r="H153" s="624">
        <v>7.4689967878327215</v>
      </c>
      <c r="I153" s="624">
        <v>18.493962186167142</v>
      </c>
      <c r="J153" s="626">
        <v>1635.14</v>
      </c>
      <c r="K153" s="626">
        <v>1438.2966000000001</v>
      </c>
      <c r="L153" s="626">
        <v>801.4266</v>
      </c>
      <c r="M153" s="626">
        <v>3376.2092000000002</v>
      </c>
      <c r="N153" s="626">
        <v>267.02806</v>
      </c>
      <c r="O153" s="626">
        <v>725.92883999999992</v>
      </c>
      <c r="P153" s="626">
        <v>459.741744</v>
      </c>
      <c r="Q153" s="626">
        <v>360.88415999999995</v>
      </c>
      <c r="R153" s="626">
        <v>2082.024</v>
      </c>
      <c r="S153" s="626">
        <v>1388.016</v>
      </c>
      <c r="T153" s="626">
        <v>2429.028</v>
      </c>
      <c r="U153" s="626">
        <v>2105.1576</v>
      </c>
      <c r="V153" s="626">
        <v>3238.704</v>
      </c>
      <c r="W153" s="626">
        <v>2850.05952</v>
      </c>
      <c r="X153" s="626">
        <v>3109.15584</v>
      </c>
      <c r="Y153" s="626">
        <v>2590.9632</v>
      </c>
      <c r="Z153" s="626">
        <v>506.80806160000003</v>
      </c>
      <c r="AA153" s="626">
        <v>460.7346015</v>
      </c>
      <c r="AB153" s="626">
        <v>2474.4358013</v>
      </c>
      <c r="AC153" s="626">
        <v>2183.3257071000003</v>
      </c>
      <c r="AD153" s="626">
        <v>1913.3415</v>
      </c>
      <c r="AE153" s="626">
        <v>1688.7528</v>
      </c>
      <c r="AF153" s="626">
        <v>1723.4383945</v>
      </c>
      <c r="AG153" s="626">
        <v>1216.9818924</v>
      </c>
      <c r="AH153" s="625">
        <v>1.1368586979903865</v>
      </c>
      <c r="AI153" s="625">
        <v>0.23737468637903122</v>
      </c>
      <c r="AJ153" s="625">
        <v>0.36784329990250847</v>
      </c>
      <c r="AK153" s="625">
        <v>1.2739316239316241</v>
      </c>
      <c r="AL153" s="625">
        <v>1.5</v>
      </c>
      <c r="AM153" s="625">
        <v>1.1538461538461537</v>
      </c>
      <c r="AN153" s="625">
        <v>1.1363636363636362</v>
      </c>
      <c r="AO153" s="625">
        <v>1.1999999999999997</v>
      </c>
      <c r="AP153" s="625">
        <v>1.0999999999999999</v>
      </c>
      <c r="AQ153" s="625">
        <v>1.1333333333333335</v>
      </c>
      <c r="AR153" s="625">
        <v>1.1329908675799087</v>
      </c>
      <c r="AS153" s="625">
        <v>1.4161577959311642</v>
      </c>
    </row>
    <row r="154">
      <c r="B154" s="623">
        <v>1300000</v>
      </c>
      <c r="C154" s="603" t="s">
        <v>77</v>
      </c>
      <c r="D154" s="0" t="s">
        <v>64</v>
      </c>
      <c r="E154" s="0" t="s">
        <v>74</v>
      </c>
      <c r="F154" s="625">
        <v>5.0367783282824012</v>
      </c>
      <c r="G154" s="625">
        <v>1.269129870386901</v>
      </c>
      <c r="H154" s="624">
        <v>5.6706891447892049</v>
      </c>
      <c r="I154" s="624">
        <v>13.926738015248048</v>
      </c>
      <c r="J154" s="626">
        <v>1300</v>
      </c>
      <c r="K154" s="626">
        <v>1123.8741510999998</v>
      </c>
      <c r="L154" s="626">
        <v>631.61180110000009</v>
      </c>
      <c r="M154" s="626">
        <v>2666.6856833</v>
      </c>
      <c r="N154" s="626">
        <v>205.4062</v>
      </c>
      <c r="O154" s="626">
        <v>565.4588807</v>
      </c>
      <c r="P154" s="626">
        <v>399.840551</v>
      </c>
      <c r="Q154" s="626">
        <v>314.2041546</v>
      </c>
      <c r="R154" s="626">
        <v>1779.4629688</v>
      </c>
      <c r="S154" s="626">
        <v>1220.6639048</v>
      </c>
      <c r="T154" s="626">
        <v>2116.7431374</v>
      </c>
      <c r="U154" s="626">
        <v>1836.1987952</v>
      </c>
      <c r="V154" s="626">
        <v>2713.5887991</v>
      </c>
      <c r="W154" s="626">
        <v>2396.5638387000004</v>
      </c>
      <c r="X154" s="626">
        <v>2769.1891094999996</v>
      </c>
      <c r="Y154" s="626">
        <v>2316.8255907000002</v>
      </c>
      <c r="Z154" s="626">
        <v>441.1136494</v>
      </c>
      <c r="AA154" s="626">
        <v>399.79850180000005</v>
      </c>
      <c r="AB154" s="626">
        <v>2130.2650951</v>
      </c>
      <c r="AC154" s="626">
        <v>1878.3198788999998</v>
      </c>
      <c r="AD154" s="626">
        <v>1625.6661053</v>
      </c>
      <c r="AE154" s="626">
        <v>1430.6069129000002</v>
      </c>
      <c r="AF154" s="626">
        <v>1585.7138926</v>
      </c>
      <c r="AG154" s="626">
        <v>1122.6321664</v>
      </c>
      <c r="AH154" s="625">
        <v>1.1567131415272258</v>
      </c>
      <c r="AI154" s="625">
        <v>0.23685273637364315</v>
      </c>
      <c r="AJ154" s="625">
        <v>0.36325576804890486</v>
      </c>
      <c r="AK154" s="625">
        <v>1.2725501719706218</v>
      </c>
      <c r="AL154" s="625">
        <v>1.4577829014313084</v>
      </c>
      <c r="AM154" s="625">
        <v>1.1527853862920181</v>
      </c>
      <c r="AN154" s="625">
        <v>1.1322831277350043</v>
      </c>
      <c r="AO154" s="625">
        <v>1.1952514339469207</v>
      </c>
      <c r="AP154" s="625">
        <v>1.1033399260096628</v>
      </c>
      <c r="AQ154" s="625">
        <v>1.1341332852603931</v>
      </c>
      <c r="AR154" s="625">
        <v>1.1363471619147387</v>
      </c>
      <c r="AS154" s="625">
        <v>1.4124963991783763</v>
      </c>
    </row>
    <row r="155">
      <c r="B155" s="623">
        <v>1300000</v>
      </c>
      <c r="C155" s="603" t="s">
        <v>78</v>
      </c>
      <c r="D155" s="0" t="s">
        <v>64</v>
      </c>
      <c r="E155" s="0" t="s">
        <v>74</v>
      </c>
      <c r="F155" s="625">
        <v>5.792295077524761</v>
      </c>
      <c r="G155" s="625">
        <v>1.4594993509449359</v>
      </c>
      <c r="H155" s="624">
        <v>6.5212925165075859</v>
      </c>
      <c r="I155" s="624">
        <v>16.015748717535256</v>
      </c>
      <c r="J155" s="626">
        <v>1560</v>
      </c>
      <c r="K155" s="626">
        <v>1348.6489813</v>
      </c>
      <c r="L155" s="626">
        <v>757.9341614</v>
      </c>
      <c r="M155" s="626">
        <v>3200.0228199999997</v>
      </c>
      <c r="N155" s="626">
        <v>246.48744</v>
      </c>
      <c r="O155" s="626">
        <v>678.5506568</v>
      </c>
      <c r="P155" s="626">
        <v>439.8246061</v>
      </c>
      <c r="Q155" s="626">
        <v>345.6245701</v>
      </c>
      <c r="R155" s="626">
        <v>1957.4092657</v>
      </c>
      <c r="S155" s="626">
        <v>1342.7302953</v>
      </c>
      <c r="T155" s="626">
        <v>2328.4174511</v>
      </c>
      <c r="U155" s="626">
        <v>2019.8186747000002</v>
      </c>
      <c r="V155" s="626">
        <v>2984.947679</v>
      </c>
      <c r="W155" s="626">
        <v>2636.2202226</v>
      </c>
      <c r="X155" s="626">
        <v>3046.1080204</v>
      </c>
      <c r="Y155" s="626">
        <v>2548.5081498</v>
      </c>
      <c r="Z155" s="626">
        <v>485.22501439999996</v>
      </c>
      <c r="AA155" s="626">
        <v>439.77835200000004</v>
      </c>
      <c r="AB155" s="626">
        <v>2343.2916046</v>
      </c>
      <c r="AC155" s="626">
        <v>2066.1518668</v>
      </c>
      <c r="AD155" s="626">
        <v>1788.2327157999998</v>
      </c>
      <c r="AE155" s="626">
        <v>1573.6676042</v>
      </c>
      <c r="AF155" s="626">
        <v>1744.2852819</v>
      </c>
      <c r="AG155" s="626">
        <v>1234.8953829999998</v>
      </c>
      <c r="AH155" s="625">
        <v>1.156713141527226</v>
      </c>
      <c r="AI155" s="625">
        <v>0.23685273637364315</v>
      </c>
      <c r="AJ155" s="625">
        <v>0.3632557680489048</v>
      </c>
      <c r="AK155" s="625">
        <v>1.2725501719706218</v>
      </c>
      <c r="AL155" s="625">
        <v>1.4577829014313084</v>
      </c>
      <c r="AM155" s="625">
        <v>1.1527853862920181</v>
      </c>
      <c r="AN155" s="625">
        <v>1.1322831277350045</v>
      </c>
      <c r="AO155" s="625">
        <v>1.1952514339469207</v>
      </c>
      <c r="AP155" s="625">
        <v>1.1033399260096626</v>
      </c>
      <c r="AQ155" s="625">
        <v>1.1341332852603931</v>
      </c>
      <c r="AR155" s="625">
        <v>1.1363471619147385</v>
      </c>
      <c r="AS155" s="625">
        <v>1.4124963991783763</v>
      </c>
    </row>
    <row r="156">
      <c r="B156" s="623">
        <v>1300000</v>
      </c>
      <c r="C156" s="603" t="s">
        <v>79</v>
      </c>
      <c r="D156" s="0" t="s">
        <v>64</v>
      </c>
      <c r="E156" s="0" t="s">
        <v>74</v>
      </c>
      <c r="F156" s="625">
        <v>6.5478118267671217</v>
      </c>
      <c r="G156" s="625">
        <v>1.6498688315029713</v>
      </c>
      <c r="H156" s="624">
        <v>7.3718958882259669</v>
      </c>
      <c r="I156" s="624">
        <v>18.104759419822464</v>
      </c>
      <c r="J156" s="626">
        <v>1690</v>
      </c>
      <c r="K156" s="626">
        <v>1461.0363964</v>
      </c>
      <c r="L156" s="626">
        <v>821.0953415</v>
      </c>
      <c r="M156" s="626">
        <v>3466.6913883</v>
      </c>
      <c r="N156" s="626">
        <v>267.02806</v>
      </c>
      <c r="O156" s="626">
        <v>735.0965449</v>
      </c>
      <c r="P156" s="626">
        <v>479.80866119999996</v>
      </c>
      <c r="Q156" s="626">
        <v>377.0449856</v>
      </c>
      <c r="R156" s="626">
        <v>2135.3555625999998</v>
      </c>
      <c r="S156" s="626">
        <v>1464.7966858000002</v>
      </c>
      <c r="T156" s="626">
        <v>2540.0917649</v>
      </c>
      <c r="U156" s="626">
        <v>2203.4385542</v>
      </c>
      <c r="V156" s="626">
        <v>3256.306559</v>
      </c>
      <c r="W156" s="626">
        <v>2875.8766065000004</v>
      </c>
      <c r="X156" s="626">
        <v>3323.0269314</v>
      </c>
      <c r="Y156" s="626">
        <v>2780.1907088000003</v>
      </c>
      <c r="Z156" s="626">
        <v>529.3363793</v>
      </c>
      <c r="AA156" s="626">
        <v>479.7582022</v>
      </c>
      <c r="AB156" s="626">
        <v>2556.3181141</v>
      </c>
      <c r="AC156" s="626">
        <v>2253.9838547</v>
      </c>
      <c r="AD156" s="626">
        <v>1950.7993264</v>
      </c>
      <c r="AE156" s="626">
        <v>1716.7282955</v>
      </c>
      <c r="AF156" s="626">
        <v>1902.8566710999999</v>
      </c>
      <c r="AG156" s="626">
        <v>1347.1585997</v>
      </c>
      <c r="AH156" s="625">
        <v>1.1567131415272258</v>
      </c>
      <c r="AI156" s="625">
        <v>0.23685273637364313</v>
      </c>
      <c r="AJ156" s="625">
        <v>0.36325576804890486</v>
      </c>
      <c r="AK156" s="625">
        <v>1.272550171970622</v>
      </c>
      <c r="AL156" s="625">
        <v>1.4577829014313084</v>
      </c>
      <c r="AM156" s="625">
        <v>1.1527853862920177</v>
      </c>
      <c r="AN156" s="625">
        <v>1.1322831277350043</v>
      </c>
      <c r="AO156" s="625">
        <v>1.1952514339469207</v>
      </c>
      <c r="AP156" s="625">
        <v>1.1033399260096626</v>
      </c>
      <c r="AQ156" s="625">
        <v>1.1341332852603931</v>
      </c>
      <c r="AR156" s="625">
        <v>1.1363471619147387</v>
      </c>
      <c r="AS156" s="625">
        <v>1.4124963991783766</v>
      </c>
    </row>
    <row r="157">
      <c r="B157" s="623">
        <v>1428221</v>
      </c>
      <c r="C157" s="603" t="s">
        <v>77</v>
      </c>
      <c r="D157" s="0" t="s">
        <v>64</v>
      </c>
      <c r="E157" s="0" t="s">
        <v>74</v>
      </c>
      <c r="F157" s="625">
        <v>5.3316810699356978</v>
      </c>
      <c r="G157" s="625">
        <v>1.3912017089630069</v>
      </c>
      <c r="H157" s="624">
        <v>5.47604835268989</v>
      </c>
      <c r="I157" s="624">
        <v>13.154492669681305</v>
      </c>
      <c r="J157" s="626">
        <v>1428.221</v>
      </c>
      <c r="K157" s="626">
        <v>1177.0225185</v>
      </c>
      <c r="L157" s="626">
        <v>677.5823754</v>
      </c>
      <c r="M157" s="626">
        <v>2878.1642956</v>
      </c>
      <c r="N157" s="626">
        <v>205.4062</v>
      </c>
      <c r="O157" s="626">
        <v>586.8860095</v>
      </c>
      <c r="P157" s="626">
        <v>450.6501915</v>
      </c>
      <c r="Q157" s="626">
        <v>355.1235309</v>
      </c>
      <c r="R157" s="626">
        <v>1914.4990329</v>
      </c>
      <c r="S157" s="626">
        <v>1415.0733896000002</v>
      </c>
      <c r="T157" s="626">
        <v>2397.9577305000003</v>
      </c>
      <c r="U157" s="626">
        <v>2085.0471804</v>
      </c>
      <c r="V157" s="626">
        <v>2758.1586592000003</v>
      </c>
      <c r="W157" s="626">
        <v>2461.9329668</v>
      </c>
      <c r="X157" s="626">
        <v>3310.712909</v>
      </c>
      <c r="Y157" s="626">
        <v>2795.9515862</v>
      </c>
      <c r="Z157" s="626">
        <v>498.1555811</v>
      </c>
      <c r="AA157" s="626">
        <v>447.9664542</v>
      </c>
      <c r="AB157" s="626">
        <v>2337.5919517</v>
      </c>
      <c r="AC157" s="626">
        <v>2057.2270344</v>
      </c>
      <c r="AD157" s="626">
        <v>1720.5097063</v>
      </c>
      <c r="AE157" s="626">
        <v>1501.4411547999998</v>
      </c>
      <c r="AF157" s="626">
        <v>2040.0028115</v>
      </c>
      <c r="AG157" s="626">
        <v>1452.2409258</v>
      </c>
      <c r="AH157" s="625">
        <v>1.2134185858785853</v>
      </c>
      <c r="AI157" s="625">
        <v>0.23542171529655226</v>
      </c>
      <c r="AJ157" s="625">
        <v>0.34999334909219965</v>
      </c>
      <c r="AK157" s="625">
        <v>1.2689955811086264</v>
      </c>
      <c r="AL157" s="625">
        <v>1.3529326796726351</v>
      </c>
      <c r="AM157" s="625">
        <v>1.1500736065146382</v>
      </c>
      <c r="AN157" s="625">
        <v>1.1203224037287429</v>
      </c>
      <c r="AO157" s="625">
        <v>1.1841095265729045</v>
      </c>
      <c r="AP157" s="625">
        <v>1.1120376905098832</v>
      </c>
      <c r="AQ157" s="625">
        <v>1.1362829248757911</v>
      </c>
      <c r="AR157" s="625">
        <v>1.1459055193912671</v>
      </c>
      <c r="AS157" s="625">
        <v>1.4047275319460559</v>
      </c>
    </row>
    <row r="158">
      <c r="B158" s="623">
        <v>1428221</v>
      </c>
      <c r="C158" s="603" t="s">
        <v>78</v>
      </c>
      <c r="D158" s="0" t="s">
        <v>64</v>
      </c>
      <c r="E158" s="0" t="s">
        <v>74</v>
      </c>
      <c r="F158" s="625">
        <v>6.1314332304260528</v>
      </c>
      <c r="G158" s="625">
        <v>1.5998819653074576</v>
      </c>
      <c r="H158" s="624">
        <v>6.297455605593373</v>
      </c>
      <c r="I158" s="624">
        <v>15.127666570133501</v>
      </c>
      <c r="J158" s="626">
        <v>1713.8652</v>
      </c>
      <c r="K158" s="626">
        <v>1412.4270223</v>
      </c>
      <c r="L158" s="626">
        <v>813.0988504</v>
      </c>
      <c r="M158" s="626">
        <v>3453.7971546999997</v>
      </c>
      <c r="N158" s="626">
        <v>246.48744</v>
      </c>
      <c r="O158" s="626">
        <v>704.2632114</v>
      </c>
      <c r="P158" s="626">
        <v>495.7152106</v>
      </c>
      <c r="Q158" s="626">
        <v>390.63588400000003</v>
      </c>
      <c r="R158" s="626">
        <v>2105.9489362</v>
      </c>
      <c r="S158" s="626">
        <v>1556.5807285</v>
      </c>
      <c r="T158" s="626">
        <v>2637.7535036</v>
      </c>
      <c r="U158" s="626">
        <v>2293.5518985000003</v>
      </c>
      <c r="V158" s="626">
        <v>3033.9745251000004</v>
      </c>
      <c r="W158" s="626">
        <v>2708.1262635</v>
      </c>
      <c r="X158" s="626">
        <v>3641.7841998999997</v>
      </c>
      <c r="Y158" s="626">
        <v>3075.5467448</v>
      </c>
      <c r="Z158" s="626">
        <v>547.97113919999993</v>
      </c>
      <c r="AA158" s="626">
        <v>492.76309960000003</v>
      </c>
      <c r="AB158" s="626">
        <v>2571.3511469</v>
      </c>
      <c r="AC158" s="626">
        <v>2262.9497377999996</v>
      </c>
      <c r="AD158" s="626">
        <v>1892.5606769</v>
      </c>
      <c r="AE158" s="626">
        <v>1651.5852702</v>
      </c>
      <c r="AF158" s="626">
        <v>2244.0030926</v>
      </c>
      <c r="AG158" s="626">
        <v>1597.4650184</v>
      </c>
      <c r="AH158" s="625">
        <v>1.2134185858785853</v>
      </c>
      <c r="AI158" s="625">
        <v>0.23542171529655223</v>
      </c>
      <c r="AJ158" s="625">
        <v>0.34999334909219959</v>
      </c>
      <c r="AK158" s="625">
        <v>1.2689955811086264</v>
      </c>
      <c r="AL158" s="625">
        <v>1.3529326796726355</v>
      </c>
      <c r="AM158" s="625">
        <v>1.150073606514638</v>
      </c>
      <c r="AN158" s="625">
        <v>1.1203224037287429</v>
      </c>
      <c r="AO158" s="625">
        <v>1.1841095265729047</v>
      </c>
      <c r="AP158" s="625">
        <v>1.1120376905098832</v>
      </c>
      <c r="AQ158" s="625">
        <v>1.1362829248757911</v>
      </c>
      <c r="AR158" s="625">
        <v>1.1459055193912673</v>
      </c>
      <c r="AS158" s="625">
        <v>1.4047275319460559</v>
      </c>
    </row>
    <row r="159">
      <c r="B159" s="623">
        <v>1428221</v>
      </c>
      <c r="C159" s="603" t="s">
        <v>79</v>
      </c>
      <c r="D159" s="0" t="s">
        <v>64</v>
      </c>
      <c r="E159" s="0" t="s">
        <v>74</v>
      </c>
      <c r="F159" s="625">
        <v>6.9311853909164078</v>
      </c>
      <c r="G159" s="625">
        <v>1.8085622216519091</v>
      </c>
      <c r="H159" s="624">
        <v>7.1188628584968576</v>
      </c>
      <c r="I159" s="624">
        <v>17.1008404705857</v>
      </c>
      <c r="J159" s="626">
        <v>1856.6873</v>
      </c>
      <c r="K159" s="626">
        <v>1530.1292741</v>
      </c>
      <c r="L159" s="626">
        <v>880.857088</v>
      </c>
      <c r="M159" s="626">
        <v>3741.6135843</v>
      </c>
      <c r="N159" s="626">
        <v>267.02806</v>
      </c>
      <c r="O159" s="626">
        <v>762.9518123</v>
      </c>
      <c r="P159" s="626">
        <v>540.78022979999992</v>
      </c>
      <c r="Q159" s="626">
        <v>426.1482371</v>
      </c>
      <c r="R159" s="626">
        <v>2297.3988394</v>
      </c>
      <c r="S159" s="626">
        <v>1698.0880674999999</v>
      </c>
      <c r="T159" s="626">
        <v>2877.5492765999998</v>
      </c>
      <c r="U159" s="626">
        <v>2502.0566165</v>
      </c>
      <c r="V159" s="626">
        <v>3309.790391</v>
      </c>
      <c r="W159" s="626">
        <v>2954.3195602</v>
      </c>
      <c r="X159" s="626">
        <v>3972.8554907999996</v>
      </c>
      <c r="Y159" s="626">
        <v>3355.1419034</v>
      </c>
      <c r="Z159" s="626">
        <v>597.7866974</v>
      </c>
      <c r="AA159" s="626">
        <v>537.559745</v>
      </c>
      <c r="AB159" s="626">
        <v>2805.1103421</v>
      </c>
      <c r="AC159" s="626">
        <v>2468.6724412</v>
      </c>
      <c r="AD159" s="626">
        <v>2064.6116475</v>
      </c>
      <c r="AE159" s="626">
        <v>1801.7293857</v>
      </c>
      <c r="AF159" s="626">
        <v>2448.0033738</v>
      </c>
      <c r="AG159" s="626">
        <v>1742.6891109</v>
      </c>
      <c r="AH159" s="625">
        <v>1.2134185858785853</v>
      </c>
      <c r="AI159" s="625">
        <v>0.23542171529655226</v>
      </c>
      <c r="AJ159" s="625">
        <v>0.34999334909219965</v>
      </c>
      <c r="AK159" s="625">
        <v>1.2689955811086264</v>
      </c>
      <c r="AL159" s="625">
        <v>1.3529326796726353</v>
      </c>
      <c r="AM159" s="625">
        <v>1.1500736065146382</v>
      </c>
      <c r="AN159" s="625">
        <v>1.1203224037287429</v>
      </c>
      <c r="AO159" s="625">
        <v>1.1841095265729047</v>
      </c>
      <c r="AP159" s="625">
        <v>1.1120376905098834</v>
      </c>
      <c r="AQ159" s="625">
        <v>1.1362829248757913</v>
      </c>
      <c r="AR159" s="625">
        <v>1.1459055193912671</v>
      </c>
      <c r="AS159" s="625">
        <v>1.4047275319460562</v>
      </c>
    </row>
    <row r="160">
      <c r="B160" s="623">
        <v>1500000</v>
      </c>
      <c r="C160" s="603" t="s">
        <v>77</v>
      </c>
      <c r="D160" s="0" t="s">
        <v>64</v>
      </c>
      <c r="E160" s="0" t="s">
        <v>74</v>
      </c>
      <c r="F160" s="625">
        <v>5.48086085736115</v>
      </c>
      <c r="G160" s="625">
        <v>1.4595383659938699</v>
      </c>
      <c r="H160" s="624">
        <v>5.3842608322063619</v>
      </c>
      <c r="I160" s="624">
        <v>12.794239836098358</v>
      </c>
      <c r="J160" s="626">
        <v>1500</v>
      </c>
      <c r="K160" s="626">
        <v>1206.7753411</v>
      </c>
      <c r="L160" s="626">
        <v>703.3170198</v>
      </c>
      <c r="M160" s="626">
        <v>2996.5514811</v>
      </c>
      <c r="N160" s="626">
        <v>205.4062</v>
      </c>
      <c r="O160" s="626">
        <v>598.881064</v>
      </c>
      <c r="P160" s="626">
        <v>479.0937786</v>
      </c>
      <c r="Q160" s="626">
        <v>378.0304799</v>
      </c>
      <c r="R160" s="626">
        <v>1990.0931527</v>
      </c>
      <c r="S160" s="626">
        <v>1523.9051598</v>
      </c>
      <c r="T160" s="626">
        <v>2555.383599</v>
      </c>
      <c r="U160" s="626">
        <v>2224.3542225</v>
      </c>
      <c r="V160" s="626">
        <v>2783.1091742</v>
      </c>
      <c r="W160" s="626">
        <v>2498.5270554999997</v>
      </c>
      <c r="X160" s="626">
        <v>3613.8616663000003</v>
      </c>
      <c r="Y160" s="626">
        <v>3064.1696224</v>
      </c>
      <c r="Z160" s="626">
        <v>530.08804779999991</v>
      </c>
      <c r="AA160" s="626">
        <v>474.9312061</v>
      </c>
      <c r="AB160" s="626">
        <v>2453.6549558</v>
      </c>
      <c r="AC160" s="626">
        <v>2157.3804937</v>
      </c>
      <c r="AD160" s="626">
        <v>1773.6038082</v>
      </c>
      <c r="AE160" s="626">
        <v>1541.0946518</v>
      </c>
      <c r="AF160" s="626">
        <v>2294.316881</v>
      </c>
      <c r="AG160" s="626">
        <v>1636.7581823</v>
      </c>
      <c r="AH160" s="625">
        <v>1.2429819775523276</v>
      </c>
      <c r="AI160" s="625">
        <v>0.23470880586492648</v>
      </c>
      <c r="AJ160" s="625">
        <v>0.34298329393982224</v>
      </c>
      <c r="AK160" s="625">
        <v>1.2673416669323023</v>
      </c>
      <c r="AL160" s="625">
        <v>1.3059166707217673</v>
      </c>
      <c r="AM160" s="625">
        <v>1.1488204410694554</v>
      </c>
      <c r="AN160" s="625">
        <v>1.1138999548129409</v>
      </c>
      <c r="AO160" s="625">
        <v>1.1793934773804704</v>
      </c>
      <c r="AP160" s="625">
        <v>1.1161364868939356</v>
      </c>
      <c r="AQ160" s="625">
        <v>1.1373306484315162</v>
      </c>
      <c r="AR160" s="625">
        <v>1.1508727293642389</v>
      </c>
      <c r="AS160" s="625">
        <v>1.4017445618159137</v>
      </c>
    </row>
    <row r="161">
      <c r="B161" s="623">
        <v>1500000</v>
      </c>
      <c r="C161" s="603" t="s">
        <v>78</v>
      </c>
      <c r="D161" s="0" t="s">
        <v>64</v>
      </c>
      <c r="E161" s="0" t="s">
        <v>74</v>
      </c>
      <c r="F161" s="625">
        <v>6.302989985965322</v>
      </c>
      <c r="G161" s="625">
        <v>1.6784691208929503</v>
      </c>
      <c r="H161" s="624">
        <v>6.1918999570373163</v>
      </c>
      <c r="I161" s="624">
        <v>14.713375811513112</v>
      </c>
      <c r="J161" s="626">
        <v>1800</v>
      </c>
      <c r="K161" s="626">
        <v>1448.1304094</v>
      </c>
      <c r="L161" s="626">
        <v>843.9804238</v>
      </c>
      <c r="M161" s="626">
        <v>3595.8617773</v>
      </c>
      <c r="N161" s="626">
        <v>246.48744</v>
      </c>
      <c r="O161" s="626">
        <v>718.6572768</v>
      </c>
      <c r="P161" s="626">
        <v>527.0031564</v>
      </c>
      <c r="Q161" s="626">
        <v>415.8335279</v>
      </c>
      <c r="R161" s="626">
        <v>2189.102468</v>
      </c>
      <c r="S161" s="626">
        <v>1676.2956757</v>
      </c>
      <c r="T161" s="626">
        <v>2810.9219589</v>
      </c>
      <c r="U161" s="626">
        <v>2446.7896447999997</v>
      </c>
      <c r="V161" s="626">
        <v>3061.4200916</v>
      </c>
      <c r="W161" s="626">
        <v>2748.379761</v>
      </c>
      <c r="X161" s="626">
        <v>3975.2478328999996</v>
      </c>
      <c r="Y161" s="626">
        <v>3370.5865847</v>
      </c>
      <c r="Z161" s="626">
        <v>583.0968526</v>
      </c>
      <c r="AA161" s="626">
        <v>522.42432669999994</v>
      </c>
      <c r="AB161" s="626">
        <v>2699.0204514</v>
      </c>
      <c r="AC161" s="626">
        <v>2373.1185431</v>
      </c>
      <c r="AD161" s="626">
        <v>1950.964189</v>
      </c>
      <c r="AE161" s="626">
        <v>1695.204117</v>
      </c>
      <c r="AF161" s="626">
        <v>2523.7485691</v>
      </c>
      <c r="AG161" s="626">
        <v>1800.4340005000001</v>
      </c>
      <c r="AH161" s="625">
        <v>1.2429819775523276</v>
      </c>
      <c r="AI161" s="625">
        <v>0.23470880586492646</v>
      </c>
      <c r="AJ161" s="625">
        <v>0.34298329393982224</v>
      </c>
      <c r="AK161" s="625">
        <v>1.2673416669323021</v>
      </c>
      <c r="AL161" s="625">
        <v>1.3059166707217673</v>
      </c>
      <c r="AM161" s="625">
        <v>1.1488204410694556</v>
      </c>
      <c r="AN161" s="625">
        <v>1.1138999548129411</v>
      </c>
      <c r="AO161" s="625">
        <v>1.1793934773804702</v>
      </c>
      <c r="AP161" s="625">
        <v>1.1161364868939356</v>
      </c>
      <c r="AQ161" s="625">
        <v>1.1373306484315164</v>
      </c>
      <c r="AR161" s="625">
        <v>1.1508727293642389</v>
      </c>
      <c r="AS161" s="625">
        <v>1.4017445618159139</v>
      </c>
    </row>
    <row r="162">
      <c r="B162" s="623">
        <v>1500000</v>
      </c>
      <c r="C162" s="603" t="s">
        <v>79</v>
      </c>
      <c r="D162" s="0" t="s">
        <v>64</v>
      </c>
      <c r="E162" s="0" t="s">
        <v>74</v>
      </c>
      <c r="F162" s="625">
        <v>7.1251191145694959</v>
      </c>
      <c r="G162" s="625">
        <v>1.8973998757920312</v>
      </c>
      <c r="H162" s="624">
        <v>6.9995390818682717</v>
      </c>
      <c r="I162" s="624">
        <v>16.632511786927868</v>
      </c>
      <c r="J162" s="626">
        <v>1950</v>
      </c>
      <c r="K162" s="626">
        <v>1568.8079435</v>
      </c>
      <c r="L162" s="626">
        <v>914.3121258</v>
      </c>
      <c r="M162" s="626">
        <v>3895.5169254</v>
      </c>
      <c r="N162" s="626">
        <v>267.02806</v>
      </c>
      <c r="O162" s="626">
        <v>778.54538320000006</v>
      </c>
      <c r="P162" s="626">
        <v>574.91253430000006</v>
      </c>
      <c r="Q162" s="626">
        <v>453.63657589999997</v>
      </c>
      <c r="R162" s="626">
        <v>2388.1117833</v>
      </c>
      <c r="S162" s="626">
        <v>1828.6861917</v>
      </c>
      <c r="T162" s="626">
        <v>3066.4603188</v>
      </c>
      <c r="U162" s="626">
        <v>2669.225067</v>
      </c>
      <c r="V162" s="626">
        <v>3339.731009</v>
      </c>
      <c r="W162" s="626">
        <v>2998.2324666</v>
      </c>
      <c r="X162" s="626">
        <v>4336.6339995</v>
      </c>
      <c r="Y162" s="626">
        <v>3677.0035469</v>
      </c>
      <c r="Z162" s="626">
        <v>636.1056574</v>
      </c>
      <c r="AA162" s="626">
        <v>569.9174473</v>
      </c>
      <c r="AB162" s="626">
        <v>2944.385947</v>
      </c>
      <c r="AC162" s="626">
        <v>2588.8565924</v>
      </c>
      <c r="AD162" s="626">
        <v>2128.3245698</v>
      </c>
      <c r="AE162" s="626">
        <v>1849.3135822000002</v>
      </c>
      <c r="AF162" s="626">
        <v>2753.1802571999997</v>
      </c>
      <c r="AG162" s="626">
        <v>1964.1098187</v>
      </c>
      <c r="AH162" s="625">
        <v>1.2429819775523274</v>
      </c>
      <c r="AI162" s="625">
        <v>0.23470880586492648</v>
      </c>
      <c r="AJ162" s="625">
        <v>0.34298329393982219</v>
      </c>
      <c r="AK162" s="625">
        <v>1.2673416669323021</v>
      </c>
      <c r="AL162" s="625">
        <v>1.3059166707217675</v>
      </c>
      <c r="AM162" s="625">
        <v>1.1488204410694556</v>
      </c>
      <c r="AN162" s="625">
        <v>1.1138999548129411</v>
      </c>
      <c r="AO162" s="625">
        <v>1.1793934773804704</v>
      </c>
      <c r="AP162" s="625">
        <v>1.1161364868939356</v>
      </c>
      <c r="AQ162" s="625">
        <v>1.1373306484315162</v>
      </c>
      <c r="AR162" s="625">
        <v>1.1508727293642389</v>
      </c>
      <c r="AS162" s="625">
        <v>1.4017445618159139</v>
      </c>
    </row>
    <row r="163">
      <c r="B163" s="623">
        <v>1800000</v>
      </c>
      <c r="C163" s="603" t="s">
        <v>77</v>
      </c>
      <c r="D163" s="0" t="s">
        <v>64</v>
      </c>
      <c r="E163" s="0" t="s">
        <v>74</v>
      </c>
      <c r="F163" s="625">
        <v>6.0067738746695669</v>
      </c>
      <c r="G163" s="625">
        <v>1.7451511094043233</v>
      </c>
      <c r="H163" s="624">
        <v>5.0915405867823109</v>
      </c>
      <c r="I163" s="624">
        <v>11.661767169370208</v>
      </c>
      <c r="J163" s="626">
        <v>1800</v>
      </c>
      <c r="K163" s="626">
        <v>1331.1271262</v>
      </c>
      <c r="L163" s="626">
        <v>810.87484790000008</v>
      </c>
      <c r="M163" s="626">
        <v>3491.3501776999997</v>
      </c>
      <c r="N163" s="626">
        <v>205.4062</v>
      </c>
      <c r="O163" s="626">
        <v>649.0143389</v>
      </c>
      <c r="P163" s="626">
        <v>597.9736199</v>
      </c>
      <c r="Q163" s="626">
        <v>473.76996779999996</v>
      </c>
      <c r="R163" s="626">
        <v>2306.0384286000003</v>
      </c>
      <c r="S163" s="626">
        <v>1978.7670422</v>
      </c>
      <c r="T163" s="626">
        <v>3213.3442914</v>
      </c>
      <c r="U163" s="626">
        <v>2806.5873635</v>
      </c>
      <c r="V163" s="626">
        <v>2887.3897367</v>
      </c>
      <c r="W163" s="626">
        <v>2651.4718805999996</v>
      </c>
      <c r="X163" s="626">
        <v>4880.8705015000005</v>
      </c>
      <c r="Y163" s="626">
        <v>4185.18567</v>
      </c>
      <c r="Z163" s="626">
        <v>663.5496455</v>
      </c>
      <c r="AA163" s="626">
        <v>587.6302624</v>
      </c>
      <c r="AB163" s="626">
        <v>2938.7397469000002</v>
      </c>
      <c r="AC163" s="626">
        <v>2575.9714158</v>
      </c>
      <c r="AD163" s="626">
        <v>1995.5103624</v>
      </c>
      <c r="AE163" s="626">
        <v>1706.8262602</v>
      </c>
      <c r="AF163" s="626">
        <v>3357.2213635</v>
      </c>
      <c r="AG163" s="626">
        <v>2407.9472061</v>
      </c>
      <c r="AH163" s="625">
        <v>1.3522374869749581</v>
      </c>
      <c r="AI163" s="625">
        <v>0.23225251166525782</v>
      </c>
      <c r="AJ163" s="625">
        <v>0.31648946360941621</v>
      </c>
      <c r="AK163" s="625">
        <v>1.2621602475718943</v>
      </c>
      <c r="AL163" s="625">
        <v>1.1653915693087262</v>
      </c>
      <c r="AM163" s="625">
        <v>1.1449293662349906</v>
      </c>
      <c r="AN163" s="625">
        <v>1.0889761863643006</v>
      </c>
      <c r="AO163" s="625">
        <v>1.1662255599381071</v>
      </c>
      <c r="AP163" s="625">
        <v>1.12919583610739</v>
      </c>
      <c r="AQ163" s="625">
        <v>1.1408277781555871</v>
      </c>
      <c r="AR163" s="625">
        <v>1.1691350250283406</v>
      </c>
      <c r="AS163" s="625">
        <v>1.3942254859571222</v>
      </c>
    </row>
    <row r="164">
      <c r="B164" s="623">
        <v>1800000</v>
      </c>
      <c r="C164" s="603" t="s">
        <v>78</v>
      </c>
      <c r="D164" s="0" t="s">
        <v>64</v>
      </c>
      <c r="E164" s="0" t="s">
        <v>74</v>
      </c>
      <c r="F164" s="625">
        <v>6.9077899558700011</v>
      </c>
      <c r="G164" s="625">
        <v>2.0069237758149718</v>
      </c>
      <c r="H164" s="624">
        <v>5.8552716747996572</v>
      </c>
      <c r="I164" s="624">
        <v>13.411032244775738</v>
      </c>
      <c r="J164" s="626">
        <v>2160</v>
      </c>
      <c r="K164" s="626">
        <v>1597.3525515000001</v>
      </c>
      <c r="L164" s="626">
        <v>973.0498174</v>
      </c>
      <c r="M164" s="626">
        <v>4189.6202132</v>
      </c>
      <c r="N164" s="626">
        <v>246.48744</v>
      </c>
      <c r="O164" s="626">
        <v>778.81720669999993</v>
      </c>
      <c r="P164" s="626">
        <v>657.7709819</v>
      </c>
      <c r="Q164" s="626">
        <v>521.1469646</v>
      </c>
      <c r="R164" s="626">
        <v>2536.6422715</v>
      </c>
      <c r="S164" s="626">
        <v>2176.6437464</v>
      </c>
      <c r="T164" s="626">
        <v>3534.6787204999996</v>
      </c>
      <c r="U164" s="626">
        <v>3087.2460999</v>
      </c>
      <c r="V164" s="626">
        <v>3176.1287104000003</v>
      </c>
      <c r="W164" s="626">
        <v>2916.6190686</v>
      </c>
      <c r="X164" s="626">
        <v>5368.9575515999995</v>
      </c>
      <c r="Y164" s="626">
        <v>4603.704237</v>
      </c>
      <c r="Z164" s="626">
        <v>729.90460999999993</v>
      </c>
      <c r="AA164" s="626">
        <v>646.3932886</v>
      </c>
      <c r="AB164" s="626">
        <v>3232.6137215999997</v>
      </c>
      <c r="AC164" s="626">
        <v>2833.5685574</v>
      </c>
      <c r="AD164" s="626">
        <v>2195.0613986999997</v>
      </c>
      <c r="AE164" s="626">
        <v>1877.5088862</v>
      </c>
      <c r="AF164" s="626">
        <v>3692.9434999</v>
      </c>
      <c r="AG164" s="626">
        <v>2648.7419267</v>
      </c>
      <c r="AH164" s="625">
        <v>1.3522374869749581</v>
      </c>
      <c r="AI164" s="625">
        <v>0.23225251166525782</v>
      </c>
      <c r="AJ164" s="625">
        <v>0.31648946360941621</v>
      </c>
      <c r="AK164" s="625">
        <v>1.2621602475718943</v>
      </c>
      <c r="AL164" s="625">
        <v>1.165391569308726</v>
      </c>
      <c r="AM164" s="625">
        <v>1.1449293662349906</v>
      </c>
      <c r="AN164" s="625">
        <v>1.0889761863643004</v>
      </c>
      <c r="AO164" s="625">
        <v>1.1662255599381071</v>
      </c>
      <c r="AP164" s="625">
        <v>1.12919583610739</v>
      </c>
      <c r="AQ164" s="625">
        <v>1.1408277781555871</v>
      </c>
      <c r="AR164" s="625">
        <v>1.1691350250283408</v>
      </c>
      <c r="AS164" s="625">
        <v>1.3942254859571226</v>
      </c>
    </row>
    <row r="165">
      <c r="B165" s="623">
        <v>1800000</v>
      </c>
      <c r="C165" s="603" t="s">
        <v>79</v>
      </c>
      <c r="D165" s="0" t="s">
        <v>64</v>
      </c>
      <c r="E165" s="0" t="s">
        <v>74</v>
      </c>
      <c r="F165" s="625">
        <v>7.8088060370704371</v>
      </c>
      <c r="G165" s="625">
        <v>2.2686964422256204</v>
      </c>
      <c r="H165" s="624">
        <v>6.6190027628170043</v>
      </c>
      <c r="I165" s="624">
        <v>15.16029732018127</v>
      </c>
      <c r="J165" s="626">
        <v>2340</v>
      </c>
      <c r="K165" s="626">
        <v>1730.4652641</v>
      </c>
      <c r="L165" s="626">
        <v>1054.1373022</v>
      </c>
      <c r="M165" s="626">
        <v>4538.755231</v>
      </c>
      <c r="N165" s="626">
        <v>267.02806</v>
      </c>
      <c r="O165" s="626">
        <v>843.71864060000007</v>
      </c>
      <c r="P165" s="626">
        <v>717.5683439</v>
      </c>
      <c r="Q165" s="626">
        <v>568.52396140000008</v>
      </c>
      <c r="R165" s="626">
        <v>2767.2461143</v>
      </c>
      <c r="S165" s="626">
        <v>2374.5204506</v>
      </c>
      <c r="T165" s="626">
        <v>3856.0131496999998</v>
      </c>
      <c r="U165" s="626">
        <v>3367.9048362</v>
      </c>
      <c r="V165" s="626">
        <v>3464.8676841</v>
      </c>
      <c r="W165" s="626">
        <v>3181.7662566999998</v>
      </c>
      <c r="X165" s="626">
        <v>5857.0446018</v>
      </c>
      <c r="Y165" s="626">
        <v>5022.2228039999991</v>
      </c>
      <c r="Z165" s="626">
        <v>796.25957460000006</v>
      </c>
      <c r="AA165" s="626">
        <v>705.1563149</v>
      </c>
      <c r="AB165" s="626">
        <v>3526.4876963</v>
      </c>
      <c r="AC165" s="626">
        <v>3091.165699</v>
      </c>
      <c r="AD165" s="626">
        <v>2394.6124349</v>
      </c>
      <c r="AE165" s="626">
        <v>2048.1915122</v>
      </c>
      <c r="AF165" s="626">
        <v>4028.6656362</v>
      </c>
      <c r="AG165" s="626">
        <v>2889.5366473</v>
      </c>
      <c r="AH165" s="625">
        <v>1.3522374869749581</v>
      </c>
      <c r="AI165" s="625">
        <v>0.23225251166525779</v>
      </c>
      <c r="AJ165" s="625">
        <v>0.31648946360941621</v>
      </c>
      <c r="AK165" s="625">
        <v>1.262160247571894</v>
      </c>
      <c r="AL165" s="625">
        <v>1.1653915693087262</v>
      </c>
      <c r="AM165" s="625">
        <v>1.1449293662349906</v>
      </c>
      <c r="AN165" s="625">
        <v>1.0889761863643004</v>
      </c>
      <c r="AO165" s="625">
        <v>1.1662255599381071</v>
      </c>
      <c r="AP165" s="625">
        <v>1.12919583610739</v>
      </c>
      <c r="AQ165" s="625">
        <v>1.1408277781555873</v>
      </c>
      <c r="AR165" s="625">
        <v>1.1691350250283406</v>
      </c>
      <c r="AS165" s="625">
        <v>1.3942254859571224</v>
      </c>
    </row>
    <row r="166">
      <c r="B166" s="623">
        <v>2034240</v>
      </c>
      <c r="C166" s="603" t="s">
        <v>77</v>
      </c>
      <c r="D166" s="0" t="s">
        <v>64</v>
      </c>
      <c r="E166" s="0" t="s">
        <v>74</v>
      </c>
      <c r="F166" s="625">
        <v>6.3333440591242525</v>
      </c>
      <c r="G166" s="625">
        <v>1.9681575394592055</v>
      </c>
      <c r="H166" s="624">
        <v>4.9307008157043537</v>
      </c>
      <c r="I166" s="624">
        <v>11.049935369313003</v>
      </c>
      <c r="J166" s="626">
        <v>2034.24</v>
      </c>
      <c r="K166" s="626">
        <v>1428.221</v>
      </c>
      <c r="L166" s="626">
        <v>894.856</v>
      </c>
      <c r="M166" s="626">
        <v>3877.689</v>
      </c>
      <c r="N166" s="626">
        <v>205.4062</v>
      </c>
      <c r="O166" s="626">
        <v>688.1584</v>
      </c>
      <c r="P166" s="626">
        <v>690.795</v>
      </c>
      <c r="Q166" s="626">
        <v>548.52336</v>
      </c>
      <c r="R166" s="626">
        <v>2552.7285</v>
      </c>
      <c r="S166" s="626">
        <v>2333.9232</v>
      </c>
      <c r="T166" s="626">
        <v>3727.08</v>
      </c>
      <c r="U166" s="626">
        <v>3261.195</v>
      </c>
      <c r="V166" s="626">
        <v>2968.812</v>
      </c>
      <c r="W166" s="626">
        <v>2770.8912</v>
      </c>
      <c r="X166" s="626">
        <v>5870.151</v>
      </c>
      <c r="Y166" s="626">
        <v>5060.475</v>
      </c>
      <c r="Z166" s="626">
        <v>767.7564609</v>
      </c>
      <c r="AA166" s="626">
        <v>675.6256856</v>
      </c>
      <c r="AB166" s="626">
        <v>3317.4939518</v>
      </c>
      <c r="AC166" s="626">
        <v>2902.8072079</v>
      </c>
      <c r="AD166" s="626">
        <v>2168.775</v>
      </c>
      <c r="AE166" s="626">
        <v>1836.2295</v>
      </c>
      <c r="AF166" s="626">
        <v>4187.1371835</v>
      </c>
      <c r="AG166" s="626">
        <v>3010.0915957999996</v>
      </c>
      <c r="AH166" s="625">
        <v>1.4243173850545539</v>
      </c>
      <c r="AI166" s="625">
        <v>0.23077044084762857</v>
      </c>
      <c r="AJ166" s="625">
        <v>0.29848680187584725</v>
      </c>
      <c r="AK166" s="625">
        <v>1.2593720712277414</v>
      </c>
      <c r="AL166" s="625">
        <v>1.0937500000000002</v>
      </c>
      <c r="AM166" s="625">
        <v>1.1428571428571428</v>
      </c>
      <c r="AN166" s="625">
        <v>1.0714285714285712</v>
      </c>
      <c r="AO166" s="625">
        <v>1.16</v>
      </c>
      <c r="AP166" s="625">
        <v>1.1363636363636365</v>
      </c>
      <c r="AQ166" s="625">
        <v>1.1428571428571432</v>
      </c>
      <c r="AR166" s="625">
        <v>1.1811023622047245</v>
      </c>
      <c r="AS166" s="625">
        <v>1.3910331463918984</v>
      </c>
    </row>
    <row r="167">
      <c r="B167" s="623">
        <v>2034240</v>
      </c>
      <c r="C167" s="603" t="s">
        <v>78</v>
      </c>
      <c r="D167" s="0" t="s">
        <v>64</v>
      </c>
      <c r="E167" s="0" t="s">
        <v>74</v>
      </c>
      <c r="F167" s="625">
        <v>7.28334566799289</v>
      </c>
      <c r="G167" s="625">
        <v>2.2633811703780862</v>
      </c>
      <c r="H167" s="624">
        <v>5.6703059380600065</v>
      </c>
      <c r="I167" s="624">
        <v>12.707425674709953</v>
      </c>
      <c r="J167" s="626">
        <v>2441.088</v>
      </c>
      <c r="K167" s="626">
        <v>1713.8652</v>
      </c>
      <c r="L167" s="626">
        <v>1073.8272</v>
      </c>
      <c r="M167" s="626">
        <v>4653.2267999999995</v>
      </c>
      <c r="N167" s="626">
        <v>246.48744</v>
      </c>
      <c r="O167" s="626">
        <v>825.79008</v>
      </c>
      <c r="P167" s="626">
        <v>759.8745</v>
      </c>
      <c r="Q167" s="626">
        <v>603.375696</v>
      </c>
      <c r="R167" s="626">
        <v>2808.00135</v>
      </c>
      <c r="S167" s="626">
        <v>2567.31552</v>
      </c>
      <c r="T167" s="626">
        <v>4099.788</v>
      </c>
      <c r="U167" s="626">
        <v>3587.3145</v>
      </c>
      <c r="V167" s="626">
        <v>3265.6932</v>
      </c>
      <c r="W167" s="626">
        <v>3047.9803199999997</v>
      </c>
      <c r="X167" s="626">
        <v>6457.1660999999995</v>
      </c>
      <c r="Y167" s="626">
        <v>5566.5225</v>
      </c>
      <c r="Z167" s="626">
        <v>844.532107</v>
      </c>
      <c r="AA167" s="626">
        <v>743.1882542</v>
      </c>
      <c r="AB167" s="626">
        <v>3649.243347</v>
      </c>
      <c r="AC167" s="626">
        <v>3193.0879286000004</v>
      </c>
      <c r="AD167" s="626">
        <v>2385.6525</v>
      </c>
      <c r="AE167" s="626">
        <v>2019.8524499999999</v>
      </c>
      <c r="AF167" s="626">
        <v>4605.8509018</v>
      </c>
      <c r="AG167" s="626">
        <v>3311.1007554000003</v>
      </c>
      <c r="AH167" s="625">
        <v>1.4243173850545539</v>
      </c>
      <c r="AI167" s="625">
        <v>0.23077044084762857</v>
      </c>
      <c r="AJ167" s="625">
        <v>0.29848680187584725</v>
      </c>
      <c r="AK167" s="625">
        <v>1.2593720712277412</v>
      </c>
      <c r="AL167" s="625">
        <v>1.09375</v>
      </c>
      <c r="AM167" s="625">
        <v>1.142857142857143</v>
      </c>
      <c r="AN167" s="625">
        <v>1.0714285714285712</v>
      </c>
      <c r="AO167" s="625">
        <v>1.16</v>
      </c>
      <c r="AP167" s="625">
        <v>1.1363636363636365</v>
      </c>
      <c r="AQ167" s="625">
        <v>1.1428571428571432</v>
      </c>
      <c r="AR167" s="625">
        <v>1.1811023622047245</v>
      </c>
      <c r="AS167" s="625">
        <v>1.3910331463918984</v>
      </c>
    </row>
    <row r="168">
      <c r="B168" s="623">
        <v>2034240</v>
      </c>
      <c r="C168" s="603" t="s">
        <v>79</v>
      </c>
      <c r="D168" s="0" t="s">
        <v>64</v>
      </c>
      <c r="E168" s="0" t="s">
        <v>74</v>
      </c>
      <c r="F168" s="625">
        <v>8.23334727686153</v>
      </c>
      <c r="G168" s="625">
        <v>2.5586048012969673</v>
      </c>
      <c r="H168" s="624">
        <v>6.40991106041566</v>
      </c>
      <c r="I168" s="624">
        <v>14.364915980106906</v>
      </c>
      <c r="J168" s="626">
        <v>2644.512</v>
      </c>
      <c r="K168" s="626">
        <v>1856.6873</v>
      </c>
      <c r="L168" s="626">
        <v>1163.3128000000002</v>
      </c>
      <c r="M168" s="626">
        <v>5040.9957</v>
      </c>
      <c r="N168" s="626">
        <v>267.02806</v>
      </c>
      <c r="O168" s="626">
        <v>894.60592000000008</v>
      </c>
      <c r="P168" s="626">
        <v>828.954</v>
      </c>
      <c r="Q168" s="626">
        <v>658.228032</v>
      </c>
      <c r="R168" s="626">
        <v>3063.2742000000003</v>
      </c>
      <c r="S168" s="626">
        <v>2800.70784</v>
      </c>
      <c r="T168" s="626">
        <v>4472.496</v>
      </c>
      <c r="U168" s="626">
        <v>3913.434</v>
      </c>
      <c r="V168" s="626">
        <v>3562.5744</v>
      </c>
      <c r="W168" s="626">
        <v>3325.0694399999998</v>
      </c>
      <c r="X168" s="626">
        <v>7044.1812</v>
      </c>
      <c r="Y168" s="626">
        <v>6072.57</v>
      </c>
      <c r="Z168" s="626">
        <v>921.3077531</v>
      </c>
      <c r="AA168" s="626">
        <v>810.75082270000007</v>
      </c>
      <c r="AB168" s="626">
        <v>3980.9927422</v>
      </c>
      <c r="AC168" s="626">
        <v>3483.3686494</v>
      </c>
      <c r="AD168" s="626">
        <v>2602.53</v>
      </c>
      <c r="AE168" s="626">
        <v>2203.4754</v>
      </c>
      <c r="AF168" s="626">
        <v>5024.5646202</v>
      </c>
      <c r="AG168" s="626">
        <v>3612.109915</v>
      </c>
      <c r="AH168" s="625">
        <v>1.4243173850545539</v>
      </c>
      <c r="AI168" s="625">
        <v>0.23077044084762857</v>
      </c>
      <c r="AJ168" s="625">
        <v>0.29848680187584725</v>
      </c>
      <c r="AK168" s="625">
        <v>1.2593720712277414</v>
      </c>
      <c r="AL168" s="625">
        <v>1.09375</v>
      </c>
      <c r="AM168" s="625">
        <v>1.1428571428571428</v>
      </c>
      <c r="AN168" s="625">
        <v>1.0714285714285712</v>
      </c>
      <c r="AO168" s="625">
        <v>1.16</v>
      </c>
      <c r="AP168" s="625">
        <v>1.1363636363636365</v>
      </c>
      <c r="AQ168" s="625">
        <v>1.1428571428571432</v>
      </c>
      <c r="AR168" s="625">
        <v>1.1811023622047245</v>
      </c>
      <c r="AS168" s="625">
        <v>1.3910331463918984</v>
      </c>
    </row>
    <row r="169">
      <c r="B169" s="623">
        <v>2200000</v>
      </c>
      <c r="C169" s="603" t="s">
        <v>77</v>
      </c>
      <c r="D169" s="0" t="s">
        <v>64</v>
      </c>
      <c r="E169" s="0" t="s">
        <v>74</v>
      </c>
      <c r="F169" s="625">
        <v>6.8494164553215731</v>
      </c>
      <c r="G169" s="625">
        <v>2.1285328116693467</v>
      </c>
      <c r="H169" s="624">
        <v>4.9307008157043528</v>
      </c>
      <c r="I169" s="624">
        <v>11.049935369313003</v>
      </c>
      <c r="J169" s="626">
        <v>2200</v>
      </c>
      <c r="K169" s="626">
        <v>1544.5995556</v>
      </c>
      <c r="L169" s="626">
        <v>967.7733207</v>
      </c>
      <c r="M169" s="626">
        <v>4193.6623997</v>
      </c>
      <c r="N169" s="626">
        <v>222.1437195</v>
      </c>
      <c r="O169" s="626">
        <v>744.2329715</v>
      </c>
      <c r="P169" s="626">
        <v>747.0844148</v>
      </c>
      <c r="Q169" s="626">
        <v>593.2197735</v>
      </c>
      <c r="R169" s="626">
        <v>2760.7375236</v>
      </c>
      <c r="S169" s="626">
        <v>2524.1028786999996</v>
      </c>
      <c r="T169" s="626">
        <v>4030.7810288</v>
      </c>
      <c r="U169" s="626">
        <v>3526.9334002</v>
      </c>
      <c r="V169" s="626">
        <v>3210.7255781</v>
      </c>
      <c r="W169" s="626">
        <v>2996.6772062</v>
      </c>
      <c r="X169" s="626">
        <v>6348.4801203</v>
      </c>
      <c r="Y169" s="626">
        <v>5472.8276898999993</v>
      </c>
      <c r="Z169" s="626">
        <v>830.31707860000006</v>
      </c>
      <c r="AA169" s="626">
        <v>730.6790292</v>
      </c>
      <c r="AB169" s="626">
        <v>3587.8198708</v>
      </c>
      <c r="AC169" s="626">
        <v>3139.342387</v>
      </c>
      <c r="AD169" s="626">
        <v>2345.4975814</v>
      </c>
      <c r="AE169" s="626">
        <v>1985.8546188999999</v>
      </c>
      <c r="AF169" s="626">
        <v>4528.3259614000008</v>
      </c>
      <c r="AG169" s="626">
        <v>3255.3688409</v>
      </c>
      <c r="AH169" s="625">
        <v>1.4243173850545541</v>
      </c>
      <c r="AI169" s="625">
        <v>0.23077044084762857</v>
      </c>
      <c r="AJ169" s="625">
        <v>0.29848680187584725</v>
      </c>
      <c r="AK169" s="625">
        <v>1.2593720712277414</v>
      </c>
      <c r="AL169" s="625">
        <v>1.09375</v>
      </c>
      <c r="AM169" s="625">
        <v>1.142857142857143</v>
      </c>
      <c r="AN169" s="625">
        <v>1.0714285714285712</v>
      </c>
      <c r="AO169" s="625">
        <v>1.16</v>
      </c>
      <c r="AP169" s="625">
        <v>1.1363636363636362</v>
      </c>
      <c r="AQ169" s="625">
        <v>1.1428571428571432</v>
      </c>
      <c r="AR169" s="625">
        <v>1.1811023622047245</v>
      </c>
      <c r="AS169" s="625">
        <v>1.3910331463918984</v>
      </c>
    </row>
    <row r="170">
      <c r="B170" s="623">
        <v>2200000</v>
      </c>
      <c r="C170" s="603" t="s">
        <v>78</v>
      </c>
      <c r="D170" s="0" t="s">
        <v>64</v>
      </c>
      <c r="E170" s="0" t="s">
        <v>74</v>
      </c>
      <c r="F170" s="625">
        <v>7.8768289236198088</v>
      </c>
      <c r="G170" s="625">
        <v>2.4478127334197488</v>
      </c>
      <c r="H170" s="624">
        <v>5.6703059380600056</v>
      </c>
      <c r="I170" s="624">
        <v>12.707425674709953</v>
      </c>
      <c r="J170" s="626">
        <v>2640</v>
      </c>
      <c r="K170" s="626">
        <v>1853.5194667</v>
      </c>
      <c r="L170" s="626">
        <v>1161.3279849</v>
      </c>
      <c r="M170" s="626">
        <v>5032.3948797</v>
      </c>
      <c r="N170" s="626">
        <v>266.5724634</v>
      </c>
      <c r="O170" s="626">
        <v>893.0795658</v>
      </c>
      <c r="P170" s="626">
        <v>821.7928563</v>
      </c>
      <c r="Q170" s="626">
        <v>652.5417508</v>
      </c>
      <c r="R170" s="626">
        <v>3036.811276</v>
      </c>
      <c r="S170" s="626">
        <v>2776.5131666</v>
      </c>
      <c r="T170" s="626">
        <v>4433.8591317</v>
      </c>
      <c r="U170" s="626">
        <v>3879.6267402</v>
      </c>
      <c r="V170" s="626">
        <v>3531.7981359</v>
      </c>
      <c r="W170" s="626">
        <v>3296.3449269</v>
      </c>
      <c r="X170" s="626">
        <v>6983.3281324</v>
      </c>
      <c r="Y170" s="626">
        <v>6020.1104589</v>
      </c>
      <c r="Z170" s="626">
        <v>913.34878650000007</v>
      </c>
      <c r="AA170" s="626">
        <v>803.7469321</v>
      </c>
      <c r="AB170" s="626">
        <v>3946.6018579</v>
      </c>
      <c r="AC170" s="626">
        <v>3453.2766257000003</v>
      </c>
      <c r="AD170" s="626">
        <v>2580.0473395</v>
      </c>
      <c r="AE170" s="626">
        <v>2184.4400808</v>
      </c>
      <c r="AF170" s="626">
        <v>4981.1585575</v>
      </c>
      <c r="AG170" s="626">
        <v>3580.905725</v>
      </c>
      <c r="AH170" s="625">
        <v>1.4243173850545541</v>
      </c>
      <c r="AI170" s="625">
        <v>0.23077044084762854</v>
      </c>
      <c r="AJ170" s="625">
        <v>0.29848680187584725</v>
      </c>
      <c r="AK170" s="625">
        <v>1.2593720712277412</v>
      </c>
      <c r="AL170" s="625">
        <v>1.09375</v>
      </c>
      <c r="AM170" s="625">
        <v>1.1428571428571428</v>
      </c>
      <c r="AN170" s="625">
        <v>1.0714285714285714</v>
      </c>
      <c r="AO170" s="625">
        <v>1.16</v>
      </c>
      <c r="AP170" s="625">
        <v>1.1363636363636362</v>
      </c>
      <c r="AQ170" s="625">
        <v>1.1428571428571435</v>
      </c>
      <c r="AR170" s="625">
        <v>1.1811023622047245</v>
      </c>
      <c r="AS170" s="625">
        <v>1.3910331463918986</v>
      </c>
    </row>
    <row r="171">
      <c r="B171" s="623">
        <v>2200000</v>
      </c>
      <c r="C171" s="603" t="s">
        <v>79</v>
      </c>
      <c r="D171" s="0" t="s">
        <v>64</v>
      </c>
      <c r="E171" s="0" t="s">
        <v>74</v>
      </c>
      <c r="F171" s="625">
        <v>8.9042413919180454</v>
      </c>
      <c r="G171" s="625">
        <v>2.7670926551701509</v>
      </c>
      <c r="H171" s="624">
        <v>6.4099110604156593</v>
      </c>
      <c r="I171" s="624">
        <v>14.364915980106906</v>
      </c>
      <c r="J171" s="626">
        <v>2860</v>
      </c>
      <c r="K171" s="626">
        <v>2007.9794223</v>
      </c>
      <c r="L171" s="626">
        <v>1258.105317</v>
      </c>
      <c r="M171" s="626">
        <v>5451.7611196</v>
      </c>
      <c r="N171" s="626">
        <v>288.7868354</v>
      </c>
      <c r="O171" s="626">
        <v>967.502863</v>
      </c>
      <c r="P171" s="626">
        <v>896.5012978</v>
      </c>
      <c r="Q171" s="626">
        <v>711.8637282</v>
      </c>
      <c r="R171" s="626">
        <v>3312.8850282999997</v>
      </c>
      <c r="S171" s="626">
        <v>3028.9234545</v>
      </c>
      <c r="T171" s="626">
        <v>4836.9372345</v>
      </c>
      <c r="U171" s="626">
        <v>4232.3200802</v>
      </c>
      <c r="V171" s="626">
        <v>3852.8706937</v>
      </c>
      <c r="W171" s="626">
        <v>3596.0126475</v>
      </c>
      <c r="X171" s="626">
        <v>7618.1761443999994</v>
      </c>
      <c r="Y171" s="626">
        <v>6567.3932279</v>
      </c>
      <c r="Z171" s="626">
        <v>996.3804943</v>
      </c>
      <c r="AA171" s="626">
        <v>876.814835</v>
      </c>
      <c r="AB171" s="626">
        <v>4305.3838449999994</v>
      </c>
      <c r="AC171" s="626">
        <v>3767.2108644</v>
      </c>
      <c r="AD171" s="626">
        <v>2814.5970976999997</v>
      </c>
      <c r="AE171" s="626">
        <v>2383.0255427</v>
      </c>
      <c r="AF171" s="626">
        <v>5433.9911537</v>
      </c>
      <c r="AG171" s="626">
        <v>3906.442609</v>
      </c>
      <c r="AH171" s="625">
        <v>1.4243173850545539</v>
      </c>
      <c r="AI171" s="625">
        <v>0.23077044084762857</v>
      </c>
      <c r="AJ171" s="625">
        <v>0.29848680187584725</v>
      </c>
      <c r="AK171" s="625">
        <v>1.2593720712277414</v>
      </c>
      <c r="AL171" s="625">
        <v>1.09375</v>
      </c>
      <c r="AM171" s="625">
        <v>1.1428571428571426</v>
      </c>
      <c r="AN171" s="625">
        <v>1.0714285714285712</v>
      </c>
      <c r="AO171" s="625">
        <v>1.16</v>
      </c>
      <c r="AP171" s="625">
        <v>1.1363636363636362</v>
      </c>
      <c r="AQ171" s="625">
        <v>1.1428571428571432</v>
      </c>
      <c r="AR171" s="625">
        <v>1.1811023622047248</v>
      </c>
      <c r="AS171" s="625">
        <v>1.3910331463918986</v>
      </c>
    </row>
    <row r="172">
      <c r="B172" s="623">
        <v>600001</v>
      </c>
      <c r="C172" s="603" t="s">
        <v>77</v>
      </c>
      <c r="D172" s="0" t="s">
        <v>64</v>
      </c>
      <c r="E172" s="0" t="s">
        <v>75</v>
      </c>
      <c r="F172" s="625">
        <v>3.4502106240681338</v>
      </c>
      <c r="G172" s="625">
        <v>0.5358449706616274</v>
      </c>
      <c r="H172" s="624">
        <v>6.2388990842520551</v>
      </c>
      <c r="I172" s="624">
        <v>19.73484008761314</v>
      </c>
      <c r="J172" s="626">
        <v>600.001</v>
      </c>
      <c r="K172" s="626">
        <v>858.4606922</v>
      </c>
      <c r="L172" s="626">
        <v>358.2406927</v>
      </c>
      <c r="M172" s="626">
        <v>1175.7521359999998</v>
      </c>
      <c r="N172" s="626">
        <v>184.2486551</v>
      </c>
      <c r="O172" s="626">
        <v>381.6353122</v>
      </c>
      <c r="P172" s="626">
        <v>205.4732084</v>
      </c>
      <c r="Q172" s="626">
        <v>132.8852542</v>
      </c>
      <c r="R172" s="626">
        <v>948.8866914</v>
      </c>
      <c r="S172" s="626">
        <v>650.63964839999994</v>
      </c>
      <c r="T172" s="626">
        <v>927.4832322</v>
      </c>
      <c r="U172" s="626">
        <v>664.8710009</v>
      </c>
      <c r="V172" s="626">
        <v>1598.1249539</v>
      </c>
      <c r="W172" s="626">
        <v>1120.7190116000002</v>
      </c>
      <c r="X172" s="626">
        <v>1012.1458041</v>
      </c>
      <c r="Y172" s="626">
        <v>622.62167310000007</v>
      </c>
      <c r="Z172" s="626">
        <v>197.0664219</v>
      </c>
      <c r="AA172" s="626">
        <v>138.19700709999998</v>
      </c>
      <c r="AB172" s="626">
        <v>955.5100061</v>
      </c>
      <c r="AC172" s="626">
        <v>627.659943</v>
      </c>
      <c r="AD172" s="626">
        <v>841.8693953</v>
      </c>
      <c r="AE172" s="626">
        <v>593.71423829999992</v>
      </c>
      <c r="AF172" s="626">
        <v>727.7107638</v>
      </c>
      <c r="AG172" s="626">
        <v>405.0182446</v>
      </c>
      <c r="AH172" s="625">
        <v>0.69892658501900129</v>
      </c>
      <c r="AI172" s="625">
        <v>0.30469065866147471</v>
      </c>
      <c r="AJ172" s="625">
        <v>0.48278722964362553</v>
      </c>
      <c r="AK172" s="625">
        <v>1.5462453644339014</v>
      </c>
      <c r="AL172" s="625">
        <v>1.4583905141819755</v>
      </c>
      <c r="AM172" s="625">
        <v>1.394982230956672</v>
      </c>
      <c r="AN172" s="625">
        <v>1.4259818360890426</v>
      </c>
      <c r="AO172" s="625">
        <v>1.6256192931415092</v>
      </c>
      <c r="AP172" s="625">
        <v>1.4259818360890426</v>
      </c>
      <c r="AQ172" s="625">
        <v>1.5223370818363748</v>
      </c>
      <c r="AR172" s="625">
        <v>1.4179707021784296</v>
      </c>
      <c r="AS172" s="625">
        <v>1.796735760623547</v>
      </c>
    </row>
    <row r="173">
      <c r="B173" s="623">
        <v>600001</v>
      </c>
      <c r="C173" s="603" t="s">
        <v>78</v>
      </c>
      <c r="D173" s="0" t="s">
        <v>64</v>
      </c>
      <c r="E173" s="0" t="s">
        <v>75</v>
      </c>
      <c r="F173" s="625">
        <v>3.9677422176783534</v>
      </c>
      <c r="G173" s="625">
        <v>0.61622171626087141</v>
      </c>
      <c r="H173" s="624">
        <v>7.1747339468898623</v>
      </c>
      <c r="I173" s="624">
        <v>22.69506610075511</v>
      </c>
      <c r="J173" s="626">
        <v>720.00119999999993</v>
      </c>
      <c r="K173" s="626">
        <v>1030.1528307</v>
      </c>
      <c r="L173" s="626">
        <v>429.8888313</v>
      </c>
      <c r="M173" s="626">
        <v>1410.9025632</v>
      </c>
      <c r="N173" s="626">
        <v>221.0983861</v>
      </c>
      <c r="O173" s="626">
        <v>457.9623746</v>
      </c>
      <c r="P173" s="626">
        <v>226.0205292</v>
      </c>
      <c r="Q173" s="626">
        <v>146.1737797</v>
      </c>
      <c r="R173" s="626">
        <v>1043.7753605</v>
      </c>
      <c r="S173" s="626">
        <v>715.70361320000006</v>
      </c>
      <c r="T173" s="626">
        <v>1020.2315553999999</v>
      </c>
      <c r="U173" s="626">
        <v>731.358101</v>
      </c>
      <c r="V173" s="626">
        <v>1757.9374493</v>
      </c>
      <c r="W173" s="626">
        <v>1232.7909127</v>
      </c>
      <c r="X173" s="626">
        <v>1113.3603845</v>
      </c>
      <c r="Y173" s="626">
        <v>684.88384039999994</v>
      </c>
      <c r="Z173" s="626">
        <v>216.773064</v>
      </c>
      <c r="AA173" s="626">
        <v>152.0167078</v>
      </c>
      <c r="AB173" s="626">
        <v>1051.0610067</v>
      </c>
      <c r="AC173" s="626">
        <v>690.4259373</v>
      </c>
      <c r="AD173" s="626">
        <v>926.0563349</v>
      </c>
      <c r="AE173" s="626">
        <v>653.08566209999992</v>
      </c>
      <c r="AF173" s="626">
        <v>800.4818402</v>
      </c>
      <c r="AG173" s="626">
        <v>445.5200691</v>
      </c>
      <c r="AH173" s="625">
        <v>0.69892658501900129</v>
      </c>
      <c r="AI173" s="625">
        <v>0.30469065866147471</v>
      </c>
      <c r="AJ173" s="625">
        <v>0.48278722964362558</v>
      </c>
      <c r="AK173" s="625">
        <v>1.5462453644339016</v>
      </c>
      <c r="AL173" s="625">
        <v>1.4583905141819755</v>
      </c>
      <c r="AM173" s="625">
        <v>1.394982230956672</v>
      </c>
      <c r="AN173" s="625">
        <v>1.4259818360890426</v>
      </c>
      <c r="AO173" s="625">
        <v>1.6256192931415088</v>
      </c>
      <c r="AP173" s="625">
        <v>1.4259818360890426</v>
      </c>
      <c r="AQ173" s="625">
        <v>1.5223370818363744</v>
      </c>
      <c r="AR173" s="625">
        <v>1.4179707021784298</v>
      </c>
      <c r="AS173" s="625">
        <v>1.796735760623547</v>
      </c>
    </row>
    <row r="174">
      <c r="B174" s="623">
        <v>600001</v>
      </c>
      <c r="C174" s="603" t="s">
        <v>79</v>
      </c>
      <c r="D174" s="0" t="s">
        <v>64</v>
      </c>
      <c r="E174" s="0" t="s">
        <v>75</v>
      </c>
      <c r="F174" s="625">
        <v>4.4852738112885744</v>
      </c>
      <c r="G174" s="625">
        <v>0.69659846186011576</v>
      </c>
      <c r="H174" s="624">
        <v>8.1105688095276722</v>
      </c>
      <c r="I174" s="624">
        <v>25.655292113897087</v>
      </c>
      <c r="J174" s="626">
        <v>780.0013</v>
      </c>
      <c r="K174" s="626">
        <v>1115.9988999</v>
      </c>
      <c r="L174" s="626">
        <v>465.7129006</v>
      </c>
      <c r="M174" s="626">
        <v>1528.4777768000001</v>
      </c>
      <c r="N174" s="626">
        <v>239.52325159999998</v>
      </c>
      <c r="O174" s="626">
        <v>496.1259059</v>
      </c>
      <c r="P174" s="626">
        <v>246.56785</v>
      </c>
      <c r="Q174" s="626">
        <v>159.4623051</v>
      </c>
      <c r="R174" s="626">
        <v>1138.6640296</v>
      </c>
      <c r="S174" s="626">
        <v>780.7675781</v>
      </c>
      <c r="T174" s="626">
        <v>1112.9798786</v>
      </c>
      <c r="U174" s="626">
        <v>797.84520109999994</v>
      </c>
      <c r="V174" s="626">
        <v>1917.7499446</v>
      </c>
      <c r="W174" s="626">
        <v>1344.8628139</v>
      </c>
      <c r="X174" s="626">
        <v>1214.5749649</v>
      </c>
      <c r="Y174" s="626">
        <v>747.14600769999993</v>
      </c>
      <c r="Z174" s="626">
        <v>236.47970619999998</v>
      </c>
      <c r="AA174" s="626">
        <v>165.8364085</v>
      </c>
      <c r="AB174" s="626">
        <v>1146.6120073</v>
      </c>
      <c r="AC174" s="626">
        <v>753.19193169999994</v>
      </c>
      <c r="AD174" s="626">
        <v>1010.2432744</v>
      </c>
      <c r="AE174" s="626">
        <v>712.45708589999992</v>
      </c>
      <c r="AF174" s="626">
        <v>873.2529166</v>
      </c>
      <c r="AG174" s="626">
        <v>486.02189350000003</v>
      </c>
      <c r="AH174" s="625">
        <v>0.69892658501900129</v>
      </c>
      <c r="AI174" s="625">
        <v>0.30469065866147466</v>
      </c>
      <c r="AJ174" s="625">
        <v>0.48278722964362553</v>
      </c>
      <c r="AK174" s="625">
        <v>1.5462453644339016</v>
      </c>
      <c r="AL174" s="625">
        <v>1.4583905141819755</v>
      </c>
      <c r="AM174" s="625">
        <v>1.394982230956672</v>
      </c>
      <c r="AN174" s="625">
        <v>1.4259818360890426</v>
      </c>
      <c r="AO174" s="625">
        <v>1.625619293141509</v>
      </c>
      <c r="AP174" s="625">
        <v>1.4259818360890424</v>
      </c>
      <c r="AQ174" s="625">
        <v>1.5223370818363746</v>
      </c>
      <c r="AR174" s="625">
        <v>1.4179707021784296</v>
      </c>
      <c r="AS174" s="625">
        <v>1.7967357606235468</v>
      </c>
    </row>
    <row r="175">
      <c r="B175" s="623">
        <v>668900</v>
      </c>
      <c r="C175" s="603" t="s">
        <v>77</v>
      </c>
      <c r="D175" s="0" t="s">
        <v>64</v>
      </c>
      <c r="E175" s="0" t="s">
        <v>75</v>
      </c>
      <c r="F175" s="625">
        <v>3.8464034000596268</v>
      </c>
      <c r="G175" s="625">
        <v>0.597376839164539</v>
      </c>
      <c r="H175" s="624">
        <v>6.2388990842520533</v>
      </c>
      <c r="I175" s="624">
        <v>18.186370481965483</v>
      </c>
      <c r="J175" s="626">
        <v>668.9</v>
      </c>
      <c r="K175" s="626">
        <v>957.039</v>
      </c>
      <c r="L175" s="626">
        <v>399.378</v>
      </c>
      <c r="M175" s="626">
        <v>1682.215</v>
      </c>
      <c r="N175" s="626">
        <v>205.4062</v>
      </c>
      <c r="O175" s="626">
        <v>546.0272</v>
      </c>
      <c r="P175" s="626">
        <v>229.068</v>
      </c>
      <c r="Q175" s="626">
        <v>190.12644</v>
      </c>
      <c r="R175" s="626">
        <v>1057.84875</v>
      </c>
      <c r="S175" s="626">
        <v>930.90690000000006</v>
      </c>
      <c r="T175" s="626">
        <v>1033.9875</v>
      </c>
      <c r="U175" s="626">
        <v>951.2685</v>
      </c>
      <c r="V175" s="626">
        <v>1781.64</v>
      </c>
      <c r="W175" s="626">
        <v>1603.476</v>
      </c>
      <c r="X175" s="626">
        <v>1128.372</v>
      </c>
      <c r="Y175" s="626">
        <v>890.82</v>
      </c>
      <c r="Z175" s="626">
        <v>219.6958498</v>
      </c>
      <c r="AA175" s="626">
        <v>197.7262648</v>
      </c>
      <c r="AB175" s="626">
        <v>1065.2326297</v>
      </c>
      <c r="AC175" s="626">
        <v>898.0285374</v>
      </c>
      <c r="AD175" s="626">
        <v>938.5425</v>
      </c>
      <c r="AE175" s="626">
        <v>849.4605</v>
      </c>
      <c r="AF175" s="626">
        <v>811.2748644</v>
      </c>
      <c r="AG175" s="626">
        <v>579.4824823</v>
      </c>
      <c r="AH175" s="625">
        <v>0.69892658501900129</v>
      </c>
      <c r="AI175" s="625">
        <v>0.23741198360494942</v>
      </c>
      <c r="AJ175" s="625">
        <v>0.37618309124527138</v>
      </c>
      <c r="AK175" s="625">
        <v>1.2048192771084336</v>
      </c>
      <c r="AL175" s="625">
        <v>1.1363636363636362</v>
      </c>
      <c r="AM175" s="625">
        <v>1.0869565217391304</v>
      </c>
      <c r="AN175" s="625">
        <v>1.1111111111111112</v>
      </c>
      <c r="AO175" s="625">
        <v>1.2666666666666668</v>
      </c>
      <c r="AP175" s="625">
        <v>1.1111111111111112</v>
      </c>
      <c r="AQ175" s="625">
        <v>1.1861901769548482</v>
      </c>
      <c r="AR175" s="625">
        <v>1.1048689138576779</v>
      </c>
      <c r="AS175" s="625">
        <v>1.3999989458735556</v>
      </c>
    </row>
    <row r="176">
      <c r="B176" s="623">
        <v>668900</v>
      </c>
      <c r="C176" s="603" t="s">
        <v>78</v>
      </c>
      <c r="D176" s="0" t="s">
        <v>64</v>
      </c>
      <c r="E176" s="0" t="s">
        <v>75</v>
      </c>
      <c r="F176" s="625">
        <v>4.42336391006857</v>
      </c>
      <c r="G176" s="625">
        <v>0.68698336503921975</v>
      </c>
      <c r="H176" s="624">
        <v>7.1747339468898605</v>
      </c>
      <c r="I176" s="624">
        <v>20.914326054260304</v>
      </c>
      <c r="J176" s="626">
        <v>802.68</v>
      </c>
      <c r="K176" s="626">
        <v>1148.4468</v>
      </c>
      <c r="L176" s="626">
        <v>479.25359999999995</v>
      </c>
      <c r="M176" s="626">
        <v>2018.658</v>
      </c>
      <c r="N176" s="626">
        <v>246.48744</v>
      </c>
      <c r="O176" s="626">
        <v>655.23264000000006</v>
      </c>
      <c r="P176" s="626">
        <v>251.9748</v>
      </c>
      <c r="Q176" s="626">
        <v>209.139084</v>
      </c>
      <c r="R176" s="626">
        <v>1163.633625</v>
      </c>
      <c r="S176" s="626">
        <v>1023.99759</v>
      </c>
      <c r="T176" s="626">
        <v>1137.38625</v>
      </c>
      <c r="U176" s="626">
        <v>1046.39535</v>
      </c>
      <c r="V176" s="626">
        <v>1959.804</v>
      </c>
      <c r="W176" s="626">
        <v>1763.8236000000002</v>
      </c>
      <c r="X176" s="626">
        <v>1241.2092</v>
      </c>
      <c r="Y176" s="626">
        <v>979.902</v>
      </c>
      <c r="Z176" s="626">
        <v>241.66543479999999</v>
      </c>
      <c r="AA176" s="626">
        <v>217.4988913</v>
      </c>
      <c r="AB176" s="626">
        <v>1171.7558927</v>
      </c>
      <c r="AC176" s="626">
        <v>987.8313912</v>
      </c>
      <c r="AD176" s="626">
        <v>1032.39675</v>
      </c>
      <c r="AE176" s="626">
        <v>934.40655</v>
      </c>
      <c r="AF176" s="626">
        <v>892.4023508</v>
      </c>
      <c r="AG176" s="626">
        <v>637.43073060000006</v>
      </c>
      <c r="AH176" s="625">
        <v>0.69892658501900129</v>
      </c>
      <c r="AI176" s="625">
        <v>0.23741198360494942</v>
      </c>
      <c r="AJ176" s="625">
        <v>0.37618309124527138</v>
      </c>
      <c r="AK176" s="625">
        <v>1.2048192771084338</v>
      </c>
      <c r="AL176" s="625">
        <v>1.1363636363636365</v>
      </c>
      <c r="AM176" s="625">
        <v>1.0869565217391304</v>
      </c>
      <c r="AN176" s="625">
        <v>1.1111111111111114</v>
      </c>
      <c r="AO176" s="625">
        <v>1.2666666666666671</v>
      </c>
      <c r="AP176" s="625">
        <v>1.1111111111111112</v>
      </c>
      <c r="AQ176" s="625">
        <v>1.186190176954848</v>
      </c>
      <c r="AR176" s="625">
        <v>1.1048689138576779</v>
      </c>
      <c r="AS176" s="625">
        <v>1.3999989458735556</v>
      </c>
    </row>
    <row r="177">
      <c r="B177" s="623">
        <v>668900</v>
      </c>
      <c r="C177" s="603" t="s">
        <v>79</v>
      </c>
      <c r="D177" s="0" t="s">
        <v>64</v>
      </c>
      <c r="E177" s="0" t="s">
        <v>75</v>
      </c>
      <c r="F177" s="625">
        <v>5.000324420077515</v>
      </c>
      <c r="G177" s="625">
        <v>0.77658989091390074</v>
      </c>
      <c r="H177" s="624">
        <v>8.11056880952767</v>
      </c>
      <c r="I177" s="624">
        <v>23.642281626555132</v>
      </c>
      <c r="J177" s="626">
        <v>869.57</v>
      </c>
      <c r="K177" s="626">
        <v>1244.1507</v>
      </c>
      <c r="L177" s="626">
        <v>519.1914</v>
      </c>
      <c r="M177" s="626">
        <v>2186.8795</v>
      </c>
      <c r="N177" s="626">
        <v>267.02806</v>
      </c>
      <c r="O177" s="626">
        <v>709.83536</v>
      </c>
      <c r="P177" s="626">
        <v>274.8816</v>
      </c>
      <c r="Q177" s="626">
        <v>228.151728</v>
      </c>
      <c r="R177" s="626">
        <v>1269.4185</v>
      </c>
      <c r="S177" s="626">
        <v>1117.08828</v>
      </c>
      <c r="T177" s="626">
        <v>1240.785</v>
      </c>
      <c r="U177" s="626">
        <v>1141.5221999999999</v>
      </c>
      <c r="V177" s="626">
        <v>2137.968</v>
      </c>
      <c r="W177" s="626">
        <v>1924.1712</v>
      </c>
      <c r="X177" s="626">
        <v>1354.0464</v>
      </c>
      <c r="Y177" s="626">
        <v>1068.984</v>
      </c>
      <c r="Z177" s="626">
        <v>263.6350198</v>
      </c>
      <c r="AA177" s="626">
        <v>237.2715178</v>
      </c>
      <c r="AB177" s="626">
        <v>1278.2791557</v>
      </c>
      <c r="AC177" s="626">
        <v>1077.6342449</v>
      </c>
      <c r="AD177" s="626">
        <v>1126.251</v>
      </c>
      <c r="AE177" s="626">
        <v>1019.3525999999999</v>
      </c>
      <c r="AF177" s="626">
        <v>973.5298373</v>
      </c>
      <c r="AG177" s="626">
        <v>695.3789788</v>
      </c>
      <c r="AH177" s="625">
        <v>0.69892658501900129</v>
      </c>
      <c r="AI177" s="625">
        <v>0.23741198360494945</v>
      </c>
      <c r="AJ177" s="625">
        <v>0.37618309124527138</v>
      </c>
      <c r="AK177" s="625">
        <v>1.2048192771084336</v>
      </c>
      <c r="AL177" s="625">
        <v>1.1363636363636362</v>
      </c>
      <c r="AM177" s="625">
        <v>1.0869565217391304</v>
      </c>
      <c r="AN177" s="625">
        <v>1.1111111111111112</v>
      </c>
      <c r="AO177" s="625">
        <v>1.2666666666666668</v>
      </c>
      <c r="AP177" s="625">
        <v>1.1111111111111114</v>
      </c>
      <c r="AQ177" s="625">
        <v>1.1861901769548482</v>
      </c>
      <c r="AR177" s="625">
        <v>1.1048689138576779</v>
      </c>
      <c r="AS177" s="625">
        <v>1.3999989458735556</v>
      </c>
    </row>
    <row r="178">
      <c r="B178" s="623">
        <v>700000</v>
      </c>
      <c r="C178" s="603" t="s">
        <v>77</v>
      </c>
      <c r="D178" s="0" t="s">
        <v>64</v>
      </c>
      <c r="E178" s="0" t="s">
        <v>75</v>
      </c>
      <c r="F178" s="625">
        <v>3.9252963140550272</v>
      </c>
      <c r="G178" s="625">
        <v>0.6300943282049779</v>
      </c>
      <c r="H178" s="624">
        <v>6.188987885211243</v>
      </c>
      <c r="I178" s="624">
        <v>17.826212338933555</v>
      </c>
      <c r="J178" s="626">
        <v>700</v>
      </c>
      <c r="K178" s="626">
        <v>964.9258523</v>
      </c>
      <c r="L178" s="626">
        <v>410.8433327</v>
      </c>
      <c r="M178" s="626">
        <v>1730.5295286</v>
      </c>
      <c r="N178" s="626">
        <v>205.4062</v>
      </c>
      <c r="O178" s="626">
        <v>546.6809707</v>
      </c>
      <c r="P178" s="626">
        <v>237.00507810000002</v>
      </c>
      <c r="Q178" s="626">
        <v>195.812103</v>
      </c>
      <c r="R178" s="626">
        <v>1092.7120796999998</v>
      </c>
      <c r="S178" s="626">
        <v>942.2311816</v>
      </c>
      <c r="T178" s="626">
        <v>1085.2323943000001</v>
      </c>
      <c r="U178" s="626">
        <v>992.7684636</v>
      </c>
      <c r="V178" s="626">
        <v>1828.6844931</v>
      </c>
      <c r="W178" s="626">
        <v>1642.9933742</v>
      </c>
      <c r="X178" s="626">
        <v>1204.2704489</v>
      </c>
      <c r="Y178" s="626">
        <v>956.6822904</v>
      </c>
      <c r="Z178" s="626">
        <v>230.17889000000002</v>
      </c>
      <c r="AA178" s="626">
        <v>207.36177600000002</v>
      </c>
      <c r="AB178" s="626">
        <v>1116.8062009999999</v>
      </c>
      <c r="AC178" s="626">
        <v>945.7464638</v>
      </c>
      <c r="AD178" s="626">
        <v>972.3557294</v>
      </c>
      <c r="AE178" s="626">
        <v>878.191244</v>
      </c>
      <c r="AF178" s="626">
        <v>843.5337035</v>
      </c>
      <c r="AG178" s="626">
        <v>601.912423</v>
      </c>
      <c r="AH178" s="625">
        <v>0.7254443420242731</v>
      </c>
      <c r="AI178" s="625">
        <v>0.23740902761911614</v>
      </c>
      <c r="AJ178" s="625">
        <v>0.37573321738330068</v>
      </c>
      <c r="AK178" s="625">
        <v>1.2103699127451422</v>
      </c>
      <c r="AL178" s="625">
        <v>1.1597069818015522</v>
      </c>
      <c r="AM178" s="625">
        <v>1.0931374576356041</v>
      </c>
      <c r="AN178" s="625">
        <v>1.1130200047139238</v>
      </c>
      <c r="AO178" s="625">
        <v>1.2587987266249239</v>
      </c>
      <c r="AP178" s="625">
        <v>1.1100352941010681</v>
      </c>
      <c r="AQ178" s="625">
        <v>1.1808727220160202</v>
      </c>
      <c r="AR178" s="625">
        <v>1.1072254888209732</v>
      </c>
      <c r="AS178" s="625">
        <v>1.4014226510077712</v>
      </c>
    </row>
    <row r="179">
      <c r="B179" s="623">
        <v>700000</v>
      </c>
      <c r="C179" s="603" t="s">
        <v>78</v>
      </c>
      <c r="D179" s="0" t="s">
        <v>64</v>
      </c>
      <c r="E179" s="0" t="s">
        <v>75</v>
      </c>
      <c r="F179" s="625">
        <v>4.51409076116328</v>
      </c>
      <c r="G179" s="625">
        <v>0.72460847743572443</v>
      </c>
      <c r="H179" s="624">
        <v>7.1173360679929285</v>
      </c>
      <c r="I179" s="624">
        <v>20.500144189773586</v>
      </c>
      <c r="J179" s="626">
        <v>840</v>
      </c>
      <c r="K179" s="626">
        <v>1157.9110227</v>
      </c>
      <c r="L179" s="626">
        <v>493.01199920000005</v>
      </c>
      <c r="M179" s="626">
        <v>2076.6354343000003</v>
      </c>
      <c r="N179" s="626">
        <v>246.48744</v>
      </c>
      <c r="O179" s="626">
        <v>656.0171648</v>
      </c>
      <c r="P179" s="626">
        <v>260.7055859</v>
      </c>
      <c r="Q179" s="626">
        <v>215.39331330000002</v>
      </c>
      <c r="R179" s="626">
        <v>1201.9832877</v>
      </c>
      <c r="S179" s="626">
        <v>1036.4542996999999</v>
      </c>
      <c r="T179" s="626">
        <v>1193.7556336999999</v>
      </c>
      <c r="U179" s="626">
        <v>1092.0453099</v>
      </c>
      <c r="V179" s="626">
        <v>2011.5529424000001</v>
      </c>
      <c r="W179" s="626">
        <v>1807.2927116</v>
      </c>
      <c r="X179" s="626">
        <v>1324.6974938</v>
      </c>
      <c r="Y179" s="626">
        <v>1052.3505194000002</v>
      </c>
      <c r="Z179" s="626">
        <v>253.19677900000002</v>
      </c>
      <c r="AA179" s="626">
        <v>228.0979536</v>
      </c>
      <c r="AB179" s="626">
        <v>1228.4868211</v>
      </c>
      <c r="AC179" s="626">
        <v>1040.3211101</v>
      </c>
      <c r="AD179" s="626">
        <v>1069.5913024</v>
      </c>
      <c r="AE179" s="626">
        <v>966.01036840000006</v>
      </c>
      <c r="AF179" s="626">
        <v>927.8870738</v>
      </c>
      <c r="AG179" s="626">
        <v>662.1036653</v>
      </c>
      <c r="AH179" s="625">
        <v>0.7254443420242731</v>
      </c>
      <c r="AI179" s="625">
        <v>0.23740902761911614</v>
      </c>
      <c r="AJ179" s="625">
        <v>0.37573321738330068</v>
      </c>
      <c r="AK179" s="625">
        <v>1.2103699127451424</v>
      </c>
      <c r="AL179" s="625">
        <v>1.159706981801552</v>
      </c>
      <c r="AM179" s="625">
        <v>1.0931374576356041</v>
      </c>
      <c r="AN179" s="625">
        <v>1.1130200047139238</v>
      </c>
      <c r="AO179" s="625">
        <v>1.2587987266249241</v>
      </c>
      <c r="AP179" s="625">
        <v>1.1100352941010681</v>
      </c>
      <c r="AQ179" s="625">
        <v>1.1808727220160202</v>
      </c>
      <c r="AR179" s="625">
        <v>1.1072254888209732</v>
      </c>
      <c r="AS179" s="625">
        <v>1.4014226510077712</v>
      </c>
    </row>
    <row r="180">
      <c r="B180" s="623">
        <v>700000</v>
      </c>
      <c r="C180" s="603" t="s">
        <v>79</v>
      </c>
      <c r="D180" s="0" t="s">
        <v>64</v>
      </c>
      <c r="E180" s="0" t="s">
        <v>75</v>
      </c>
      <c r="F180" s="625">
        <v>5.1028852082715357</v>
      </c>
      <c r="G180" s="625">
        <v>0.81912262666647129</v>
      </c>
      <c r="H180" s="624">
        <v>8.0456842507746167</v>
      </c>
      <c r="I180" s="624">
        <v>23.174076040613624</v>
      </c>
      <c r="J180" s="626">
        <v>910</v>
      </c>
      <c r="K180" s="626">
        <v>1254.4036079</v>
      </c>
      <c r="L180" s="626">
        <v>534.0963325</v>
      </c>
      <c r="M180" s="626">
        <v>2249.6883872000003</v>
      </c>
      <c r="N180" s="626">
        <v>267.02806</v>
      </c>
      <c r="O180" s="626">
        <v>710.6852619</v>
      </c>
      <c r="P180" s="626">
        <v>284.40609370000004</v>
      </c>
      <c r="Q180" s="626">
        <v>234.9745236</v>
      </c>
      <c r="R180" s="626">
        <v>1311.2544957</v>
      </c>
      <c r="S180" s="626">
        <v>1130.6774179</v>
      </c>
      <c r="T180" s="626">
        <v>1302.2788732000001</v>
      </c>
      <c r="U180" s="626">
        <v>1191.3221563</v>
      </c>
      <c r="V180" s="626">
        <v>2194.4213917</v>
      </c>
      <c r="W180" s="626">
        <v>1971.5920491</v>
      </c>
      <c r="X180" s="626">
        <v>1445.1245387</v>
      </c>
      <c r="Y180" s="626">
        <v>1148.0187483999998</v>
      </c>
      <c r="Z180" s="626">
        <v>276.214668</v>
      </c>
      <c r="AA180" s="626">
        <v>248.8341312</v>
      </c>
      <c r="AB180" s="626">
        <v>1340.1674412</v>
      </c>
      <c r="AC180" s="626">
        <v>1134.8957564999998</v>
      </c>
      <c r="AD180" s="626">
        <v>1166.8268753</v>
      </c>
      <c r="AE180" s="626">
        <v>1053.8294927999998</v>
      </c>
      <c r="AF180" s="626">
        <v>1012.2404441</v>
      </c>
      <c r="AG180" s="626">
        <v>722.2949075</v>
      </c>
      <c r="AH180" s="625">
        <v>0.7254443420242731</v>
      </c>
      <c r="AI180" s="625">
        <v>0.23740902761911611</v>
      </c>
      <c r="AJ180" s="625">
        <v>0.37573321738330068</v>
      </c>
      <c r="AK180" s="625">
        <v>1.2103699127451424</v>
      </c>
      <c r="AL180" s="625">
        <v>1.1597069818015522</v>
      </c>
      <c r="AM180" s="625">
        <v>1.0931374576356041</v>
      </c>
      <c r="AN180" s="625">
        <v>1.113020004713924</v>
      </c>
      <c r="AO180" s="625">
        <v>1.2587987266249239</v>
      </c>
      <c r="AP180" s="625">
        <v>1.1100352941010683</v>
      </c>
      <c r="AQ180" s="625">
        <v>1.1808727220160202</v>
      </c>
      <c r="AR180" s="625">
        <v>1.1072254888209729</v>
      </c>
      <c r="AS180" s="625">
        <v>1.401422651007771</v>
      </c>
    </row>
    <row r="181">
      <c r="B181" s="623">
        <v>800000</v>
      </c>
      <c r="C181" s="603" t="s">
        <v>77</v>
      </c>
      <c r="D181" s="0" t="s">
        <v>64</v>
      </c>
      <c r="E181" s="0" t="s">
        <v>75</v>
      </c>
      <c r="F181" s="625">
        <v>4.1545512133505484</v>
      </c>
      <c r="G181" s="625">
        <v>0.73529525759545633</v>
      </c>
      <c r="H181" s="624">
        <v>6.05252091113044</v>
      </c>
      <c r="I181" s="624">
        <v>16.829539664677689</v>
      </c>
      <c r="J181" s="626">
        <v>800</v>
      </c>
      <c r="K181" s="626">
        <v>990.2855059</v>
      </c>
      <c r="L181" s="626">
        <v>447.709354</v>
      </c>
      <c r="M181" s="626">
        <v>1885.8817106000001</v>
      </c>
      <c r="N181" s="626">
        <v>205.4062</v>
      </c>
      <c r="O181" s="626">
        <v>548.7831273</v>
      </c>
      <c r="P181" s="626">
        <v>262.52622940000003</v>
      </c>
      <c r="Q181" s="626">
        <v>214.09397769999998</v>
      </c>
      <c r="R181" s="626">
        <v>1204.8128184</v>
      </c>
      <c r="S181" s="626">
        <v>978.6436625</v>
      </c>
      <c r="T181" s="626">
        <v>1250.006974</v>
      </c>
      <c r="U181" s="626">
        <v>1126.2088609</v>
      </c>
      <c r="V181" s="626">
        <v>1979.9529598000001</v>
      </c>
      <c r="W181" s="626">
        <v>1770.0588862</v>
      </c>
      <c r="X181" s="626">
        <v>1448.3169084</v>
      </c>
      <c r="Y181" s="626">
        <v>1168.4581437</v>
      </c>
      <c r="Z181" s="626">
        <v>263.88641470000005</v>
      </c>
      <c r="AA181" s="626">
        <v>238.3441269</v>
      </c>
      <c r="AB181" s="626">
        <v>1282.6376199000001</v>
      </c>
      <c r="AC181" s="626">
        <v>1099.1803105</v>
      </c>
      <c r="AD181" s="626">
        <v>1081.0799398000002</v>
      </c>
      <c r="AE181" s="626">
        <v>970.5730576</v>
      </c>
      <c r="AF181" s="626">
        <v>947.2598741</v>
      </c>
      <c r="AG181" s="626">
        <v>674.0344186</v>
      </c>
      <c r="AH181" s="625">
        <v>0.80784783304140106</v>
      </c>
      <c r="AI181" s="625">
        <v>0.2374005493145871</v>
      </c>
      <c r="AJ181" s="625">
        <v>0.37429394199441829</v>
      </c>
      <c r="AK181" s="625">
        <v>1.226219589004925</v>
      </c>
      <c r="AL181" s="625">
        <v>1.2311047060452354</v>
      </c>
      <c r="AM181" s="625">
        <v>1.109924648426482</v>
      </c>
      <c r="AN181" s="625">
        <v>1.1185802772992044</v>
      </c>
      <c r="AO181" s="625">
        <v>1.2395111594428045</v>
      </c>
      <c r="AP181" s="625">
        <v>1.107165584668941</v>
      </c>
      <c r="AQ181" s="625">
        <v>1.1669037442278831</v>
      </c>
      <c r="AR181" s="625">
        <v>1.1138573561237575</v>
      </c>
      <c r="AS181" s="625">
        <v>1.4053583139750967</v>
      </c>
    </row>
    <row r="182">
      <c r="B182" s="623">
        <v>800000</v>
      </c>
      <c r="C182" s="603" t="s">
        <v>78</v>
      </c>
      <c r="D182" s="0" t="s">
        <v>64</v>
      </c>
      <c r="E182" s="0" t="s">
        <v>75</v>
      </c>
      <c r="F182" s="625">
        <v>4.77773389535313</v>
      </c>
      <c r="G182" s="625">
        <v>0.84558954623477467</v>
      </c>
      <c r="H182" s="624">
        <v>6.9603990478000055</v>
      </c>
      <c r="I182" s="624">
        <v>19.353970614379342</v>
      </c>
      <c r="J182" s="626">
        <v>960</v>
      </c>
      <c r="K182" s="626">
        <v>1188.342607</v>
      </c>
      <c r="L182" s="626">
        <v>537.2512249</v>
      </c>
      <c r="M182" s="626">
        <v>2263.0580528</v>
      </c>
      <c r="N182" s="626">
        <v>246.48744</v>
      </c>
      <c r="O182" s="626">
        <v>658.5397527</v>
      </c>
      <c r="P182" s="626">
        <v>288.77885230000004</v>
      </c>
      <c r="Q182" s="626">
        <v>235.5033755</v>
      </c>
      <c r="R182" s="626">
        <v>1325.2941002</v>
      </c>
      <c r="S182" s="626">
        <v>1076.5080286999998</v>
      </c>
      <c r="T182" s="626">
        <v>1375.0076714000002</v>
      </c>
      <c r="U182" s="626">
        <v>1238.829747</v>
      </c>
      <c r="V182" s="626">
        <v>2177.9482557</v>
      </c>
      <c r="W182" s="626">
        <v>1947.0647748000001</v>
      </c>
      <c r="X182" s="626">
        <v>1593.1485992</v>
      </c>
      <c r="Y182" s="626">
        <v>1285.3039580000002</v>
      </c>
      <c r="Z182" s="626">
        <v>290.2750561</v>
      </c>
      <c r="AA182" s="626">
        <v>262.1785396</v>
      </c>
      <c r="AB182" s="626">
        <v>1410.9013819</v>
      </c>
      <c r="AC182" s="626">
        <v>1209.0983416</v>
      </c>
      <c r="AD182" s="626">
        <v>1189.1879338</v>
      </c>
      <c r="AE182" s="626">
        <v>1067.6303633</v>
      </c>
      <c r="AF182" s="626">
        <v>1041.9858615</v>
      </c>
      <c r="AG182" s="626">
        <v>741.4378604</v>
      </c>
      <c r="AH182" s="625">
        <v>0.80784783304140118</v>
      </c>
      <c r="AI182" s="625">
        <v>0.23740054931458715</v>
      </c>
      <c r="AJ182" s="625">
        <v>0.37429394199441829</v>
      </c>
      <c r="AK182" s="625">
        <v>1.226219589004925</v>
      </c>
      <c r="AL182" s="625">
        <v>1.2311047060452356</v>
      </c>
      <c r="AM182" s="625">
        <v>1.109924648426482</v>
      </c>
      <c r="AN182" s="625">
        <v>1.1185802772992044</v>
      </c>
      <c r="AO182" s="625">
        <v>1.2395111594428045</v>
      </c>
      <c r="AP182" s="625">
        <v>1.107165584668941</v>
      </c>
      <c r="AQ182" s="625">
        <v>1.1669037442278831</v>
      </c>
      <c r="AR182" s="625">
        <v>1.1138573561237575</v>
      </c>
      <c r="AS182" s="625">
        <v>1.4053583139750967</v>
      </c>
    </row>
    <row r="183">
      <c r="B183" s="623">
        <v>800000</v>
      </c>
      <c r="C183" s="603" t="s">
        <v>79</v>
      </c>
      <c r="D183" s="0" t="s">
        <v>64</v>
      </c>
      <c r="E183" s="0" t="s">
        <v>75</v>
      </c>
      <c r="F183" s="625">
        <v>5.400916577355714</v>
      </c>
      <c r="G183" s="625">
        <v>0.95588383487409334</v>
      </c>
      <c r="H183" s="624">
        <v>7.8682771844695729</v>
      </c>
      <c r="I183" s="624">
        <v>21.878401564081</v>
      </c>
      <c r="J183" s="626">
        <v>1040</v>
      </c>
      <c r="K183" s="626">
        <v>1287.3711576</v>
      </c>
      <c r="L183" s="626">
        <v>582.0221603</v>
      </c>
      <c r="M183" s="626">
        <v>2451.6462238</v>
      </c>
      <c r="N183" s="626">
        <v>267.02806</v>
      </c>
      <c r="O183" s="626">
        <v>713.41806539999993</v>
      </c>
      <c r="P183" s="626">
        <v>315.0314752</v>
      </c>
      <c r="Q183" s="626">
        <v>256.9127732</v>
      </c>
      <c r="R183" s="626">
        <v>1445.7753821000001</v>
      </c>
      <c r="S183" s="626">
        <v>1174.3723949</v>
      </c>
      <c r="T183" s="626">
        <v>1500.0083688</v>
      </c>
      <c r="U183" s="626">
        <v>1351.4506331</v>
      </c>
      <c r="V183" s="626">
        <v>2375.9435517</v>
      </c>
      <c r="W183" s="626">
        <v>2124.0706634</v>
      </c>
      <c r="X183" s="626">
        <v>1737.9802901</v>
      </c>
      <c r="Y183" s="626">
        <v>1402.1497723999999</v>
      </c>
      <c r="Z183" s="626">
        <v>316.66369760000003</v>
      </c>
      <c r="AA183" s="626">
        <v>286.0129523</v>
      </c>
      <c r="AB183" s="626">
        <v>1539.1651439</v>
      </c>
      <c r="AC183" s="626">
        <v>1319.0163725999998</v>
      </c>
      <c r="AD183" s="626">
        <v>1297.2959277999998</v>
      </c>
      <c r="AE183" s="626">
        <v>1164.6876691</v>
      </c>
      <c r="AF183" s="626">
        <v>1136.7118489000002</v>
      </c>
      <c r="AG183" s="626">
        <v>808.84130229999994</v>
      </c>
      <c r="AH183" s="625">
        <v>0.80784783304140106</v>
      </c>
      <c r="AI183" s="625">
        <v>0.2374005493145871</v>
      </c>
      <c r="AJ183" s="625">
        <v>0.37429394199441834</v>
      </c>
      <c r="AK183" s="625">
        <v>1.226219589004925</v>
      </c>
      <c r="AL183" s="625">
        <v>1.2311047060452354</v>
      </c>
      <c r="AM183" s="625">
        <v>1.109924648426482</v>
      </c>
      <c r="AN183" s="625">
        <v>1.1185802772992042</v>
      </c>
      <c r="AO183" s="625">
        <v>1.2395111594428045</v>
      </c>
      <c r="AP183" s="625">
        <v>1.1071655846689408</v>
      </c>
      <c r="AQ183" s="625">
        <v>1.1669037442278831</v>
      </c>
      <c r="AR183" s="625">
        <v>1.1138573561237577</v>
      </c>
      <c r="AS183" s="625">
        <v>1.4053583139750967</v>
      </c>
    </row>
    <row r="184">
      <c r="B184" s="623">
        <v>957039</v>
      </c>
      <c r="C184" s="603" t="s">
        <v>77</v>
      </c>
      <c r="D184" s="0" t="s">
        <v>64</v>
      </c>
      <c r="E184" s="0" t="s">
        <v>75</v>
      </c>
      <c r="F184" s="625">
        <v>4.4536458391059517</v>
      </c>
      <c r="G184" s="625">
        <v>0.90050174510097</v>
      </c>
      <c r="H184" s="624">
        <v>5.8915402043196545</v>
      </c>
      <c r="I184" s="624">
        <v>15.630861521028324</v>
      </c>
      <c r="J184" s="626">
        <v>957.039</v>
      </c>
      <c r="K184" s="626">
        <v>1030.1100523</v>
      </c>
      <c r="L184" s="626">
        <v>505.60338540000004</v>
      </c>
      <c r="M184" s="626">
        <v>2129.8452238</v>
      </c>
      <c r="N184" s="626">
        <v>205.4062</v>
      </c>
      <c r="O184" s="626">
        <v>552.0843329</v>
      </c>
      <c r="P184" s="626">
        <v>302.60439010000005</v>
      </c>
      <c r="Q184" s="626">
        <v>242.8036509</v>
      </c>
      <c r="R184" s="626">
        <v>1380.8546973999999</v>
      </c>
      <c r="S184" s="626">
        <v>1035.8254583</v>
      </c>
      <c r="T184" s="626">
        <v>1508.7673263000002</v>
      </c>
      <c r="U184" s="626">
        <v>1335.7623265</v>
      </c>
      <c r="V184" s="626">
        <v>2217.5034471</v>
      </c>
      <c r="W184" s="626">
        <v>1969.6012955</v>
      </c>
      <c r="X184" s="626">
        <v>1831.5650279000001</v>
      </c>
      <c r="Y184" s="626">
        <v>1501.0288259000001</v>
      </c>
      <c r="Z184" s="626">
        <v>316.8203743</v>
      </c>
      <c r="AA184" s="626">
        <v>286.9985011</v>
      </c>
      <c r="AB184" s="626">
        <v>1543.0576218</v>
      </c>
      <c r="AC184" s="626">
        <v>1340.1312891</v>
      </c>
      <c r="AD184" s="626">
        <v>1251.8193526</v>
      </c>
      <c r="AE184" s="626">
        <v>1115.6485337</v>
      </c>
      <c r="AF184" s="626">
        <v>1110.1504151000002</v>
      </c>
      <c r="AG184" s="626">
        <v>787.2940793</v>
      </c>
      <c r="AH184" s="625">
        <v>0.92906481001578445</v>
      </c>
      <c r="AI184" s="625">
        <v>0.2373897313014941</v>
      </c>
      <c r="AJ184" s="625">
        <v>0.37205583958758104</v>
      </c>
      <c r="AK184" s="625">
        <v>1.2462925867620147</v>
      </c>
      <c r="AL184" s="625">
        <v>1.3330959248754912</v>
      </c>
      <c r="AM184" s="625">
        <v>1.1295178014195777</v>
      </c>
      <c r="AN184" s="625">
        <v>1.1258641289954212</v>
      </c>
      <c r="AO184" s="625">
        <v>1.2202064319742678</v>
      </c>
      <c r="AP184" s="625">
        <v>1.1039095087565887</v>
      </c>
      <c r="AQ184" s="625">
        <v>1.1514227258270724</v>
      </c>
      <c r="AR184" s="625">
        <v>1.1220553021102528</v>
      </c>
      <c r="AS184" s="625">
        <v>1.4100835308129291</v>
      </c>
    </row>
    <row r="185">
      <c r="B185" s="623">
        <v>957039</v>
      </c>
      <c r="C185" s="603" t="s">
        <v>78</v>
      </c>
      <c r="D185" s="0" t="s">
        <v>64</v>
      </c>
      <c r="E185" s="0" t="s">
        <v>75</v>
      </c>
      <c r="F185" s="625">
        <v>5.1216927149718439</v>
      </c>
      <c r="G185" s="625">
        <v>1.0355770068661154</v>
      </c>
      <c r="H185" s="624">
        <v>6.7752712349676019</v>
      </c>
      <c r="I185" s="624">
        <v>17.975490749182569</v>
      </c>
      <c r="J185" s="626">
        <v>1148.4468</v>
      </c>
      <c r="K185" s="626">
        <v>1236.1320627</v>
      </c>
      <c r="L185" s="626">
        <v>606.7240625</v>
      </c>
      <c r="M185" s="626">
        <v>2555.8142686</v>
      </c>
      <c r="N185" s="626">
        <v>246.48744</v>
      </c>
      <c r="O185" s="626">
        <v>662.5011995</v>
      </c>
      <c r="P185" s="626">
        <v>332.8648292</v>
      </c>
      <c r="Q185" s="626">
        <v>267.084016</v>
      </c>
      <c r="R185" s="626">
        <v>1518.9401671</v>
      </c>
      <c r="S185" s="626">
        <v>1139.4080042</v>
      </c>
      <c r="T185" s="626">
        <v>1659.6440589000001</v>
      </c>
      <c r="U185" s="626">
        <v>1469.3385592</v>
      </c>
      <c r="V185" s="626">
        <v>2439.2537918</v>
      </c>
      <c r="W185" s="626">
        <v>2166.5614251</v>
      </c>
      <c r="X185" s="626">
        <v>2014.7215307</v>
      </c>
      <c r="Y185" s="626">
        <v>1651.1317085</v>
      </c>
      <c r="Z185" s="626">
        <v>348.5024118</v>
      </c>
      <c r="AA185" s="626">
        <v>315.6983512</v>
      </c>
      <c r="AB185" s="626">
        <v>1697.363384</v>
      </c>
      <c r="AC185" s="626">
        <v>1474.144418</v>
      </c>
      <c r="AD185" s="626">
        <v>1377.0012878</v>
      </c>
      <c r="AE185" s="626">
        <v>1227.2133870999999</v>
      </c>
      <c r="AF185" s="626">
        <v>1221.1654566</v>
      </c>
      <c r="AG185" s="626">
        <v>866.0234872</v>
      </c>
      <c r="AH185" s="625">
        <v>0.92906481001578445</v>
      </c>
      <c r="AI185" s="625">
        <v>0.2373897313014941</v>
      </c>
      <c r="AJ185" s="625">
        <v>0.37205583958758104</v>
      </c>
      <c r="AK185" s="625">
        <v>1.2462925867620147</v>
      </c>
      <c r="AL185" s="625">
        <v>1.333095924875491</v>
      </c>
      <c r="AM185" s="625">
        <v>1.1295178014195777</v>
      </c>
      <c r="AN185" s="625">
        <v>1.125864128995421</v>
      </c>
      <c r="AO185" s="625">
        <v>1.2202064319742678</v>
      </c>
      <c r="AP185" s="625">
        <v>1.1039095087565887</v>
      </c>
      <c r="AQ185" s="625">
        <v>1.1514227258270724</v>
      </c>
      <c r="AR185" s="625">
        <v>1.1220553021102531</v>
      </c>
      <c r="AS185" s="625">
        <v>1.4100835308129294</v>
      </c>
    </row>
    <row r="186">
      <c r="B186" s="623">
        <v>957039</v>
      </c>
      <c r="C186" s="603" t="s">
        <v>79</v>
      </c>
      <c r="D186" s="0" t="s">
        <v>64</v>
      </c>
      <c r="E186" s="0" t="s">
        <v>75</v>
      </c>
      <c r="F186" s="625">
        <v>5.7897395908377378</v>
      </c>
      <c r="G186" s="625">
        <v>1.1706522686312613</v>
      </c>
      <c r="H186" s="624">
        <v>7.6590022656155519</v>
      </c>
      <c r="I186" s="624">
        <v>20.320119977336823</v>
      </c>
      <c r="J186" s="626">
        <v>1244.1507</v>
      </c>
      <c r="K186" s="626">
        <v>1339.1430679</v>
      </c>
      <c r="L186" s="626">
        <v>657.284401</v>
      </c>
      <c r="M186" s="626">
        <v>2768.7987909</v>
      </c>
      <c r="N186" s="626">
        <v>267.02806</v>
      </c>
      <c r="O186" s="626">
        <v>717.7096328</v>
      </c>
      <c r="P186" s="626">
        <v>363.1252682</v>
      </c>
      <c r="Q186" s="626">
        <v>291.3643811</v>
      </c>
      <c r="R186" s="626">
        <v>1657.0256369</v>
      </c>
      <c r="S186" s="626">
        <v>1242.99055</v>
      </c>
      <c r="T186" s="626">
        <v>1810.5207915</v>
      </c>
      <c r="U186" s="626">
        <v>1602.9147918</v>
      </c>
      <c r="V186" s="626">
        <v>2661.0041365</v>
      </c>
      <c r="W186" s="626">
        <v>2363.5215546</v>
      </c>
      <c r="X186" s="626">
        <v>2197.8780335</v>
      </c>
      <c r="Y186" s="626">
        <v>1801.2345911</v>
      </c>
      <c r="Z186" s="626">
        <v>380.18444919999996</v>
      </c>
      <c r="AA186" s="626">
        <v>344.39820130000004</v>
      </c>
      <c r="AB186" s="626">
        <v>1851.6691462000001</v>
      </c>
      <c r="AC186" s="626">
        <v>1608.1575469</v>
      </c>
      <c r="AD186" s="626">
        <v>1502.1832231</v>
      </c>
      <c r="AE186" s="626">
        <v>1338.7782405</v>
      </c>
      <c r="AF186" s="626">
        <v>1332.1804981</v>
      </c>
      <c r="AG186" s="626">
        <v>944.75289509999993</v>
      </c>
      <c r="AH186" s="625">
        <v>0.92906481001578434</v>
      </c>
      <c r="AI186" s="625">
        <v>0.2373897313014941</v>
      </c>
      <c r="AJ186" s="625">
        <v>0.37205583958758104</v>
      </c>
      <c r="AK186" s="625">
        <v>1.2462925867620147</v>
      </c>
      <c r="AL186" s="625">
        <v>1.333095924875491</v>
      </c>
      <c r="AM186" s="625">
        <v>1.1295178014195777</v>
      </c>
      <c r="AN186" s="625">
        <v>1.125864128995421</v>
      </c>
      <c r="AO186" s="625">
        <v>1.2202064319742676</v>
      </c>
      <c r="AP186" s="625">
        <v>1.1039095087565889</v>
      </c>
      <c r="AQ186" s="625">
        <v>1.1514227258270724</v>
      </c>
      <c r="AR186" s="625">
        <v>1.1220553021102531</v>
      </c>
      <c r="AS186" s="625">
        <v>1.4100835308129291</v>
      </c>
    </row>
    <row r="187">
      <c r="B187" s="623">
        <v>1000000</v>
      </c>
      <c r="C187" s="603" t="s">
        <v>77</v>
      </c>
      <c r="D187" s="0" t="s">
        <v>64</v>
      </c>
      <c r="E187" s="0" t="s">
        <v>75</v>
      </c>
      <c r="F187" s="625">
        <v>4.5249912365841309</v>
      </c>
      <c r="G187" s="625">
        <v>0.94569711637641352</v>
      </c>
      <c r="H187" s="624">
        <v>5.85568696623113</v>
      </c>
      <c r="I187" s="624">
        <v>15.360434848120857</v>
      </c>
      <c r="J187" s="626">
        <v>1000</v>
      </c>
      <c r="K187" s="626">
        <v>1041.004813</v>
      </c>
      <c r="L187" s="626">
        <v>521.4413968</v>
      </c>
      <c r="M187" s="626">
        <v>2196.5860747</v>
      </c>
      <c r="N187" s="626">
        <v>205.4062</v>
      </c>
      <c r="O187" s="626">
        <v>552.9874404</v>
      </c>
      <c r="P187" s="626">
        <v>313.568532</v>
      </c>
      <c r="Q187" s="626">
        <v>250.6577271</v>
      </c>
      <c r="R187" s="626">
        <v>1429.0142956999998</v>
      </c>
      <c r="S187" s="626">
        <v>1051.4686242</v>
      </c>
      <c r="T187" s="626">
        <v>1579.5561335</v>
      </c>
      <c r="U187" s="626">
        <v>1393.0896556</v>
      </c>
      <c r="V187" s="626">
        <v>2282.489893</v>
      </c>
      <c r="W187" s="626">
        <v>2024.1899101</v>
      </c>
      <c r="X187" s="626">
        <v>1936.4098274</v>
      </c>
      <c r="Y187" s="626">
        <v>1592.0098502</v>
      </c>
      <c r="Z187" s="626">
        <v>331.30146399999995</v>
      </c>
      <c r="AA187" s="626">
        <v>300.30882890000004</v>
      </c>
      <c r="AB187" s="626">
        <v>1614.3004577</v>
      </c>
      <c r="AC187" s="626">
        <v>1406.048004</v>
      </c>
      <c r="AD187" s="626">
        <v>1298.5283606</v>
      </c>
      <c r="AE187" s="626">
        <v>1155.3366847000002</v>
      </c>
      <c r="AF187" s="626">
        <v>1154.7122152</v>
      </c>
      <c r="AG187" s="626">
        <v>818.27840980000008</v>
      </c>
      <c r="AH187" s="625">
        <v>0.96061035210637591</v>
      </c>
      <c r="AI187" s="625">
        <v>0.23738719044237258</v>
      </c>
      <c r="AJ187" s="625">
        <v>0.37144821925559873</v>
      </c>
      <c r="AK187" s="625">
        <v>1.2509829065134432</v>
      </c>
      <c r="AL187" s="625">
        <v>1.3590650855055593</v>
      </c>
      <c r="AM187" s="625">
        <v>1.1338510246534201</v>
      </c>
      <c r="AN187" s="625">
        <v>1.1276065954037831</v>
      </c>
      <c r="AO187" s="625">
        <v>1.2163303054489247</v>
      </c>
      <c r="AP187" s="625">
        <v>1.1032025440442301</v>
      </c>
      <c r="AQ187" s="625">
        <v>1.1481119088025609</v>
      </c>
      <c r="AR187" s="625">
        <v>1.1239393484539015</v>
      </c>
      <c r="AS187" s="625">
        <v>1.4111483345944735</v>
      </c>
    </row>
    <row r="188">
      <c r="B188" s="623">
        <v>1000000</v>
      </c>
      <c r="C188" s="603" t="s">
        <v>78</v>
      </c>
      <c r="D188" s="0" t="s">
        <v>64</v>
      </c>
      <c r="E188" s="0" t="s">
        <v>75</v>
      </c>
      <c r="F188" s="625">
        <v>5.2037399220717493</v>
      </c>
      <c r="G188" s="625">
        <v>1.0875516838328754</v>
      </c>
      <c r="H188" s="624">
        <v>6.7340400111657992</v>
      </c>
      <c r="I188" s="624">
        <v>17.664500075338982</v>
      </c>
      <c r="J188" s="626">
        <v>1200</v>
      </c>
      <c r="K188" s="626">
        <v>1249.2057756000002</v>
      </c>
      <c r="L188" s="626">
        <v>625.7296762</v>
      </c>
      <c r="M188" s="626">
        <v>2635.9032897</v>
      </c>
      <c r="N188" s="626">
        <v>246.48744</v>
      </c>
      <c r="O188" s="626">
        <v>663.5849285</v>
      </c>
      <c r="P188" s="626">
        <v>344.9253851</v>
      </c>
      <c r="Q188" s="626">
        <v>275.7234998</v>
      </c>
      <c r="R188" s="626">
        <v>1571.9157253</v>
      </c>
      <c r="S188" s="626">
        <v>1156.6154867</v>
      </c>
      <c r="T188" s="626">
        <v>1737.5117468</v>
      </c>
      <c r="U188" s="626">
        <v>1532.3986212</v>
      </c>
      <c r="V188" s="626">
        <v>2510.7388823</v>
      </c>
      <c r="W188" s="626">
        <v>2226.6089012</v>
      </c>
      <c r="X188" s="626">
        <v>2130.0508101</v>
      </c>
      <c r="Y188" s="626">
        <v>1751.2108352999999</v>
      </c>
      <c r="Z188" s="626">
        <v>364.4316104</v>
      </c>
      <c r="AA188" s="626">
        <v>330.3397118</v>
      </c>
      <c r="AB188" s="626">
        <v>1775.7305035000002</v>
      </c>
      <c r="AC188" s="626">
        <v>1546.6528044</v>
      </c>
      <c r="AD188" s="626">
        <v>1428.3811967</v>
      </c>
      <c r="AE188" s="626">
        <v>1270.8703530999999</v>
      </c>
      <c r="AF188" s="626">
        <v>1270.1834368</v>
      </c>
      <c r="AG188" s="626">
        <v>900.1062508</v>
      </c>
      <c r="AH188" s="625">
        <v>0.960610352106376</v>
      </c>
      <c r="AI188" s="625">
        <v>0.23738719044237255</v>
      </c>
      <c r="AJ188" s="625">
        <v>0.37144821925559868</v>
      </c>
      <c r="AK188" s="625">
        <v>1.2509829065134432</v>
      </c>
      <c r="AL188" s="625">
        <v>1.3590650855055595</v>
      </c>
      <c r="AM188" s="625">
        <v>1.1338510246534201</v>
      </c>
      <c r="AN188" s="625">
        <v>1.1276065954037831</v>
      </c>
      <c r="AO188" s="625">
        <v>1.2163303054489247</v>
      </c>
      <c r="AP188" s="625">
        <v>1.10320254404423</v>
      </c>
      <c r="AQ188" s="625">
        <v>1.1481119088025609</v>
      </c>
      <c r="AR188" s="625">
        <v>1.1239393484539015</v>
      </c>
      <c r="AS188" s="625">
        <v>1.4111483345944735</v>
      </c>
    </row>
    <row r="189">
      <c r="B189" s="623">
        <v>1000000</v>
      </c>
      <c r="C189" s="603" t="s">
        <v>79</v>
      </c>
      <c r="D189" s="0" t="s">
        <v>64</v>
      </c>
      <c r="E189" s="0" t="s">
        <v>75</v>
      </c>
      <c r="F189" s="625">
        <v>5.88248860755937</v>
      </c>
      <c r="G189" s="625">
        <v>1.2294062512893376</v>
      </c>
      <c r="H189" s="624">
        <v>7.61239305610047</v>
      </c>
      <c r="I189" s="624">
        <v>19.968565302557117</v>
      </c>
      <c r="J189" s="626">
        <v>1300</v>
      </c>
      <c r="K189" s="626">
        <v>1353.306257</v>
      </c>
      <c r="L189" s="626">
        <v>677.87381590000007</v>
      </c>
      <c r="M189" s="626">
        <v>2855.5618971000004</v>
      </c>
      <c r="N189" s="626">
        <v>267.02806</v>
      </c>
      <c r="O189" s="626">
        <v>718.8836725</v>
      </c>
      <c r="P189" s="626">
        <v>376.2822383</v>
      </c>
      <c r="Q189" s="626">
        <v>300.78927250000004</v>
      </c>
      <c r="R189" s="626">
        <v>1714.8171548999999</v>
      </c>
      <c r="S189" s="626">
        <v>1261.7623491</v>
      </c>
      <c r="T189" s="626">
        <v>1895.4673602</v>
      </c>
      <c r="U189" s="626">
        <v>1671.7075868</v>
      </c>
      <c r="V189" s="626">
        <v>2738.9878716000003</v>
      </c>
      <c r="W189" s="626">
        <v>2429.0278922</v>
      </c>
      <c r="X189" s="626">
        <v>2323.6917928999997</v>
      </c>
      <c r="Y189" s="626">
        <v>1910.4118203</v>
      </c>
      <c r="Z189" s="626">
        <v>397.56175679999996</v>
      </c>
      <c r="AA189" s="626">
        <v>360.3705946</v>
      </c>
      <c r="AB189" s="626">
        <v>1937.1605493000002</v>
      </c>
      <c r="AC189" s="626">
        <v>1687.2576048</v>
      </c>
      <c r="AD189" s="626">
        <v>1558.2340327000002</v>
      </c>
      <c r="AE189" s="626">
        <v>1386.4040216</v>
      </c>
      <c r="AF189" s="626">
        <v>1385.6546583</v>
      </c>
      <c r="AG189" s="626">
        <v>981.9340918</v>
      </c>
      <c r="AH189" s="625">
        <v>0.9606103521063758</v>
      </c>
      <c r="AI189" s="625">
        <v>0.23738719044237255</v>
      </c>
      <c r="AJ189" s="625">
        <v>0.37144821925559868</v>
      </c>
      <c r="AK189" s="625">
        <v>1.2509829065134432</v>
      </c>
      <c r="AL189" s="625">
        <v>1.3590650855055593</v>
      </c>
      <c r="AM189" s="625">
        <v>1.1338510246534204</v>
      </c>
      <c r="AN189" s="625">
        <v>1.1276065954037831</v>
      </c>
      <c r="AO189" s="625">
        <v>1.2163303054489247</v>
      </c>
      <c r="AP189" s="625">
        <v>1.1032025440442297</v>
      </c>
      <c r="AQ189" s="625">
        <v>1.1481119088025611</v>
      </c>
      <c r="AR189" s="625">
        <v>1.1239393484539013</v>
      </c>
      <c r="AS189" s="625">
        <v>1.4111483345944735</v>
      </c>
    </row>
    <row r="190">
      <c r="B190" s="623">
        <v>1101400</v>
      </c>
      <c r="C190" s="603" t="s">
        <v>77</v>
      </c>
      <c r="D190" s="0" t="s">
        <v>64</v>
      </c>
      <c r="E190" s="0" t="s">
        <v>75</v>
      </c>
      <c r="F190" s="625">
        <v>4.6787707091052679</v>
      </c>
      <c r="G190" s="625">
        <v>1.0523708587783587</v>
      </c>
      <c r="H190" s="624">
        <v>5.7814393818786876</v>
      </c>
      <c r="I190" s="624">
        <v>14.796335181063174</v>
      </c>
      <c r="J190" s="626">
        <v>1101.4</v>
      </c>
      <c r="K190" s="626">
        <v>1066.7195018</v>
      </c>
      <c r="L190" s="626">
        <v>558.8235425</v>
      </c>
      <c r="M190" s="626">
        <v>2354.1131873</v>
      </c>
      <c r="N190" s="626">
        <v>205.4062</v>
      </c>
      <c r="O190" s="626">
        <v>555.11902709999993</v>
      </c>
      <c r="P190" s="626">
        <v>339.44697940000003</v>
      </c>
      <c r="Q190" s="626">
        <v>269.19554800000003</v>
      </c>
      <c r="R190" s="626">
        <v>1542.6844447</v>
      </c>
      <c r="S190" s="626">
        <v>1088.3908799</v>
      </c>
      <c r="T190" s="626">
        <v>1746.6375573</v>
      </c>
      <c r="U190" s="626">
        <v>1528.3982185</v>
      </c>
      <c r="V190" s="626">
        <v>2435.8761182</v>
      </c>
      <c r="W190" s="626">
        <v>2153.0343393000003</v>
      </c>
      <c r="X190" s="626">
        <v>2183.8729372999996</v>
      </c>
      <c r="Y190" s="626">
        <v>1806.7505655</v>
      </c>
      <c r="Z190" s="626">
        <v>365.480894</v>
      </c>
      <c r="AA190" s="626">
        <v>331.7249327</v>
      </c>
      <c r="AB190" s="626">
        <v>1782.4535165</v>
      </c>
      <c r="AC190" s="626">
        <v>1561.6299246</v>
      </c>
      <c r="AD190" s="626">
        <v>1408.7747098999998</v>
      </c>
      <c r="AE190" s="626">
        <v>1249.0118436</v>
      </c>
      <c r="AF190" s="626">
        <v>1259.8905522</v>
      </c>
      <c r="AG190" s="626">
        <v>891.4101134</v>
      </c>
      <c r="AH190" s="625">
        <v>1.0325113566959707</v>
      </c>
      <c r="AI190" s="625">
        <v>0.23738176462885158</v>
      </c>
      <c r="AJ190" s="625">
        <v>0.37002190513985461</v>
      </c>
      <c r="AK190" s="625">
        <v>1.2609680282338225</v>
      </c>
      <c r="AL190" s="625">
        <v>1.4173992756175535</v>
      </c>
      <c r="AM190" s="625">
        <v>1.1427895793906584</v>
      </c>
      <c r="AN190" s="625">
        <v>1.1313689121209567</v>
      </c>
      <c r="AO190" s="625">
        <v>1.208729627148917</v>
      </c>
      <c r="AP190" s="625">
        <v>1.1017588910239302</v>
      </c>
      <c r="AQ190" s="625">
        <v>1.141405840423295</v>
      </c>
      <c r="AR190" s="625">
        <v>1.127911410254081</v>
      </c>
      <c r="AS190" s="625">
        <v>1.4133680259278503</v>
      </c>
    </row>
    <row r="191">
      <c r="B191" s="623">
        <v>1101400</v>
      </c>
      <c r="C191" s="603" t="s">
        <v>78</v>
      </c>
      <c r="D191" s="0" t="s">
        <v>64</v>
      </c>
      <c r="E191" s="0" t="s">
        <v>75</v>
      </c>
      <c r="F191" s="625">
        <v>5.3805863154710574</v>
      </c>
      <c r="G191" s="625">
        <v>1.2102264875951125</v>
      </c>
      <c r="H191" s="624">
        <v>6.64865528916049</v>
      </c>
      <c r="I191" s="624">
        <v>17.015785458222648</v>
      </c>
      <c r="J191" s="626">
        <v>1321.68</v>
      </c>
      <c r="K191" s="626">
        <v>1280.0634021</v>
      </c>
      <c r="L191" s="626">
        <v>670.588251</v>
      </c>
      <c r="M191" s="626">
        <v>2824.9358248</v>
      </c>
      <c r="N191" s="626">
        <v>246.48744</v>
      </c>
      <c r="O191" s="626">
        <v>666.1428326</v>
      </c>
      <c r="P191" s="626">
        <v>373.39167729999997</v>
      </c>
      <c r="Q191" s="626">
        <v>296.1151028</v>
      </c>
      <c r="R191" s="626">
        <v>1696.9528892</v>
      </c>
      <c r="S191" s="626">
        <v>1197.2299679</v>
      </c>
      <c r="T191" s="626">
        <v>1921.3013130000002</v>
      </c>
      <c r="U191" s="626">
        <v>1681.2380404</v>
      </c>
      <c r="V191" s="626">
        <v>2679.46373</v>
      </c>
      <c r="W191" s="626">
        <v>2368.3377732000004</v>
      </c>
      <c r="X191" s="626">
        <v>2402.2602311</v>
      </c>
      <c r="Y191" s="626">
        <v>1987.425622</v>
      </c>
      <c r="Z191" s="626">
        <v>402.0289834</v>
      </c>
      <c r="AA191" s="626">
        <v>364.897426</v>
      </c>
      <c r="AB191" s="626">
        <v>1960.6988681</v>
      </c>
      <c r="AC191" s="626">
        <v>1717.792917</v>
      </c>
      <c r="AD191" s="626">
        <v>1549.6521809</v>
      </c>
      <c r="AE191" s="626">
        <v>1373.913028</v>
      </c>
      <c r="AF191" s="626">
        <v>1385.8796075</v>
      </c>
      <c r="AG191" s="626">
        <v>980.55112470000006</v>
      </c>
      <c r="AH191" s="625">
        <v>1.0325113566959707</v>
      </c>
      <c r="AI191" s="625">
        <v>0.23738176462885158</v>
      </c>
      <c r="AJ191" s="625">
        <v>0.37002190513985461</v>
      </c>
      <c r="AK191" s="625">
        <v>1.2609680282338223</v>
      </c>
      <c r="AL191" s="625">
        <v>1.4173992756175535</v>
      </c>
      <c r="AM191" s="625">
        <v>1.1427895793906584</v>
      </c>
      <c r="AN191" s="625">
        <v>1.1313689121209567</v>
      </c>
      <c r="AO191" s="625">
        <v>1.208729627148917</v>
      </c>
      <c r="AP191" s="625">
        <v>1.1017588910239302</v>
      </c>
      <c r="AQ191" s="625">
        <v>1.141405840423295</v>
      </c>
      <c r="AR191" s="625">
        <v>1.1279114102540813</v>
      </c>
      <c r="AS191" s="625">
        <v>1.4133680259278503</v>
      </c>
    </row>
    <row r="192">
      <c r="B192" s="623">
        <v>1101400</v>
      </c>
      <c r="C192" s="603" t="s">
        <v>79</v>
      </c>
      <c r="D192" s="0" t="s">
        <v>64</v>
      </c>
      <c r="E192" s="0" t="s">
        <v>75</v>
      </c>
      <c r="F192" s="625">
        <v>6.0824019218368486</v>
      </c>
      <c r="G192" s="625">
        <v>1.3680821164118666</v>
      </c>
      <c r="H192" s="624">
        <v>7.5158711964422951</v>
      </c>
      <c r="I192" s="624">
        <v>19.23523573538213</v>
      </c>
      <c r="J192" s="626">
        <v>1431.82</v>
      </c>
      <c r="K192" s="626">
        <v>1386.7353523</v>
      </c>
      <c r="L192" s="626">
        <v>726.4706053000001</v>
      </c>
      <c r="M192" s="626">
        <v>3060.3471434999997</v>
      </c>
      <c r="N192" s="626">
        <v>267.02806</v>
      </c>
      <c r="O192" s="626">
        <v>721.6547353</v>
      </c>
      <c r="P192" s="626">
        <v>407.3363752</v>
      </c>
      <c r="Q192" s="626">
        <v>323.0346576</v>
      </c>
      <c r="R192" s="626">
        <v>1851.2213337</v>
      </c>
      <c r="S192" s="626">
        <v>1306.0690559</v>
      </c>
      <c r="T192" s="626">
        <v>2095.9650688</v>
      </c>
      <c r="U192" s="626">
        <v>1834.0778622999999</v>
      </c>
      <c r="V192" s="626">
        <v>2923.0513418</v>
      </c>
      <c r="W192" s="626">
        <v>2583.6412071000004</v>
      </c>
      <c r="X192" s="626">
        <v>2620.6475247999997</v>
      </c>
      <c r="Y192" s="626">
        <v>2168.1006786000003</v>
      </c>
      <c r="Z192" s="626">
        <v>438.5770728</v>
      </c>
      <c r="AA192" s="626">
        <v>398.0699193</v>
      </c>
      <c r="AB192" s="626">
        <v>2138.9442198</v>
      </c>
      <c r="AC192" s="626">
        <v>1873.9559095</v>
      </c>
      <c r="AD192" s="626">
        <v>1690.5296518999999</v>
      </c>
      <c r="AE192" s="626">
        <v>1498.8142123</v>
      </c>
      <c r="AF192" s="626">
        <v>1511.8686627</v>
      </c>
      <c r="AG192" s="626">
        <v>1069.692136</v>
      </c>
      <c r="AH192" s="625">
        <v>1.0325113566959707</v>
      </c>
      <c r="AI192" s="625">
        <v>0.23738176462885161</v>
      </c>
      <c r="AJ192" s="625">
        <v>0.37002190513985456</v>
      </c>
      <c r="AK192" s="625">
        <v>1.2609680282338225</v>
      </c>
      <c r="AL192" s="625">
        <v>1.4173992756175535</v>
      </c>
      <c r="AM192" s="625">
        <v>1.1427895793906584</v>
      </c>
      <c r="AN192" s="625">
        <v>1.1313689121209567</v>
      </c>
      <c r="AO192" s="625">
        <v>1.208729627148917</v>
      </c>
      <c r="AP192" s="625">
        <v>1.1017588910239302</v>
      </c>
      <c r="AQ192" s="625">
        <v>1.141405840423295</v>
      </c>
      <c r="AR192" s="625">
        <v>1.1279114102540813</v>
      </c>
      <c r="AS192" s="625">
        <v>1.41336802592785</v>
      </c>
    </row>
    <row r="193">
      <c r="B193" s="623">
        <v>1257800</v>
      </c>
      <c r="C193" s="603" t="s">
        <v>77</v>
      </c>
      <c r="D193" s="0" t="s">
        <v>64</v>
      </c>
      <c r="E193" s="0" t="s">
        <v>75</v>
      </c>
      <c r="F193" s="625">
        <v>4.8823572859336162</v>
      </c>
      <c r="G193" s="625">
        <v>1.2169051123450672</v>
      </c>
      <c r="H193" s="624">
        <v>5.6890548685603672</v>
      </c>
      <c r="I193" s="624">
        <v>14.08665294723138</v>
      </c>
      <c r="J193" s="626">
        <v>1257.8</v>
      </c>
      <c r="K193" s="626">
        <v>1106.382</v>
      </c>
      <c r="L193" s="626">
        <v>616.482</v>
      </c>
      <c r="M193" s="626">
        <v>2597.084</v>
      </c>
      <c r="N193" s="626">
        <v>205.4062</v>
      </c>
      <c r="O193" s="626">
        <v>558.40680000000009</v>
      </c>
      <c r="P193" s="626">
        <v>379.36206</v>
      </c>
      <c r="Q193" s="626">
        <v>297.7884</v>
      </c>
      <c r="R193" s="626">
        <v>1718.01</v>
      </c>
      <c r="S193" s="626">
        <v>1145.34</v>
      </c>
      <c r="T193" s="626">
        <v>2004.345</v>
      </c>
      <c r="U193" s="626">
        <v>1737.099</v>
      </c>
      <c r="V193" s="626">
        <v>2672.46</v>
      </c>
      <c r="W193" s="626">
        <v>2351.7648</v>
      </c>
      <c r="X193" s="626">
        <v>2565.5616</v>
      </c>
      <c r="Y193" s="626">
        <v>2137.968</v>
      </c>
      <c r="Z193" s="626">
        <v>418.1994626</v>
      </c>
      <c r="AA193" s="626">
        <v>380.1813297</v>
      </c>
      <c r="AB193" s="626">
        <v>2041.8138557</v>
      </c>
      <c r="AC193" s="626">
        <v>1801.6004609000001</v>
      </c>
      <c r="AD193" s="626">
        <v>1578.819375</v>
      </c>
      <c r="AE193" s="626">
        <v>1393.497</v>
      </c>
      <c r="AF193" s="626">
        <v>1422.118283</v>
      </c>
      <c r="AG193" s="626">
        <v>1004.2089145</v>
      </c>
      <c r="AH193" s="625">
        <v>1.1368586979903868</v>
      </c>
      <c r="AI193" s="625">
        <v>0.23737468637903125</v>
      </c>
      <c r="AJ193" s="625">
        <v>0.36784329990250847</v>
      </c>
      <c r="AK193" s="625">
        <v>1.2739316239316239</v>
      </c>
      <c r="AL193" s="625">
        <v>1.5</v>
      </c>
      <c r="AM193" s="625">
        <v>1.1538461538461537</v>
      </c>
      <c r="AN193" s="625">
        <v>1.1363636363636365</v>
      </c>
      <c r="AO193" s="625">
        <v>1.1999999999999997</v>
      </c>
      <c r="AP193" s="625">
        <v>1.0999999999999999</v>
      </c>
      <c r="AQ193" s="625">
        <v>1.1333333333333335</v>
      </c>
      <c r="AR193" s="625">
        <v>1.1329908675799087</v>
      </c>
      <c r="AS193" s="625">
        <v>1.4161577959311642</v>
      </c>
    </row>
    <row r="194">
      <c r="B194" s="623">
        <v>1257800</v>
      </c>
      <c r="C194" s="603" t="s">
        <v>78</v>
      </c>
      <c r="D194" s="0" t="s">
        <v>64</v>
      </c>
      <c r="E194" s="0" t="s">
        <v>75</v>
      </c>
      <c r="F194" s="625">
        <v>5.6147108788236588</v>
      </c>
      <c r="G194" s="625">
        <v>1.3994408791968271</v>
      </c>
      <c r="H194" s="624">
        <v>6.5424130988444213</v>
      </c>
      <c r="I194" s="624">
        <v>16.199650889316086</v>
      </c>
      <c r="J194" s="626">
        <v>1509.36</v>
      </c>
      <c r="K194" s="626">
        <v>1327.6583999999998</v>
      </c>
      <c r="L194" s="626">
        <v>739.7784</v>
      </c>
      <c r="M194" s="626">
        <v>3116.5008</v>
      </c>
      <c r="N194" s="626">
        <v>246.48744</v>
      </c>
      <c r="O194" s="626">
        <v>670.08816</v>
      </c>
      <c r="P194" s="626">
        <v>417.298266</v>
      </c>
      <c r="Q194" s="626">
        <v>327.56723999999997</v>
      </c>
      <c r="R194" s="626">
        <v>1889.811</v>
      </c>
      <c r="S194" s="626">
        <v>1259.874</v>
      </c>
      <c r="T194" s="626">
        <v>2204.7795</v>
      </c>
      <c r="U194" s="626">
        <v>1910.8089</v>
      </c>
      <c r="V194" s="626">
        <v>2939.706</v>
      </c>
      <c r="W194" s="626">
        <v>2586.94128</v>
      </c>
      <c r="X194" s="626">
        <v>2822.1177599999996</v>
      </c>
      <c r="Y194" s="626">
        <v>2351.7648</v>
      </c>
      <c r="Z194" s="626">
        <v>460.0194089</v>
      </c>
      <c r="AA194" s="626">
        <v>418.1994626</v>
      </c>
      <c r="AB194" s="626">
        <v>2245.9952412000002</v>
      </c>
      <c r="AC194" s="626">
        <v>1981.760507</v>
      </c>
      <c r="AD194" s="626">
        <v>1736.7013125</v>
      </c>
      <c r="AE194" s="626">
        <v>1532.8467</v>
      </c>
      <c r="AF194" s="626">
        <v>1564.3301113</v>
      </c>
      <c r="AG194" s="626">
        <v>1104.6298060000001</v>
      </c>
      <c r="AH194" s="625">
        <v>1.1368586979903868</v>
      </c>
      <c r="AI194" s="625">
        <v>0.23737468637903128</v>
      </c>
      <c r="AJ194" s="625">
        <v>0.36784329990250847</v>
      </c>
      <c r="AK194" s="625">
        <v>1.2739316239316239</v>
      </c>
      <c r="AL194" s="625">
        <v>1.5</v>
      </c>
      <c r="AM194" s="625">
        <v>1.153846153846154</v>
      </c>
      <c r="AN194" s="625">
        <v>1.1363636363636362</v>
      </c>
      <c r="AO194" s="625">
        <v>1.2</v>
      </c>
      <c r="AP194" s="625">
        <v>1.0999999999999999</v>
      </c>
      <c r="AQ194" s="625">
        <v>1.1333333333333338</v>
      </c>
      <c r="AR194" s="625">
        <v>1.1329908675799087</v>
      </c>
      <c r="AS194" s="625">
        <v>1.416157795931164</v>
      </c>
    </row>
    <row r="195">
      <c r="B195" s="623">
        <v>1257800</v>
      </c>
      <c r="C195" s="603" t="s">
        <v>79</v>
      </c>
      <c r="D195" s="0" t="s">
        <v>64</v>
      </c>
      <c r="E195" s="0" t="s">
        <v>75</v>
      </c>
      <c r="F195" s="625">
        <v>6.3470644717137024</v>
      </c>
      <c r="G195" s="625">
        <v>1.5819766460485876</v>
      </c>
      <c r="H195" s="624">
        <v>7.3957713291284781</v>
      </c>
      <c r="I195" s="624">
        <v>18.312648831400796</v>
      </c>
      <c r="J195" s="626">
        <v>1635.14</v>
      </c>
      <c r="K195" s="626">
        <v>1438.2966000000001</v>
      </c>
      <c r="L195" s="626">
        <v>801.4266</v>
      </c>
      <c r="M195" s="626">
        <v>3376.2092000000002</v>
      </c>
      <c r="N195" s="626">
        <v>267.02806</v>
      </c>
      <c r="O195" s="626">
        <v>725.92883999999992</v>
      </c>
      <c r="P195" s="626">
        <v>455.234472</v>
      </c>
      <c r="Q195" s="626">
        <v>357.34608000000003</v>
      </c>
      <c r="R195" s="626">
        <v>2061.612</v>
      </c>
      <c r="S195" s="626">
        <v>1374.408</v>
      </c>
      <c r="T195" s="626">
        <v>2405.214</v>
      </c>
      <c r="U195" s="626">
        <v>2084.5188</v>
      </c>
      <c r="V195" s="626">
        <v>3206.952</v>
      </c>
      <c r="W195" s="626">
        <v>2822.1177599999996</v>
      </c>
      <c r="X195" s="626">
        <v>3078.6739199999997</v>
      </c>
      <c r="Y195" s="626">
        <v>2565.5616</v>
      </c>
      <c r="Z195" s="626">
        <v>501.8393551</v>
      </c>
      <c r="AA195" s="626">
        <v>456.2175956</v>
      </c>
      <c r="AB195" s="626">
        <v>2450.1766268</v>
      </c>
      <c r="AC195" s="626">
        <v>2161.9205531000002</v>
      </c>
      <c r="AD195" s="626">
        <v>1894.58325</v>
      </c>
      <c r="AE195" s="626">
        <v>1672.1963999999998</v>
      </c>
      <c r="AF195" s="626">
        <v>1706.5419396</v>
      </c>
      <c r="AG195" s="626">
        <v>1205.0506974</v>
      </c>
      <c r="AH195" s="625">
        <v>1.1368586979903865</v>
      </c>
      <c r="AI195" s="625">
        <v>0.23737468637903122</v>
      </c>
      <c r="AJ195" s="625">
        <v>0.36784329990250847</v>
      </c>
      <c r="AK195" s="625">
        <v>1.2739316239316241</v>
      </c>
      <c r="AL195" s="625">
        <v>1.5</v>
      </c>
      <c r="AM195" s="625">
        <v>1.153846153846154</v>
      </c>
      <c r="AN195" s="625">
        <v>1.1363636363636362</v>
      </c>
      <c r="AO195" s="625">
        <v>1.1999999999999997</v>
      </c>
      <c r="AP195" s="625">
        <v>1.0999999999999999</v>
      </c>
      <c r="AQ195" s="625">
        <v>1.1333333333333335</v>
      </c>
      <c r="AR195" s="625">
        <v>1.1329908675799087</v>
      </c>
      <c r="AS195" s="625">
        <v>1.416157795931164</v>
      </c>
    </row>
    <row r="196">
      <c r="B196" s="623">
        <v>1300000</v>
      </c>
      <c r="C196" s="603" t="s">
        <v>77</v>
      </c>
      <c r="D196" s="0" t="s">
        <v>64</v>
      </c>
      <c r="E196" s="0" t="s">
        <v>75</v>
      </c>
      <c r="F196" s="625">
        <v>4.987398148593357</v>
      </c>
      <c r="G196" s="625">
        <v>1.2566874206772252</v>
      </c>
      <c r="H196" s="624">
        <v>5.615094153173624</v>
      </c>
      <c r="I196" s="624">
        <v>13.790201368039732</v>
      </c>
      <c r="J196" s="626">
        <v>1300</v>
      </c>
      <c r="K196" s="626">
        <v>1123.8741510999998</v>
      </c>
      <c r="L196" s="626">
        <v>631.61180110000009</v>
      </c>
      <c r="M196" s="626">
        <v>2666.6856833</v>
      </c>
      <c r="N196" s="626">
        <v>205.4062</v>
      </c>
      <c r="O196" s="626">
        <v>565.4588807</v>
      </c>
      <c r="P196" s="626">
        <v>395.9205456</v>
      </c>
      <c r="Q196" s="626">
        <v>311.1237217</v>
      </c>
      <c r="R196" s="626">
        <v>1762.0172534</v>
      </c>
      <c r="S196" s="626">
        <v>1208.6966115999999</v>
      </c>
      <c r="T196" s="626">
        <v>2095.9907537</v>
      </c>
      <c r="U196" s="626">
        <v>1818.1968462</v>
      </c>
      <c r="V196" s="626">
        <v>2686.9849874</v>
      </c>
      <c r="W196" s="626">
        <v>2373.0681148</v>
      </c>
      <c r="X196" s="626">
        <v>2742.0401966</v>
      </c>
      <c r="Y196" s="626">
        <v>2294.1116143</v>
      </c>
      <c r="Z196" s="626">
        <v>436.7890058</v>
      </c>
      <c r="AA196" s="626">
        <v>395.8789087</v>
      </c>
      <c r="AB196" s="626">
        <v>2109.3801431</v>
      </c>
      <c r="AC196" s="626">
        <v>1859.9049782</v>
      </c>
      <c r="AD196" s="626">
        <v>1609.7282023</v>
      </c>
      <c r="AE196" s="626">
        <v>1416.5813549</v>
      </c>
      <c r="AF196" s="626">
        <v>1570.167678</v>
      </c>
      <c r="AG196" s="626">
        <v>1111.6259687000002</v>
      </c>
      <c r="AH196" s="625">
        <v>1.1567131415272258</v>
      </c>
      <c r="AI196" s="625">
        <v>0.23685273637364315</v>
      </c>
      <c r="AJ196" s="625">
        <v>0.36325576804890486</v>
      </c>
      <c r="AK196" s="625">
        <v>1.2725501719706218</v>
      </c>
      <c r="AL196" s="625">
        <v>1.4577829014313084</v>
      </c>
      <c r="AM196" s="625">
        <v>1.1527853862920179</v>
      </c>
      <c r="AN196" s="625">
        <v>1.1322831277350043</v>
      </c>
      <c r="AO196" s="625">
        <v>1.1952514339469207</v>
      </c>
      <c r="AP196" s="625">
        <v>1.1033399260096626</v>
      </c>
      <c r="AQ196" s="625">
        <v>1.1341332852603931</v>
      </c>
      <c r="AR196" s="625">
        <v>1.1363471619147387</v>
      </c>
      <c r="AS196" s="625">
        <v>1.4124963991783763</v>
      </c>
    </row>
    <row r="197">
      <c r="B197" s="623">
        <v>1300000</v>
      </c>
      <c r="C197" s="603" t="s">
        <v>78</v>
      </c>
      <c r="D197" s="0" t="s">
        <v>64</v>
      </c>
      <c r="E197" s="0" t="s">
        <v>75</v>
      </c>
      <c r="F197" s="625">
        <v>5.73550787088236</v>
      </c>
      <c r="G197" s="625">
        <v>1.4451905337788089</v>
      </c>
      <c r="H197" s="624">
        <v>6.4573582761496668</v>
      </c>
      <c r="I197" s="624">
        <v>15.85873157324569</v>
      </c>
      <c r="J197" s="626">
        <v>1560</v>
      </c>
      <c r="K197" s="626">
        <v>1348.6489813</v>
      </c>
      <c r="L197" s="626">
        <v>757.9341614</v>
      </c>
      <c r="M197" s="626">
        <v>3200.0228199999997</v>
      </c>
      <c r="N197" s="626">
        <v>246.48744</v>
      </c>
      <c r="O197" s="626">
        <v>678.5506568</v>
      </c>
      <c r="P197" s="626">
        <v>435.5126002</v>
      </c>
      <c r="Q197" s="626">
        <v>342.23609389999996</v>
      </c>
      <c r="R197" s="626">
        <v>1938.2189787999998</v>
      </c>
      <c r="S197" s="626">
        <v>1329.5662728</v>
      </c>
      <c r="T197" s="626">
        <v>2305.5898291000003</v>
      </c>
      <c r="U197" s="626">
        <v>2000.0165308</v>
      </c>
      <c r="V197" s="626">
        <v>2955.6834860999998</v>
      </c>
      <c r="W197" s="626">
        <v>2610.3749263</v>
      </c>
      <c r="X197" s="626">
        <v>3016.2442163</v>
      </c>
      <c r="Y197" s="626">
        <v>2523.5227757000002</v>
      </c>
      <c r="Z197" s="626">
        <v>480.4679064</v>
      </c>
      <c r="AA197" s="626">
        <v>435.46679950000004</v>
      </c>
      <c r="AB197" s="626">
        <v>2320.3181575000003</v>
      </c>
      <c r="AC197" s="626">
        <v>2045.895476</v>
      </c>
      <c r="AD197" s="626">
        <v>1770.7010225</v>
      </c>
      <c r="AE197" s="626">
        <v>1558.2394904</v>
      </c>
      <c r="AF197" s="626">
        <v>1727.1844458</v>
      </c>
      <c r="AG197" s="626">
        <v>1222.7885655</v>
      </c>
      <c r="AH197" s="625">
        <v>1.156713141527226</v>
      </c>
      <c r="AI197" s="625">
        <v>0.23685273637364315</v>
      </c>
      <c r="AJ197" s="625">
        <v>0.3632557680489048</v>
      </c>
      <c r="AK197" s="625">
        <v>1.2725501719706218</v>
      </c>
      <c r="AL197" s="625">
        <v>1.4577829014313084</v>
      </c>
      <c r="AM197" s="625">
        <v>1.1527853862920179</v>
      </c>
      <c r="AN197" s="625">
        <v>1.1322831277350043</v>
      </c>
      <c r="AO197" s="625">
        <v>1.1952514339469207</v>
      </c>
      <c r="AP197" s="625">
        <v>1.1033399260096626</v>
      </c>
      <c r="AQ197" s="625">
        <v>1.1341332852603931</v>
      </c>
      <c r="AR197" s="625">
        <v>1.1363471619147387</v>
      </c>
      <c r="AS197" s="625">
        <v>1.4124963991783763</v>
      </c>
    </row>
    <row r="198">
      <c r="B198" s="623">
        <v>1300000</v>
      </c>
      <c r="C198" s="603" t="s">
        <v>79</v>
      </c>
      <c r="D198" s="0" t="s">
        <v>64</v>
      </c>
      <c r="E198" s="0" t="s">
        <v>75</v>
      </c>
      <c r="F198" s="625">
        <v>6.4836175931713651</v>
      </c>
      <c r="G198" s="625">
        <v>1.6336936468803929</v>
      </c>
      <c r="H198" s="624">
        <v>7.2996223991257114</v>
      </c>
      <c r="I198" s="624">
        <v>17.927261778451655</v>
      </c>
      <c r="J198" s="626">
        <v>1690</v>
      </c>
      <c r="K198" s="626">
        <v>1461.0363964</v>
      </c>
      <c r="L198" s="626">
        <v>821.0953415</v>
      </c>
      <c r="M198" s="626">
        <v>3466.6913883</v>
      </c>
      <c r="N198" s="626">
        <v>267.02806</v>
      </c>
      <c r="O198" s="626">
        <v>735.0965449</v>
      </c>
      <c r="P198" s="626">
        <v>475.1046547</v>
      </c>
      <c r="Q198" s="626">
        <v>373.3484661</v>
      </c>
      <c r="R198" s="626">
        <v>2114.4207041000004</v>
      </c>
      <c r="S198" s="626">
        <v>1450.4359339</v>
      </c>
      <c r="T198" s="626">
        <v>2515.1889044</v>
      </c>
      <c r="U198" s="626">
        <v>2181.8362154</v>
      </c>
      <c r="V198" s="626">
        <v>3224.3819849</v>
      </c>
      <c r="W198" s="626">
        <v>2847.6817377999996</v>
      </c>
      <c r="X198" s="626">
        <v>3290.448236</v>
      </c>
      <c r="Y198" s="626">
        <v>2752.9339372</v>
      </c>
      <c r="Z198" s="626">
        <v>524.146807</v>
      </c>
      <c r="AA198" s="626">
        <v>475.0546904</v>
      </c>
      <c r="AB198" s="626">
        <v>2531.2561718</v>
      </c>
      <c r="AC198" s="626">
        <v>2231.8859737999996</v>
      </c>
      <c r="AD198" s="626">
        <v>1931.6738427999999</v>
      </c>
      <c r="AE198" s="626">
        <v>1699.8976259</v>
      </c>
      <c r="AF198" s="626">
        <v>1884.2012135999999</v>
      </c>
      <c r="AG198" s="626">
        <v>1333.9511624</v>
      </c>
      <c r="AH198" s="625">
        <v>1.1567131415272258</v>
      </c>
      <c r="AI198" s="625">
        <v>0.23685273637364313</v>
      </c>
      <c r="AJ198" s="625">
        <v>0.36325576804890486</v>
      </c>
      <c r="AK198" s="625">
        <v>1.2725501719706218</v>
      </c>
      <c r="AL198" s="625">
        <v>1.4577829014313086</v>
      </c>
      <c r="AM198" s="625">
        <v>1.1527853862920179</v>
      </c>
      <c r="AN198" s="625">
        <v>1.1322831277350043</v>
      </c>
      <c r="AO198" s="625">
        <v>1.1952514339469209</v>
      </c>
      <c r="AP198" s="625">
        <v>1.1033399260096626</v>
      </c>
      <c r="AQ198" s="625">
        <v>1.1341332852603934</v>
      </c>
      <c r="AR198" s="625">
        <v>1.1363471619147387</v>
      </c>
      <c r="AS198" s="625">
        <v>1.4124963991783763</v>
      </c>
    </row>
    <row r="199">
      <c r="B199" s="623">
        <v>1428221</v>
      </c>
      <c r="C199" s="603" t="s">
        <v>77</v>
      </c>
      <c r="D199" s="0" t="s">
        <v>64</v>
      </c>
      <c r="E199" s="0" t="s">
        <v>75</v>
      </c>
      <c r="F199" s="625">
        <v>5.2794096868971119</v>
      </c>
      <c r="G199" s="625">
        <v>1.3775624765221928</v>
      </c>
      <c r="H199" s="624">
        <v>5.4223616041341058</v>
      </c>
      <c r="I199" s="624">
        <v>13.025527055272663</v>
      </c>
      <c r="J199" s="626">
        <v>1428.221</v>
      </c>
      <c r="K199" s="626">
        <v>1177.0225185</v>
      </c>
      <c r="L199" s="626">
        <v>677.5823754</v>
      </c>
      <c r="M199" s="626">
        <v>2878.1642956</v>
      </c>
      <c r="N199" s="626">
        <v>205.4062</v>
      </c>
      <c r="O199" s="626">
        <v>586.8860095</v>
      </c>
      <c r="P199" s="626">
        <v>446.23205229999996</v>
      </c>
      <c r="Q199" s="626">
        <v>351.6419277</v>
      </c>
      <c r="R199" s="626">
        <v>1895.7294345</v>
      </c>
      <c r="S199" s="626">
        <v>1401.200121</v>
      </c>
      <c r="T199" s="626">
        <v>2374.448341</v>
      </c>
      <c r="U199" s="626">
        <v>2064.6055413999998</v>
      </c>
      <c r="V199" s="626">
        <v>2731.1178879999998</v>
      </c>
      <c r="W199" s="626">
        <v>2437.7963691</v>
      </c>
      <c r="X199" s="626">
        <v>3278.2549393000004</v>
      </c>
      <c r="Y199" s="626">
        <v>2768.5402961</v>
      </c>
      <c r="Z199" s="626">
        <v>493.2717029</v>
      </c>
      <c r="AA199" s="626">
        <v>443.5746262</v>
      </c>
      <c r="AB199" s="626">
        <v>2314.6743835999996</v>
      </c>
      <c r="AC199" s="626">
        <v>2037.0581419</v>
      </c>
      <c r="AD199" s="626">
        <v>1703.6419641</v>
      </c>
      <c r="AE199" s="626">
        <v>1486.7211433999999</v>
      </c>
      <c r="AF199" s="626">
        <v>2020.0027839</v>
      </c>
      <c r="AG199" s="626">
        <v>1438.0032697000002</v>
      </c>
      <c r="AH199" s="625">
        <v>1.2134185858785853</v>
      </c>
      <c r="AI199" s="625">
        <v>0.23542171529655226</v>
      </c>
      <c r="AJ199" s="625">
        <v>0.34999334909219965</v>
      </c>
      <c r="AK199" s="625">
        <v>1.2689955811086264</v>
      </c>
      <c r="AL199" s="625">
        <v>1.3529326796726353</v>
      </c>
      <c r="AM199" s="625">
        <v>1.1500736065146382</v>
      </c>
      <c r="AN199" s="625">
        <v>1.1203224037287431</v>
      </c>
      <c r="AO199" s="625">
        <v>1.1841095265729047</v>
      </c>
      <c r="AP199" s="625">
        <v>1.1120376905098832</v>
      </c>
      <c r="AQ199" s="625">
        <v>1.1362829248757913</v>
      </c>
      <c r="AR199" s="625">
        <v>1.1459055193912668</v>
      </c>
      <c r="AS199" s="625">
        <v>1.4047275319460562</v>
      </c>
    </row>
    <row r="200">
      <c r="B200" s="623">
        <v>1428221</v>
      </c>
      <c r="C200" s="603" t="s">
        <v>78</v>
      </c>
      <c r="D200" s="0" t="s">
        <v>64</v>
      </c>
      <c r="E200" s="0" t="s">
        <v>75</v>
      </c>
      <c r="F200" s="625">
        <v>6.071321139931678</v>
      </c>
      <c r="G200" s="625">
        <v>1.5841968480005215</v>
      </c>
      <c r="H200" s="624">
        <v>6.2357158447542211</v>
      </c>
      <c r="I200" s="624">
        <v>14.979356113563561</v>
      </c>
      <c r="J200" s="626">
        <v>1713.8652</v>
      </c>
      <c r="K200" s="626">
        <v>1412.4270223</v>
      </c>
      <c r="L200" s="626">
        <v>813.0988504</v>
      </c>
      <c r="M200" s="626">
        <v>3453.7971546999997</v>
      </c>
      <c r="N200" s="626">
        <v>246.48744</v>
      </c>
      <c r="O200" s="626">
        <v>704.2632114</v>
      </c>
      <c r="P200" s="626">
        <v>490.8552576</v>
      </c>
      <c r="Q200" s="626">
        <v>386.8061204</v>
      </c>
      <c r="R200" s="626">
        <v>2085.302378</v>
      </c>
      <c r="S200" s="626">
        <v>1541.3201331</v>
      </c>
      <c r="T200" s="626">
        <v>2611.8931751</v>
      </c>
      <c r="U200" s="626">
        <v>2271.0660955</v>
      </c>
      <c r="V200" s="626">
        <v>3004.2296768</v>
      </c>
      <c r="W200" s="626">
        <v>2681.5760060000002</v>
      </c>
      <c r="X200" s="626">
        <v>3606.0804332</v>
      </c>
      <c r="Y200" s="626">
        <v>3045.3943257</v>
      </c>
      <c r="Z200" s="626">
        <v>542.59887320000007</v>
      </c>
      <c r="AA200" s="626">
        <v>487.93208880000003</v>
      </c>
      <c r="AB200" s="626">
        <v>2546.1418218999997</v>
      </c>
      <c r="AC200" s="626">
        <v>2240.763956</v>
      </c>
      <c r="AD200" s="626">
        <v>1874.0061605</v>
      </c>
      <c r="AE200" s="626">
        <v>1635.3932578000001</v>
      </c>
      <c r="AF200" s="626">
        <v>2222.0030623</v>
      </c>
      <c r="AG200" s="626">
        <v>1581.8035966</v>
      </c>
      <c r="AH200" s="625">
        <v>1.2134185858785853</v>
      </c>
      <c r="AI200" s="625">
        <v>0.23542171529655223</v>
      </c>
      <c r="AJ200" s="625">
        <v>0.34999334909219959</v>
      </c>
      <c r="AK200" s="625">
        <v>1.2689955811086264</v>
      </c>
      <c r="AL200" s="625">
        <v>1.3529326796726353</v>
      </c>
      <c r="AM200" s="625">
        <v>1.1500736065146382</v>
      </c>
      <c r="AN200" s="625">
        <v>1.1203224037287431</v>
      </c>
      <c r="AO200" s="625">
        <v>1.1841095265729045</v>
      </c>
      <c r="AP200" s="625">
        <v>1.1120376905098832</v>
      </c>
      <c r="AQ200" s="625">
        <v>1.1362829248757913</v>
      </c>
      <c r="AR200" s="625">
        <v>1.1459055193912671</v>
      </c>
      <c r="AS200" s="625">
        <v>1.4047275319460562</v>
      </c>
    </row>
    <row r="201">
      <c r="B201" s="623">
        <v>1428221</v>
      </c>
      <c r="C201" s="603" t="s">
        <v>79</v>
      </c>
      <c r="D201" s="0" t="s">
        <v>64</v>
      </c>
      <c r="E201" s="0" t="s">
        <v>75</v>
      </c>
      <c r="F201" s="625">
        <v>6.8632325929662468</v>
      </c>
      <c r="G201" s="625">
        <v>1.7908312194788507</v>
      </c>
      <c r="H201" s="624">
        <v>7.0490700853743382</v>
      </c>
      <c r="I201" s="624">
        <v>16.933185171854465</v>
      </c>
      <c r="J201" s="626">
        <v>1856.6873</v>
      </c>
      <c r="K201" s="626">
        <v>1530.1292741</v>
      </c>
      <c r="L201" s="626">
        <v>880.857088</v>
      </c>
      <c r="M201" s="626">
        <v>3741.6135843</v>
      </c>
      <c r="N201" s="626">
        <v>267.02806</v>
      </c>
      <c r="O201" s="626">
        <v>762.9518123</v>
      </c>
      <c r="P201" s="626">
        <v>535.4784628</v>
      </c>
      <c r="Q201" s="626">
        <v>421.97031319999996</v>
      </c>
      <c r="R201" s="626">
        <v>2274.8753214</v>
      </c>
      <c r="S201" s="626">
        <v>1681.4401452</v>
      </c>
      <c r="T201" s="626">
        <v>2849.3380092</v>
      </c>
      <c r="U201" s="626">
        <v>2477.5266497</v>
      </c>
      <c r="V201" s="626">
        <v>3277.3414656000004</v>
      </c>
      <c r="W201" s="626">
        <v>2925.3556429</v>
      </c>
      <c r="X201" s="626">
        <v>3933.9059272</v>
      </c>
      <c r="Y201" s="626">
        <v>3322.2483552999997</v>
      </c>
      <c r="Z201" s="626">
        <v>591.9260435</v>
      </c>
      <c r="AA201" s="626">
        <v>532.2895514</v>
      </c>
      <c r="AB201" s="626">
        <v>2777.6092603</v>
      </c>
      <c r="AC201" s="626">
        <v>2444.4697702000003</v>
      </c>
      <c r="AD201" s="626">
        <v>2044.3703569</v>
      </c>
      <c r="AE201" s="626">
        <v>1784.0653721</v>
      </c>
      <c r="AF201" s="626">
        <v>2424.0033407</v>
      </c>
      <c r="AG201" s="626">
        <v>1725.6039236000001</v>
      </c>
      <c r="AH201" s="625">
        <v>1.2134185858785853</v>
      </c>
      <c r="AI201" s="625">
        <v>0.23542171529655226</v>
      </c>
      <c r="AJ201" s="625">
        <v>0.34999334909219965</v>
      </c>
      <c r="AK201" s="625">
        <v>1.2689955811086264</v>
      </c>
      <c r="AL201" s="625">
        <v>1.3529326796726353</v>
      </c>
      <c r="AM201" s="625">
        <v>1.150073606514638</v>
      </c>
      <c r="AN201" s="625">
        <v>1.1203224037287431</v>
      </c>
      <c r="AO201" s="625">
        <v>1.1841095265729045</v>
      </c>
      <c r="AP201" s="625">
        <v>1.1120376905098834</v>
      </c>
      <c r="AQ201" s="625">
        <v>1.1362829248757911</v>
      </c>
      <c r="AR201" s="625">
        <v>1.1459055193912671</v>
      </c>
      <c r="AS201" s="625">
        <v>1.4047275319460562</v>
      </c>
    </row>
    <row r="202">
      <c r="B202" s="623">
        <v>1500000</v>
      </c>
      <c r="C202" s="603" t="s">
        <v>77</v>
      </c>
      <c r="D202" s="0" t="s">
        <v>64</v>
      </c>
      <c r="E202" s="0" t="s">
        <v>75</v>
      </c>
      <c r="F202" s="625">
        <v>5.42712692738702</v>
      </c>
      <c r="G202" s="625">
        <v>1.4452291663272632</v>
      </c>
      <c r="H202" s="624">
        <v>5.3314739613023772</v>
      </c>
      <c r="I202" s="624">
        <v>12.668806112215039</v>
      </c>
      <c r="J202" s="626">
        <v>1500</v>
      </c>
      <c r="K202" s="626">
        <v>1206.7753411</v>
      </c>
      <c r="L202" s="626">
        <v>703.3170198</v>
      </c>
      <c r="M202" s="626">
        <v>2996.5514811</v>
      </c>
      <c r="N202" s="626">
        <v>205.4062</v>
      </c>
      <c r="O202" s="626">
        <v>598.881064</v>
      </c>
      <c r="P202" s="626">
        <v>474.3967807</v>
      </c>
      <c r="Q202" s="626">
        <v>374.3242987</v>
      </c>
      <c r="R202" s="626">
        <v>1970.5824355</v>
      </c>
      <c r="S202" s="626">
        <v>1508.9649131</v>
      </c>
      <c r="T202" s="626">
        <v>2530.3308186</v>
      </c>
      <c r="U202" s="626">
        <v>2202.5468281999997</v>
      </c>
      <c r="V202" s="626">
        <v>2755.8237900999998</v>
      </c>
      <c r="W202" s="626">
        <v>2474.0316921999997</v>
      </c>
      <c r="X202" s="626">
        <v>3578.4316499</v>
      </c>
      <c r="Y202" s="626">
        <v>3034.1287438</v>
      </c>
      <c r="Z202" s="626">
        <v>524.89110620000008</v>
      </c>
      <c r="AA202" s="626">
        <v>470.2750178</v>
      </c>
      <c r="AB202" s="626">
        <v>2429.5995150999997</v>
      </c>
      <c r="AC202" s="626">
        <v>2136.2297045</v>
      </c>
      <c r="AD202" s="626">
        <v>1756.2155355</v>
      </c>
      <c r="AE202" s="626">
        <v>1525.9858807</v>
      </c>
      <c r="AF202" s="626">
        <v>2271.8235781999997</v>
      </c>
      <c r="AG202" s="626">
        <v>1620.7115334</v>
      </c>
      <c r="AH202" s="625">
        <v>1.2429819775523276</v>
      </c>
      <c r="AI202" s="625">
        <v>0.23470880586492648</v>
      </c>
      <c r="AJ202" s="625">
        <v>0.34298329393982224</v>
      </c>
      <c r="AK202" s="625">
        <v>1.2673416669323021</v>
      </c>
      <c r="AL202" s="625">
        <v>1.3059166707217675</v>
      </c>
      <c r="AM202" s="625">
        <v>1.1488204410694556</v>
      </c>
      <c r="AN202" s="625">
        <v>1.1138999548129411</v>
      </c>
      <c r="AO202" s="625">
        <v>1.1793934773804702</v>
      </c>
      <c r="AP202" s="625">
        <v>1.1161364868939356</v>
      </c>
      <c r="AQ202" s="625">
        <v>1.1373306484315164</v>
      </c>
      <c r="AR202" s="625">
        <v>1.1508727293642391</v>
      </c>
      <c r="AS202" s="625">
        <v>1.4017445618159139</v>
      </c>
    </row>
    <row r="203">
      <c r="B203" s="623">
        <v>1500000</v>
      </c>
      <c r="C203" s="603" t="s">
        <v>78</v>
      </c>
      <c r="D203" s="0" t="s">
        <v>64</v>
      </c>
      <c r="E203" s="0" t="s">
        <v>75</v>
      </c>
      <c r="F203" s="625">
        <v>6.2411959664950727</v>
      </c>
      <c r="G203" s="625">
        <v>1.6620135412763524</v>
      </c>
      <c r="H203" s="624">
        <v>6.1311950554977335</v>
      </c>
      <c r="I203" s="624">
        <v>14.569127029047293</v>
      </c>
      <c r="J203" s="626">
        <v>1800</v>
      </c>
      <c r="K203" s="626">
        <v>1448.1304094</v>
      </c>
      <c r="L203" s="626">
        <v>843.9804238</v>
      </c>
      <c r="M203" s="626">
        <v>3595.8617773</v>
      </c>
      <c r="N203" s="626">
        <v>246.48744</v>
      </c>
      <c r="O203" s="626">
        <v>718.6572768</v>
      </c>
      <c r="P203" s="626">
        <v>521.83645880000006</v>
      </c>
      <c r="Q203" s="626">
        <v>411.7567286</v>
      </c>
      <c r="R203" s="626">
        <v>2167.6406791</v>
      </c>
      <c r="S203" s="626">
        <v>1659.8614044</v>
      </c>
      <c r="T203" s="626">
        <v>2783.3639005</v>
      </c>
      <c r="U203" s="626">
        <v>2422.801511</v>
      </c>
      <c r="V203" s="626">
        <v>3031.4061691</v>
      </c>
      <c r="W203" s="626">
        <v>2721.4348614</v>
      </c>
      <c r="X203" s="626">
        <v>3936.2748149</v>
      </c>
      <c r="Y203" s="626">
        <v>3337.5416182</v>
      </c>
      <c r="Z203" s="626">
        <v>577.38021680000008</v>
      </c>
      <c r="AA203" s="626">
        <v>517.3025195</v>
      </c>
      <c r="AB203" s="626">
        <v>2672.5594665999997</v>
      </c>
      <c r="AC203" s="626">
        <v>2349.8526749999996</v>
      </c>
      <c r="AD203" s="626">
        <v>1931.8370891</v>
      </c>
      <c r="AE203" s="626">
        <v>1678.5844688</v>
      </c>
      <c r="AF203" s="626">
        <v>2499.0059361</v>
      </c>
      <c r="AG203" s="626">
        <v>1782.7826868</v>
      </c>
      <c r="AH203" s="625">
        <v>1.2429819775523276</v>
      </c>
      <c r="AI203" s="625">
        <v>0.23470880586492646</v>
      </c>
      <c r="AJ203" s="625">
        <v>0.34298329393982224</v>
      </c>
      <c r="AK203" s="625">
        <v>1.2673416669323021</v>
      </c>
      <c r="AL203" s="625">
        <v>1.3059166707217675</v>
      </c>
      <c r="AM203" s="625">
        <v>1.1488204410694558</v>
      </c>
      <c r="AN203" s="625">
        <v>1.1138999548129409</v>
      </c>
      <c r="AO203" s="625">
        <v>1.1793934773804702</v>
      </c>
      <c r="AP203" s="625">
        <v>1.1161364868939359</v>
      </c>
      <c r="AQ203" s="625">
        <v>1.1373306484315164</v>
      </c>
      <c r="AR203" s="625">
        <v>1.1508727293642389</v>
      </c>
      <c r="AS203" s="625">
        <v>1.4017445618159139</v>
      </c>
    </row>
    <row r="204">
      <c r="B204" s="623">
        <v>1500000</v>
      </c>
      <c r="C204" s="603" t="s">
        <v>79</v>
      </c>
      <c r="D204" s="0" t="s">
        <v>64</v>
      </c>
      <c r="E204" s="0" t="s">
        <v>75</v>
      </c>
      <c r="F204" s="625">
        <v>7.0552650056031272</v>
      </c>
      <c r="G204" s="625">
        <v>1.8787979162254422</v>
      </c>
      <c r="H204" s="624">
        <v>6.9309161496930916</v>
      </c>
      <c r="I204" s="624">
        <v>16.469447945879551</v>
      </c>
      <c r="J204" s="626">
        <v>1950</v>
      </c>
      <c r="K204" s="626">
        <v>1568.8079435</v>
      </c>
      <c r="L204" s="626">
        <v>914.3121258</v>
      </c>
      <c r="M204" s="626">
        <v>3895.5169254</v>
      </c>
      <c r="N204" s="626">
        <v>267.02806</v>
      </c>
      <c r="O204" s="626">
        <v>778.54538320000006</v>
      </c>
      <c r="P204" s="626">
        <v>569.2761369000001</v>
      </c>
      <c r="Q204" s="626">
        <v>449.1891585</v>
      </c>
      <c r="R204" s="626">
        <v>2364.6989226</v>
      </c>
      <c r="S204" s="626">
        <v>1810.7578957</v>
      </c>
      <c r="T204" s="626">
        <v>3036.3969822999998</v>
      </c>
      <c r="U204" s="626">
        <v>2643.0561938</v>
      </c>
      <c r="V204" s="626">
        <v>3306.9885480999997</v>
      </c>
      <c r="W204" s="626">
        <v>2968.8380306000004</v>
      </c>
      <c r="X204" s="626">
        <v>4294.1179799</v>
      </c>
      <c r="Y204" s="626">
        <v>3640.9544925</v>
      </c>
      <c r="Z204" s="626">
        <v>629.8693274</v>
      </c>
      <c r="AA204" s="626">
        <v>564.3300213</v>
      </c>
      <c r="AB204" s="626">
        <v>2915.5194180999997</v>
      </c>
      <c r="AC204" s="626">
        <v>2563.4756454</v>
      </c>
      <c r="AD204" s="626">
        <v>2107.4586426</v>
      </c>
      <c r="AE204" s="626">
        <v>1831.1830568999999</v>
      </c>
      <c r="AF204" s="626">
        <v>2726.1882938999997</v>
      </c>
      <c r="AG204" s="626">
        <v>1944.8538400999998</v>
      </c>
      <c r="AH204" s="625">
        <v>1.2429819775523274</v>
      </c>
      <c r="AI204" s="625">
        <v>0.23470880586492648</v>
      </c>
      <c r="AJ204" s="625">
        <v>0.34298329393982219</v>
      </c>
      <c r="AK204" s="625">
        <v>1.2673416669323023</v>
      </c>
      <c r="AL204" s="625">
        <v>1.3059166707217675</v>
      </c>
      <c r="AM204" s="625">
        <v>1.1488204410694556</v>
      </c>
      <c r="AN204" s="625">
        <v>1.1138999548129411</v>
      </c>
      <c r="AO204" s="625">
        <v>1.1793934773804702</v>
      </c>
      <c r="AP204" s="625">
        <v>1.1161364868939359</v>
      </c>
      <c r="AQ204" s="625">
        <v>1.1373306484315164</v>
      </c>
      <c r="AR204" s="625">
        <v>1.1508727293642391</v>
      </c>
      <c r="AS204" s="625">
        <v>1.4017445618159139</v>
      </c>
    </row>
    <row r="205">
      <c r="B205" s="623">
        <v>1800000</v>
      </c>
      <c r="C205" s="603" t="s">
        <v>77</v>
      </c>
      <c r="D205" s="0" t="s">
        <v>64</v>
      </c>
      <c r="E205" s="0" t="s">
        <v>75</v>
      </c>
      <c r="F205" s="625">
        <v>5.9478839347218244</v>
      </c>
      <c r="G205" s="625">
        <v>1.72804178480232</v>
      </c>
      <c r="H205" s="624">
        <v>5.0416235222060131</v>
      </c>
      <c r="I205" s="624">
        <v>11.547436118690106</v>
      </c>
      <c r="J205" s="626">
        <v>1800</v>
      </c>
      <c r="K205" s="626">
        <v>1331.1271262</v>
      </c>
      <c r="L205" s="626">
        <v>810.87484790000008</v>
      </c>
      <c r="M205" s="626">
        <v>3491.3501776999997</v>
      </c>
      <c r="N205" s="626">
        <v>205.4062</v>
      </c>
      <c r="O205" s="626">
        <v>649.0143389</v>
      </c>
      <c r="P205" s="626">
        <v>592.11113340000009</v>
      </c>
      <c r="Q205" s="626">
        <v>469.1251642</v>
      </c>
      <c r="R205" s="626">
        <v>2283.4302086999996</v>
      </c>
      <c r="S205" s="626">
        <v>1959.3673652999999</v>
      </c>
      <c r="T205" s="626">
        <v>3181.840916</v>
      </c>
      <c r="U205" s="626">
        <v>2779.0718011</v>
      </c>
      <c r="V205" s="626">
        <v>2859.0819942000003</v>
      </c>
      <c r="W205" s="626">
        <v>2625.4770581999996</v>
      </c>
      <c r="X205" s="626">
        <v>4833.0188299</v>
      </c>
      <c r="Y205" s="626">
        <v>4144.1544380000005</v>
      </c>
      <c r="Z205" s="626">
        <v>657.0442568</v>
      </c>
      <c r="AA205" s="626">
        <v>581.8691814</v>
      </c>
      <c r="AB205" s="626">
        <v>2909.9285729</v>
      </c>
      <c r="AC205" s="626">
        <v>2550.7167941000002</v>
      </c>
      <c r="AD205" s="626">
        <v>1975.9465353</v>
      </c>
      <c r="AE205" s="626">
        <v>1690.0926694</v>
      </c>
      <c r="AF205" s="626">
        <v>3324.3074286</v>
      </c>
      <c r="AG205" s="626">
        <v>2384.3398805</v>
      </c>
      <c r="AH205" s="625">
        <v>1.3522374869749581</v>
      </c>
      <c r="AI205" s="625">
        <v>0.23225251166525782</v>
      </c>
      <c r="AJ205" s="625">
        <v>0.31648946360941621</v>
      </c>
      <c r="AK205" s="625">
        <v>1.2621602475718943</v>
      </c>
      <c r="AL205" s="625">
        <v>1.165391569308726</v>
      </c>
      <c r="AM205" s="625">
        <v>1.1449293662349909</v>
      </c>
      <c r="AN205" s="625">
        <v>1.0889761863643006</v>
      </c>
      <c r="AO205" s="625">
        <v>1.1662255599381068</v>
      </c>
      <c r="AP205" s="625">
        <v>1.12919583610739</v>
      </c>
      <c r="AQ205" s="625">
        <v>1.1408277781555873</v>
      </c>
      <c r="AR205" s="625">
        <v>1.1691350250283406</v>
      </c>
      <c r="AS205" s="625">
        <v>1.3942254859571222</v>
      </c>
    </row>
    <row r="206">
      <c r="B206" s="623">
        <v>1800000</v>
      </c>
      <c r="C206" s="603" t="s">
        <v>78</v>
      </c>
      <c r="D206" s="0" t="s">
        <v>64</v>
      </c>
      <c r="E206" s="0" t="s">
        <v>75</v>
      </c>
      <c r="F206" s="625">
        <v>6.8400665249300978</v>
      </c>
      <c r="G206" s="625">
        <v>1.9872480525226677</v>
      </c>
      <c r="H206" s="624">
        <v>5.7978670505369143</v>
      </c>
      <c r="I206" s="624">
        <v>13.279551536493619</v>
      </c>
      <c r="J206" s="626">
        <v>2160</v>
      </c>
      <c r="K206" s="626">
        <v>1597.3525515000001</v>
      </c>
      <c r="L206" s="626">
        <v>973.0498174</v>
      </c>
      <c r="M206" s="626">
        <v>4189.6202132</v>
      </c>
      <c r="N206" s="626">
        <v>246.48744</v>
      </c>
      <c r="O206" s="626">
        <v>778.81720669999993</v>
      </c>
      <c r="P206" s="626">
        <v>651.3222468</v>
      </c>
      <c r="Q206" s="626">
        <v>516.0376806</v>
      </c>
      <c r="R206" s="626">
        <v>2511.7732296000004</v>
      </c>
      <c r="S206" s="626">
        <v>2155.3041018</v>
      </c>
      <c r="T206" s="626">
        <v>3500.0250076</v>
      </c>
      <c r="U206" s="626">
        <v>3056.9789812</v>
      </c>
      <c r="V206" s="626">
        <v>3144.9901937</v>
      </c>
      <c r="W206" s="626">
        <v>2888.024764</v>
      </c>
      <c r="X206" s="626">
        <v>5316.3207128999993</v>
      </c>
      <c r="Y206" s="626">
        <v>4558.5698818</v>
      </c>
      <c r="Z206" s="626">
        <v>722.7486825</v>
      </c>
      <c r="AA206" s="626">
        <v>640.0560995</v>
      </c>
      <c r="AB206" s="626">
        <v>3200.9214302</v>
      </c>
      <c r="AC206" s="626">
        <v>2805.7884735</v>
      </c>
      <c r="AD206" s="626">
        <v>2173.5411888999997</v>
      </c>
      <c r="AE206" s="626">
        <v>1859.1019363</v>
      </c>
      <c r="AF206" s="626">
        <v>3656.7381714</v>
      </c>
      <c r="AG206" s="626">
        <v>2622.7738686000002</v>
      </c>
      <c r="AH206" s="625">
        <v>1.3522374869749581</v>
      </c>
      <c r="AI206" s="625">
        <v>0.23225251166525782</v>
      </c>
      <c r="AJ206" s="625">
        <v>0.31648946360941621</v>
      </c>
      <c r="AK206" s="625">
        <v>1.2621602475718945</v>
      </c>
      <c r="AL206" s="625">
        <v>1.1653915693087262</v>
      </c>
      <c r="AM206" s="625">
        <v>1.1449293662349906</v>
      </c>
      <c r="AN206" s="625">
        <v>1.0889761863643004</v>
      </c>
      <c r="AO206" s="625">
        <v>1.1662255599381071</v>
      </c>
      <c r="AP206" s="625">
        <v>1.12919583610739</v>
      </c>
      <c r="AQ206" s="625">
        <v>1.1408277781555873</v>
      </c>
      <c r="AR206" s="625">
        <v>1.1691350250283406</v>
      </c>
      <c r="AS206" s="625">
        <v>1.3942254859571224</v>
      </c>
    </row>
    <row r="207">
      <c r="B207" s="623">
        <v>1800000</v>
      </c>
      <c r="C207" s="603" t="s">
        <v>79</v>
      </c>
      <c r="D207" s="0" t="s">
        <v>64</v>
      </c>
      <c r="E207" s="0" t="s">
        <v>75</v>
      </c>
      <c r="F207" s="625">
        <v>7.732249115138373</v>
      </c>
      <c r="G207" s="625">
        <v>2.2464543202430161</v>
      </c>
      <c r="H207" s="624">
        <v>6.5541105788678173</v>
      </c>
      <c r="I207" s="624">
        <v>15.011666954297139</v>
      </c>
      <c r="J207" s="626">
        <v>2340</v>
      </c>
      <c r="K207" s="626">
        <v>1730.4652641</v>
      </c>
      <c r="L207" s="626">
        <v>1054.1373022</v>
      </c>
      <c r="M207" s="626">
        <v>4538.755231</v>
      </c>
      <c r="N207" s="626">
        <v>267.02806</v>
      </c>
      <c r="O207" s="626">
        <v>843.71864060000007</v>
      </c>
      <c r="P207" s="626">
        <v>710.5333601000001</v>
      </c>
      <c r="Q207" s="626">
        <v>562.9501971</v>
      </c>
      <c r="R207" s="626">
        <v>2740.1162505</v>
      </c>
      <c r="S207" s="626">
        <v>2351.2408383999996</v>
      </c>
      <c r="T207" s="626">
        <v>3818.2090992</v>
      </c>
      <c r="U207" s="626">
        <v>3334.8861613</v>
      </c>
      <c r="V207" s="626">
        <v>3430.8983931</v>
      </c>
      <c r="W207" s="626">
        <v>3150.5724698</v>
      </c>
      <c r="X207" s="626">
        <v>5799.6225959</v>
      </c>
      <c r="Y207" s="626">
        <v>4972.9853256</v>
      </c>
      <c r="Z207" s="626">
        <v>788.4531082</v>
      </c>
      <c r="AA207" s="626">
        <v>698.2430177</v>
      </c>
      <c r="AB207" s="626">
        <v>3491.9142875000002</v>
      </c>
      <c r="AC207" s="626">
        <v>3060.8601529000002</v>
      </c>
      <c r="AD207" s="626">
        <v>2371.1358424</v>
      </c>
      <c r="AE207" s="626">
        <v>2028.1112033</v>
      </c>
      <c r="AF207" s="626">
        <v>3989.1689143</v>
      </c>
      <c r="AG207" s="626">
        <v>2861.2078566</v>
      </c>
      <c r="AH207" s="625">
        <v>1.3522374869749581</v>
      </c>
      <c r="AI207" s="625">
        <v>0.23225251166525779</v>
      </c>
      <c r="AJ207" s="625">
        <v>0.31648946360941621</v>
      </c>
      <c r="AK207" s="625">
        <v>1.2621602475718943</v>
      </c>
      <c r="AL207" s="625">
        <v>1.165391569308726</v>
      </c>
      <c r="AM207" s="625">
        <v>1.1449293662349906</v>
      </c>
      <c r="AN207" s="625">
        <v>1.0889761863643004</v>
      </c>
      <c r="AO207" s="625">
        <v>1.1662255599381071</v>
      </c>
      <c r="AP207" s="625">
        <v>1.12919583610739</v>
      </c>
      <c r="AQ207" s="625">
        <v>1.1408277781555873</v>
      </c>
      <c r="AR207" s="625">
        <v>1.1691350250283406</v>
      </c>
      <c r="AS207" s="625">
        <v>1.3942254859571222</v>
      </c>
    </row>
    <row r="208">
      <c r="B208" s="623">
        <v>2034240</v>
      </c>
      <c r="C208" s="603" t="s">
        <v>77</v>
      </c>
      <c r="D208" s="0" t="s">
        <v>64</v>
      </c>
      <c r="E208" s="0" t="s">
        <v>75</v>
      </c>
      <c r="F208" s="625">
        <v>6.2712524507014651</v>
      </c>
      <c r="G208" s="625">
        <v>1.9488618773076443</v>
      </c>
      <c r="H208" s="624">
        <v>4.88236061162882</v>
      </c>
      <c r="I208" s="624">
        <v>10.941602669613854</v>
      </c>
      <c r="J208" s="626">
        <v>2034.24</v>
      </c>
      <c r="K208" s="626">
        <v>1428.221</v>
      </c>
      <c r="L208" s="626">
        <v>894.856</v>
      </c>
      <c r="M208" s="626">
        <v>3877.689</v>
      </c>
      <c r="N208" s="626">
        <v>205.4062</v>
      </c>
      <c r="O208" s="626">
        <v>688.1584</v>
      </c>
      <c r="P208" s="626">
        <v>684.0225</v>
      </c>
      <c r="Q208" s="626">
        <v>543.14568000000008</v>
      </c>
      <c r="R208" s="626">
        <v>2527.70175</v>
      </c>
      <c r="S208" s="626">
        <v>2311.0416</v>
      </c>
      <c r="T208" s="626">
        <v>3690.54</v>
      </c>
      <c r="U208" s="626">
        <v>3229.2225</v>
      </c>
      <c r="V208" s="626">
        <v>2939.706</v>
      </c>
      <c r="W208" s="626">
        <v>2743.7256</v>
      </c>
      <c r="X208" s="626">
        <v>5812.6005</v>
      </c>
      <c r="Y208" s="626">
        <v>5010.8625</v>
      </c>
      <c r="Z208" s="626">
        <v>760.2294368</v>
      </c>
      <c r="AA208" s="626">
        <v>669.0019044</v>
      </c>
      <c r="AB208" s="626">
        <v>3284.9695013</v>
      </c>
      <c r="AC208" s="626">
        <v>2874.3483137</v>
      </c>
      <c r="AD208" s="626">
        <v>2147.5125</v>
      </c>
      <c r="AE208" s="626">
        <v>1818.22725</v>
      </c>
      <c r="AF208" s="626">
        <v>4146.0868189</v>
      </c>
      <c r="AG208" s="626">
        <v>2980.5808939</v>
      </c>
      <c r="AH208" s="625">
        <v>1.4243173850545539</v>
      </c>
      <c r="AI208" s="625">
        <v>0.23077044084762857</v>
      </c>
      <c r="AJ208" s="625">
        <v>0.29848680187584725</v>
      </c>
      <c r="AK208" s="625">
        <v>1.2593720712277412</v>
      </c>
      <c r="AL208" s="625">
        <v>1.09375</v>
      </c>
      <c r="AM208" s="625">
        <v>1.1428571428571428</v>
      </c>
      <c r="AN208" s="625">
        <v>1.0714285714285712</v>
      </c>
      <c r="AO208" s="625">
        <v>1.16</v>
      </c>
      <c r="AP208" s="625">
        <v>1.1363636363636365</v>
      </c>
      <c r="AQ208" s="625">
        <v>1.1428571428571432</v>
      </c>
      <c r="AR208" s="625">
        <v>1.1811023622047243</v>
      </c>
      <c r="AS208" s="625">
        <v>1.3910331463918984</v>
      </c>
    </row>
    <row r="209">
      <c r="B209" s="623">
        <v>2034240</v>
      </c>
      <c r="C209" s="603" t="s">
        <v>78</v>
      </c>
      <c r="D209" s="0" t="s">
        <v>64</v>
      </c>
      <c r="E209" s="0" t="s">
        <v>75</v>
      </c>
      <c r="F209" s="625">
        <v>7.2119403183066844</v>
      </c>
      <c r="G209" s="625">
        <v>2.2411911589037907</v>
      </c>
      <c r="H209" s="624">
        <v>5.614714703373143</v>
      </c>
      <c r="I209" s="624">
        <v>12.582843070055931</v>
      </c>
      <c r="J209" s="626">
        <v>2441.088</v>
      </c>
      <c r="K209" s="626">
        <v>1713.8652</v>
      </c>
      <c r="L209" s="626">
        <v>1073.8272</v>
      </c>
      <c r="M209" s="626">
        <v>4653.2267999999995</v>
      </c>
      <c r="N209" s="626">
        <v>246.48744</v>
      </c>
      <c r="O209" s="626">
        <v>825.79008</v>
      </c>
      <c r="P209" s="626">
        <v>752.42475</v>
      </c>
      <c r="Q209" s="626">
        <v>597.460248</v>
      </c>
      <c r="R209" s="626">
        <v>2780.471925</v>
      </c>
      <c r="S209" s="626">
        <v>2542.14576</v>
      </c>
      <c r="T209" s="626">
        <v>4059.594</v>
      </c>
      <c r="U209" s="626">
        <v>3552.14475</v>
      </c>
      <c r="V209" s="626">
        <v>3233.6766000000002</v>
      </c>
      <c r="W209" s="626">
        <v>3018.09816</v>
      </c>
      <c r="X209" s="626">
        <v>6393.8605499999994</v>
      </c>
      <c r="Y209" s="626">
        <v>5511.94875</v>
      </c>
      <c r="Z209" s="626">
        <v>836.2523805</v>
      </c>
      <c r="AA209" s="626">
        <v>735.9020948</v>
      </c>
      <c r="AB209" s="626">
        <v>3613.4664515</v>
      </c>
      <c r="AC209" s="626">
        <v>3161.783145</v>
      </c>
      <c r="AD209" s="626">
        <v>2362.26375</v>
      </c>
      <c r="AE209" s="626">
        <v>2000.0499750000001</v>
      </c>
      <c r="AF209" s="626">
        <v>4560.6955007999995</v>
      </c>
      <c r="AG209" s="626">
        <v>3278.6389833</v>
      </c>
      <c r="AH209" s="625">
        <v>1.4243173850545539</v>
      </c>
      <c r="AI209" s="625">
        <v>0.23077044084762857</v>
      </c>
      <c r="AJ209" s="625">
        <v>0.29848680187584725</v>
      </c>
      <c r="AK209" s="625">
        <v>1.2593720712277412</v>
      </c>
      <c r="AL209" s="625">
        <v>1.09375</v>
      </c>
      <c r="AM209" s="625">
        <v>1.1428571428571428</v>
      </c>
      <c r="AN209" s="625">
        <v>1.0714285714285712</v>
      </c>
      <c r="AO209" s="625">
        <v>1.1600000000000001</v>
      </c>
      <c r="AP209" s="625">
        <v>1.1363636363636365</v>
      </c>
      <c r="AQ209" s="625">
        <v>1.1428571428571432</v>
      </c>
      <c r="AR209" s="625">
        <v>1.1811023622047245</v>
      </c>
      <c r="AS209" s="625">
        <v>1.3910331463918986</v>
      </c>
    </row>
    <row r="210">
      <c r="B210" s="623">
        <v>2034240</v>
      </c>
      <c r="C210" s="603" t="s">
        <v>79</v>
      </c>
      <c r="D210" s="0" t="s">
        <v>64</v>
      </c>
      <c r="E210" s="0" t="s">
        <v>75</v>
      </c>
      <c r="F210" s="625">
        <v>8.1526281859119063</v>
      </c>
      <c r="G210" s="625">
        <v>2.5335204404999381</v>
      </c>
      <c r="H210" s="624">
        <v>6.3470687951174671</v>
      </c>
      <c r="I210" s="624">
        <v>14.224083470498012</v>
      </c>
      <c r="J210" s="626">
        <v>2644.512</v>
      </c>
      <c r="K210" s="626">
        <v>1856.6873</v>
      </c>
      <c r="L210" s="626">
        <v>1163.3128000000002</v>
      </c>
      <c r="M210" s="626">
        <v>5040.9957</v>
      </c>
      <c r="N210" s="626">
        <v>267.02806</v>
      </c>
      <c r="O210" s="626">
        <v>894.60592000000008</v>
      </c>
      <c r="P210" s="626">
        <v>820.827</v>
      </c>
      <c r="Q210" s="626">
        <v>651.774816</v>
      </c>
      <c r="R210" s="626">
        <v>3033.2421</v>
      </c>
      <c r="S210" s="626">
        <v>2773.2499199999997</v>
      </c>
      <c r="T210" s="626">
        <v>4428.648</v>
      </c>
      <c r="U210" s="626">
        <v>3875.067</v>
      </c>
      <c r="V210" s="626">
        <v>3527.6472000000003</v>
      </c>
      <c r="W210" s="626">
        <v>3292.4707200000003</v>
      </c>
      <c r="X210" s="626">
        <v>6975.1205999999993</v>
      </c>
      <c r="Y210" s="626">
        <v>6013.035</v>
      </c>
      <c r="Z210" s="626">
        <v>912.27532409999992</v>
      </c>
      <c r="AA210" s="626">
        <v>802.8022852</v>
      </c>
      <c r="AB210" s="626">
        <v>3941.9634016</v>
      </c>
      <c r="AC210" s="626">
        <v>3449.2179764</v>
      </c>
      <c r="AD210" s="626">
        <v>2577.015</v>
      </c>
      <c r="AE210" s="626">
        <v>2181.8727000000004</v>
      </c>
      <c r="AF210" s="626">
        <v>4975.3041827</v>
      </c>
      <c r="AG210" s="626">
        <v>3576.6970727</v>
      </c>
      <c r="AH210" s="625">
        <v>1.4243173850545539</v>
      </c>
      <c r="AI210" s="625">
        <v>0.23077044084762857</v>
      </c>
      <c r="AJ210" s="625">
        <v>0.29848680187584725</v>
      </c>
      <c r="AK210" s="625">
        <v>1.2593720712277414</v>
      </c>
      <c r="AL210" s="625">
        <v>1.09375</v>
      </c>
      <c r="AM210" s="625">
        <v>1.1428571428571428</v>
      </c>
      <c r="AN210" s="625">
        <v>1.0714285714285712</v>
      </c>
      <c r="AO210" s="625">
        <v>1.16</v>
      </c>
      <c r="AP210" s="625">
        <v>1.1363636363636365</v>
      </c>
      <c r="AQ210" s="625">
        <v>1.1428571428571432</v>
      </c>
      <c r="AR210" s="625">
        <v>1.1811023622047245</v>
      </c>
      <c r="AS210" s="625">
        <v>1.3910331463918984</v>
      </c>
    </row>
    <row r="211">
      <c r="B211" s="623">
        <v>2200000</v>
      </c>
      <c r="C211" s="603" t="s">
        <v>77</v>
      </c>
      <c r="D211" s="0" t="s">
        <v>64</v>
      </c>
      <c r="E211" s="0" t="s">
        <v>75</v>
      </c>
      <c r="F211" s="625">
        <v>6.7822653136027329</v>
      </c>
      <c r="G211" s="625">
        <v>2.1076648429274902</v>
      </c>
      <c r="H211" s="624">
        <v>4.882360611628819</v>
      </c>
      <c r="I211" s="624">
        <v>10.941602669613854</v>
      </c>
      <c r="J211" s="626">
        <v>2200</v>
      </c>
      <c r="K211" s="626">
        <v>1544.5995556</v>
      </c>
      <c r="L211" s="626">
        <v>967.7733207</v>
      </c>
      <c r="M211" s="626">
        <v>4193.6623997</v>
      </c>
      <c r="N211" s="626">
        <v>222.1437195</v>
      </c>
      <c r="O211" s="626">
        <v>744.2329715</v>
      </c>
      <c r="P211" s="626">
        <v>739.76005779999991</v>
      </c>
      <c r="Q211" s="626">
        <v>587.4038933</v>
      </c>
      <c r="R211" s="626">
        <v>2733.6714693999998</v>
      </c>
      <c r="S211" s="626">
        <v>2499.3567721000004</v>
      </c>
      <c r="T211" s="626">
        <v>3991.2635677</v>
      </c>
      <c r="U211" s="626">
        <v>3492.3556218</v>
      </c>
      <c r="V211" s="626">
        <v>3179.2478763999998</v>
      </c>
      <c r="W211" s="626">
        <v>2967.2980178999996</v>
      </c>
      <c r="X211" s="626">
        <v>6286.2401192</v>
      </c>
      <c r="Y211" s="626">
        <v>5419.1725165</v>
      </c>
      <c r="Z211" s="626">
        <v>822.1767151</v>
      </c>
      <c r="AA211" s="626">
        <v>723.51550930000008</v>
      </c>
      <c r="AB211" s="626">
        <v>3552.6451662</v>
      </c>
      <c r="AC211" s="626">
        <v>3108.5645203999998</v>
      </c>
      <c r="AD211" s="626">
        <v>2322.5025071</v>
      </c>
      <c r="AE211" s="626">
        <v>1966.385456</v>
      </c>
      <c r="AF211" s="626">
        <v>4483.9306087999994</v>
      </c>
      <c r="AG211" s="626">
        <v>3223.4534600999996</v>
      </c>
      <c r="AH211" s="625">
        <v>1.4243173850545541</v>
      </c>
      <c r="AI211" s="625">
        <v>0.23077044084762857</v>
      </c>
      <c r="AJ211" s="625">
        <v>0.29848680187584725</v>
      </c>
      <c r="AK211" s="625">
        <v>1.2593720712277414</v>
      </c>
      <c r="AL211" s="625">
        <v>1.0937500000000002</v>
      </c>
      <c r="AM211" s="625">
        <v>1.1428571428571428</v>
      </c>
      <c r="AN211" s="625">
        <v>1.0714285714285712</v>
      </c>
      <c r="AO211" s="625">
        <v>1.16</v>
      </c>
      <c r="AP211" s="625">
        <v>1.1363636363636365</v>
      </c>
      <c r="AQ211" s="625">
        <v>1.1428571428571432</v>
      </c>
      <c r="AR211" s="625">
        <v>1.1811023622047243</v>
      </c>
      <c r="AS211" s="625">
        <v>1.3910331463918984</v>
      </c>
    </row>
    <row r="212">
      <c r="B212" s="623">
        <v>2200000</v>
      </c>
      <c r="C212" s="603" t="s">
        <v>78</v>
      </c>
      <c r="D212" s="0" t="s">
        <v>64</v>
      </c>
      <c r="E212" s="0" t="s">
        <v>75</v>
      </c>
      <c r="F212" s="625">
        <v>7.7996051106431423</v>
      </c>
      <c r="G212" s="625">
        <v>2.4238145693666131</v>
      </c>
      <c r="H212" s="624">
        <v>5.6147147033731413</v>
      </c>
      <c r="I212" s="624">
        <v>12.582843070055931</v>
      </c>
      <c r="J212" s="626">
        <v>2640</v>
      </c>
      <c r="K212" s="626">
        <v>1853.5194667</v>
      </c>
      <c r="L212" s="626">
        <v>1161.3279849</v>
      </c>
      <c r="M212" s="626">
        <v>5032.3948797</v>
      </c>
      <c r="N212" s="626">
        <v>266.5724634</v>
      </c>
      <c r="O212" s="626">
        <v>893.0795658</v>
      </c>
      <c r="P212" s="626">
        <v>813.7360636</v>
      </c>
      <c r="Q212" s="626">
        <v>646.1442827</v>
      </c>
      <c r="R212" s="626">
        <v>3007.0386164</v>
      </c>
      <c r="S212" s="626">
        <v>2749.2924493</v>
      </c>
      <c r="T212" s="626">
        <v>4390.3899244999993</v>
      </c>
      <c r="U212" s="626">
        <v>3841.5911839</v>
      </c>
      <c r="V212" s="626">
        <v>3497.1726639999997</v>
      </c>
      <c r="W212" s="626">
        <v>3264.0278197</v>
      </c>
      <c r="X212" s="626">
        <v>6914.8641311</v>
      </c>
      <c r="Y212" s="626">
        <v>5961.0897681999995</v>
      </c>
      <c r="Z212" s="626">
        <v>904.3943866</v>
      </c>
      <c r="AA212" s="626">
        <v>795.8670602</v>
      </c>
      <c r="AB212" s="626">
        <v>3907.9096828</v>
      </c>
      <c r="AC212" s="626">
        <v>3419.4209725</v>
      </c>
      <c r="AD212" s="626">
        <v>2554.7527578</v>
      </c>
      <c r="AE212" s="626">
        <v>2163.0240016000002</v>
      </c>
      <c r="AF212" s="626">
        <v>4932.3236697</v>
      </c>
      <c r="AG212" s="626">
        <v>3545.7988061</v>
      </c>
      <c r="AH212" s="625">
        <v>1.4243173850545541</v>
      </c>
      <c r="AI212" s="625">
        <v>0.23077044084762854</v>
      </c>
      <c r="AJ212" s="625">
        <v>0.29848680187584725</v>
      </c>
      <c r="AK212" s="625">
        <v>1.2593720712277414</v>
      </c>
      <c r="AL212" s="625">
        <v>1.09375</v>
      </c>
      <c r="AM212" s="625">
        <v>1.1428571428571428</v>
      </c>
      <c r="AN212" s="625">
        <v>1.0714285714285712</v>
      </c>
      <c r="AO212" s="625">
        <v>1.16</v>
      </c>
      <c r="AP212" s="625">
        <v>1.1363636363636362</v>
      </c>
      <c r="AQ212" s="625">
        <v>1.1428571428571432</v>
      </c>
      <c r="AR212" s="625">
        <v>1.1811023622047245</v>
      </c>
      <c r="AS212" s="625">
        <v>1.3910331463918986</v>
      </c>
    </row>
    <row r="213">
      <c r="B213" s="623">
        <v>2200000</v>
      </c>
      <c r="C213" s="603" t="s">
        <v>79</v>
      </c>
      <c r="D213" s="0" t="s">
        <v>64</v>
      </c>
      <c r="E213" s="0" t="s">
        <v>75</v>
      </c>
      <c r="F213" s="625">
        <v>8.8169449076835544</v>
      </c>
      <c r="G213" s="625">
        <v>2.7399642958057373</v>
      </c>
      <c r="H213" s="624">
        <v>6.3470687951174654</v>
      </c>
      <c r="I213" s="624">
        <v>14.224083470498012</v>
      </c>
      <c r="J213" s="626">
        <v>2860</v>
      </c>
      <c r="K213" s="626">
        <v>2007.9794223</v>
      </c>
      <c r="L213" s="626">
        <v>1258.105317</v>
      </c>
      <c r="M213" s="626">
        <v>5451.7611196</v>
      </c>
      <c r="N213" s="626">
        <v>288.7868354</v>
      </c>
      <c r="O213" s="626">
        <v>967.502863</v>
      </c>
      <c r="P213" s="626">
        <v>887.7120694</v>
      </c>
      <c r="Q213" s="626">
        <v>704.884672</v>
      </c>
      <c r="R213" s="626">
        <v>3280.4057633</v>
      </c>
      <c r="S213" s="626">
        <v>2999.2281264999997</v>
      </c>
      <c r="T213" s="626">
        <v>4789.5162813</v>
      </c>
      <c r="U213" s="626">
        <v>4190.8267461000005</v>
      </c>
      <c r="V213" s="626">
        <v>3815.0974515999997</v>
      </c>
      <c r="W213" s="626">
        <v>3560.7576215</v>
      </c>
      <c r="X213" s="626">
        <v>7543.4881430000005</v>
      </c>
      <c r="Y213" s="626">
        <v>6503.0070198</v>
      </c>
      <c r="Z213" s="626">
        <v>986.6120581</v>
      </c>
      <c r="AA213" s="626">
        <v>868.2186111</v>
      </c>
      <c r="AB213" s="626">
        <v>4263.1741995</v>
      </c>
      <c r="AC213" s="626">
        <v>3730.2774245</v>
      </c>
      <c r="AD213" s="626">
        <v>2787.0030085</v>
      </c>
      <c r="AE213" s="626">
        <v>2359.6625472</v>
      </c>
      <c r="AF213" s="626">
        <v>5380.7167306</v>
      </c>
      <c r="AG213" s="626">
        <v>3868.1441521</v>
      </c>
      <c r="AH213" s="625">
        <v>1.4243173850545539</v>
      </c>
      <c r="AI213" s="625">
        <v>0.23077044084762857</v>
      </c>
      <c r="AJ213" s="625">
        <v>0.29848680187584725</v>
      </c>
      <c r="AK213" s="625">
        <v>1.2593720712277414</v>
      </c>
      <c r="AL213" s="625">
        <v>1.09375</v>
      </c>
      <c r="AM213" s="625">
        <v>1.1428571428571428</v>
      </c>
      <c r="AN213" s="625">
        <v>1.0714285714285712</v>
      </c>
      <c r="AO213" s="625">
        <v>1.16</v>
      </c>
      <c r="AP213" s="625">
        <v>1.1363636363636362</v>
      </c>
      <c r="AQ213" s="625">
        <v>1.1428571428571432</v>
      </c>
      <c r="AR213" s="625">
        <v>1.1811023622047243</v>
      </c>
      <c r="AS213" s="625">
        <v>1.3910331463918986</v>
      </c>
    </row>
    <row r="214">
      <c r="B214" s="623">
        <v>600001</v>
      </c>
      <c r="C214" s="603" t="s">
        <v>77</v>
      </c>
      <c r="D214" s="0" t="s">
        <v>63</v>
      </c>
      <c r="E214" s="0" t="s">
        <v>69</v>
      </c>
      <c r="F214" s="625">
        <v>3.6502935598344619</v>
      </c>
      <c r="G214" s="625">
        <v>0.56691943147793122</v>
      </c>
      <c r="H214" s="624">
        <v>6.6007022843289072</v>
      </c>
      <c r="I214" s="624">
        <v>20.879293331732153</v>
      </c>
      <c r="J214" s="626">
        <v>600.001</v>
      </c>
      <c r="K214" s="626">
        <v>858.4606922</v>
      </c>
      <c r="L214" s="626">
        <v>358.2406927</v>
      </c>
      <c r="M214" s="626">
        <v>1175.7521359999998</v>
      </c>
      <c r="N214" s="626">
        <v>184.2486551</v>
      </c>
      <c r="O214" s="626">
        <v>381.6353122</v>
      </c>
      <c r="P214" s="626">
        <v>217.3889107</v>
      </c>
      <c r="Q214" s="626">
        <v>140.5914712</v>
      </c>
      <c r="R214" s="626">
        <v>1003.9140666999999</v>
      </c>
      <c r="S214" s="626">
        <v>688.3712263</v>
      </c>
      <c r="T214" s="626">
        <v>981.2693885</v>
      </c>
      <c r="U214" s="626">
        <v>703.4278765</v>
      </c>
      <c r="V214" s="626">
        <v>1690.8026386</v>
      </c>
      <c r="W214" s="626">
        <v>1185.7112032</v>
      </c>
      <c r="X214" s="626">
        <v>1070.8416711</v>
      </c>
      <c r="Y214" s="626">
        <v>658.7284462</v>
      </c>
      <c r="Z214" s="626">
        <v>208.49460190000002</v>
      </c>
      <c r="AA214" s="626">
        <v>146.2112606</v>
      </c>
      <c r="AB214" s="626">
        <v>1010.9214774</v>
      </c>
      <c r="AC214" s="626">
        <v>664.0588931</v>
      </c>
      <c r="AD214" s="626">
        <v>890.6906757</v>
      </c>
      <c r="AE214" s="626">
        <v>628.1446255</v>
      </c>
      <c r="AF214" s="626">
        <v>769.9118124</v>
      </c>
      <c r="AG214" s="626">
        <v>428.5058656</v>
      </c>
      <c r="AH214" s="625">
        <v>0.69892658501900129</v>
      </c>
      <c r="AI214" s="625">
        <v>0.30469065866147471</v>
      </c>
      <c r="AJ214" s="625">
        <v>0.48278722964362553</v>
      </c>
      <c r="AK214" s="625">
        <v>1.5462453644339016</v>
      </c>
      <c r="AL214" s="625">
        <v>1.4583905141819755</v>
      </c>
      <c r="AM214" s="625">
        <v>1.394982230956672</v>
      </c>
      <c r="AN214" s="625">
        <v>1.4259818360890424</v>
      </c>
      <c r="AO214" s="625">
        <v>1.625619293141509</v>
      </c>
      <c r="AP214" s="625">
        <v>1.4259818360890426</v>
      </c>
      <c r="AQ214" s="625">
        <v>1.5223370818363746</v>
      </c>
      <c r="AR214" s="625">
        <v>1.4179707021784296</v>
      </c>
      <c r="AS214" s="625">
        <v>1.7967357606235472</v>
      </c>
    </row>
    <row r="215">
      <c r="B215" s="623">
        <v>600001</v>
      </c>
      <c r="C215" s="603" t="s">
        <v>78</v>
      </c>
      <c r="D215" s="0" t="s">
        <v>63</v>
      </c>
      <c r="E215" s="0" t="s">
        <v>69</v>
      </c>
      <c r="F215" s="625">
        <v>4.1978375938096306</v>
      </c>
      <c r="G215" s="625">
        <v>0.65195734619962076</v>
      </c>
      <c r="H215" s="624">
        <v>7.5908076269782425</v>
      </c>
      <c r="I215" s="624">
        <v>24.011187331491971</v>
      </c>
      <c r="J215" s="626">
        <v>720.00119999999993</v>
      </c>
      <c r="K215" s="626">
        <v>1030.1528307</v>
      </c>
      <c r="L215" s="626">
        <v>429.8888313</v>
      </c>
      <c r="M215" s="626">
        <v>1410.9025632</v>
      </c>
      <c r="N215" s="626">
        <v>221.0983861</v>
      </c>
      <c r="O215" s="626">
        <v>457.9623746</v>
      </c>
      <c r="P215" s="626">
        <v>239.12780170000002</v>
      </c>
      <c r="Q215" s="626">
        <v>154.6506184</v>
      </c>
      <c r="R215" s="626">
        <v>1104.3054733</v>
      </c>
      <c r="S215" s="626">
        <v>757.2083489</v>
      </c>
      <c r="T215" s="626">
        <v>1079.3963273</v>
      </c>
      <c r="U215" s="626">
        <v>773.77066410000009</v>
      </c>
      <c r="V215" s="626">
        <v>1859.8829025</v>
      </c>
      <c r="W215" s="626">
        <v>1304.2823234999999</v>
      </c>
      <c r="X215" s="626">
        <v>1177.9258382</v>
      </c>
      <c r="Y215" s="626">
        <v>724.6012908</v>
      </c>
      <c r="Z215" s="626">
        <v>229.3440621</v>
      </c>
      <c r="AA215" s="626">
        <v>160.8323867</v>
      </c>
      <c r="AB215" s="626">
        <v>1112.0136252</v>
      </c>
      <c r="AC215" s="626">
        <v>730.4647824</v>
      </c>
      <c r="AD215" s="626">
        <v>979.7597433</v>
      </c>
      <c r="AE215" s="626">
        <v>690.9590881</v>
      </c>
      <c r="AF215" s="626">
        <v>846.90299360000006</v>
      </c>
      <c r="AG215" s="626">
        <v>471.3564522</v>
      </c>
      <c r="AH215" s="625">
        <v>0.69892658501900129</v>
      </c>
      <c r="AI215" s="625">
        <v>0.30469065866147471</v>
      </c>
      <c r="AJ215" s="625">
        <v>0.48278722964362558</v>
      </c>
      <c r="AK215" s="625">
        <v>1.5462453644339016</v>
      </c>
      <c r="AL215" s="625">
        <v>1.4583905141819755</v>
      </c>
      <c r="AM215" s="625">
        <v>1.3949822309566717</v>
      </c>
      <c r="AN215" s="625">
        <v>1.4259818360890426</v>
      </c>
      <c r="AO215" s="625">
        <v>1.625619293141509</v>
      </c>
      <c r="AP215" s="625">
        <v>1.4259818360890426</v>
      </c>
      <c r="AQ215" s="625">
        <v>1.5223370818363748</v>
      </c>
      <c r="AR215" s="625">
        <v>1.4179707021784296</v>
      </c>
      <c r="AS215" s="625">
        <v>1.796735760623547</v>
      </c>
    </row>
    <row r="216">
      <c r="B216" s="623">
        <v>600001</v>
      </c>
      <c r="C216" s="603" t="s">
        <v>79</v>
      </c>
      <c r="D216" s="0" t="s">
        <v>63</v>
      </c>
      <c r="E216" s="0" t="s">
        <v>69</v>
      </c>
      <c r="F216" s="625">
        <v>4.7453816277848</v>
      </c>
      <c r="G216" s="625">
        <v>0.73699526092131051</v>
      </c>
      <c r="H216" s="624">
        <v>8.58091296962758</v>
      </c>
      <c r="I216" s="624">
        <v>27.143081331251796</v>
      </c>
      <c r="J216" s="626">
        <v>780.0013</v>
      </c>
      <c r="K216" s="626">
        <v>1115.9988999</v>
      </c>
      <c r="L216" s="626">
        <v>465.7129006</v>
      </c>
      <c r="M216" s="626">
        <v>1528.4777768000001</v>
      </c>
      <c r="N216" s="626">
        <v>239.52325159999998</v>
      </c>
      <c r="O216" s="626">
        <v>496.1259059</v>
      </c>
      <c r="P216" s="626">
        <v>260.8666928</v>
      </c>
      <c r="Q216" s="626">
        <v>168.7097655</v>
      </c>
      <c r="R216" s="626">
        <v>1204.69688</v>
      </c>
      <c r="S216" s="626">
        <v>826.0454716</v>
      </c>
      <c r="T216" s="626">
        <v>1177.5232661999999</v>
      </c>
      <c r="U216" s="626">
        <v>844.1134518</v>
      </c>
      <c r="V216" s="626">
        <v>2028.9631663</v>
      </c>
      <c r="W216" s="626">
        <v>1422.8534438</v>
      </c>
      <c r="X216" s="626">
        <v>1285.0100053</v>
      </c>
      <c r="Y216" s="626">
        <v>790.4741355</v>
      </c>
      <c r="Z216" s="626">
        <v>250.1935223</v>
      </c>
      <c r="AA216" s="626">
        <v>175.4535128</v>
      </c>
      <c r="AB216" s="626">
        <v>1213.1057729</v>
      </c>
      <c r="AC216" s="626">
        <v>796.8706717</v>
      </c>
      <c r="AD216" s="626">
        <v>1068.8288108000002</v>
      </c>
      <c r="AE216" s="626">
        <v>753.77355059999991</v>
      </c>
      <c r="AF216" s="626">
        <v>923.89417480000009</v>
      </c>
      <c r="AG216" s="626">
        <v>514.2070387</v>
      </c>
      <c r="AH216" s="625">
        <v>0.69892658501900129</v>
      </c>
      <c r="AI216" s="625">
        <v>0.30469065866147466</v>
      </c>
      <c r="AJ216" s="625">
        <v>0.48278722964362553</v>
      </c>
      <c r="AK216" s="625">
        <v>1.5462453644339014</v>
      </c>
      <c r="AL216" s="625">
        <v>1.4583905141819755</v>
      </c>
      <c r="AM216" s="625">
        <v>1.394982230956672</v>
      </c>
      <c r="AN216" s="625">
        <v>1.4259818360890424</v>
      </c>
      <c r="AO216" s="625">
        <v>1.6256192931415092</v>
      </c>
      <c r="AP216" s="625">
        <v>1.4259818360890426</v>
      </c>
      <c r="AQ216" s="625">
        <v>1.5223370818363746</v>
      </c>
      <c r="AR216" s="625">
        <v>1.4179707021784298</v>
      </c>
      <c r="AS216" s="625">
        <v>1.796735760623547</v>
      </c>
    </row>
    <row r="217">
      <c r="B217" s="623">
        <v>668900</v>
      </c>
      <c r="C217" s="603" t="s">
        <v>77</v>
      </c>
      <c r="D217" s="0" t="s">
        <v>63</v>
      </c>
      <c r="E217" s="0" t="s">
        <v>69</v>
      </c>
      <c r="F217" s="625">
        <v>4.069462154518531</v>
      </c>
      <c r="G217" s="625">
        <v>0.63201962615993668</v>
      </c>
      <c r="H217" s="624">
        <v>6.6007022843289054</v>
      </c>
      <c r="I217" s="624">
        <v>19.241025630141703</v>
      </c>
      <c r="J217" s="626">
        <v>668.9</v>
      </c>
      <c r="K217" s="626">
        <v>957.039</v>
      </c>
      <c r="L217" s="626">
        <v>399.378</v>
      </c>
      <c r="M217" s="626">
        <v>1682.215</v>
      </c>
      <c r="N217" s="626">
        <v>205.4062</v>
      </c>
      <c r="O217" s="626">
        <v>546.0272</v>
      </c>
      <c r="P217" s="626">
        <v>242.352</v>
      </c>
      <c r="Q217" s="626">
        <v>201.15216</v>
      </c>
      <c r="R217" s="626">
        <v>1119.195</v>
      </c>
      <c r="S217" s="626">
        <v>984.89159999999993</v>
      </c>
      <c r="T217" s="626">
        <v>1093.95</v>
      </c>
      <c r="U217" s="626">
        <v>1006.434</v>
      </c>
      <c r="V217" s="626">
        <v>1884.96</v>
      </c>
      <c r="W217" s="626">
        <v>1696.464</v>
      </c>
      <c r="X217" s="626">
        <v>1193.808</v>
      </c>
      <c r="Y217" s="626">
        <v>942.48</v>
      </c>
      <c r="Z217" s="626">
        <v>232.4363446</v>
      </c>
      <c r="AA217" s="626">
        <v>209.1927102</v>
      </c>
      <c r="AB217" s="626">
        <v>1127.0070821</v>
      </c>
      <c r="AC217" s="626">
        <v>950.1065714</v>
      </c>
      <c r="AD217" s="626">
        <v>992.97</v>
      </c>
      <c r="AE217" s="626">
        <v>898.722</v>
      </c>
      <c r="AF217" s="626">
        <v>858.3219216</v>
      </c>
      <c r="AG217" s="626">
        <v>613.0875485</v>
      </c>
      <c r="AH217" s="625">
        <v>0.69892658501900129</v>
      </c>
      <c r="AI217" s="625">
        <v>0.23741198360494942</v>
      </c>
      <c r="AJ217" s="625">
        <v>0.37618309124527138</v>
      </c>
      <c r="AK217" s="625">
        <v>1.2048192771084336</v>
      </c>
      <c r="AL217" s="625">
        <v>1.1363636363636362</v>
      </c>
      <c r="AM217" s="625">
        <v>1.0869565217391304</v>
      </c>
      <c r="AN217" s="625">
        <v>1.1111111111111112</v>
      </c>
      <c r="AO217" s="625">
        <v>1.2666666666666671</v>
      </c>
      <c r="AP217" s="625">
        <v>1.1111111111111112</v>
      </c>
      <c r="AQ217" s="625">
        <v>1.186190176954848</v>
      </c>
      <c r="AR217" s="625">
        <v>1.1048689138576779</v>
      </c>
      <c r="AS217" s="625">
        <v>1.3999989458735553</v>
      </c>
    </row>
    <row r="218">
      <c r="B218" s="623">
        <v>668900</v>
      </c>
      <c r="C218" s="603" t="s">
        <v>78</v>
      </c>
      <c r="D218" s="0" t="s">
        <v>63</v>
      </c>
      <c r="E218" s="0" t="s">
        <v>69</v>
      </c>
      <c r="F218" s="625">
        <v>4.67988147769631</v>
      </c>
      <c r="G218" s="625">
        <v>0.726822570083927</v>
      </c>
      <c r="H218" s="624">
        <v>7.5908076269782407</v>
      </c>
      <c r="I218" s="624">
        <v>22.127179474662956</v>
      </c>
      <c r="J218" s="626">
        <v>802.68</v>
      </c>
      <c r="K218" s="626">
        <v>1148.4468</v>
      </c>
      <c r="L218" s="626">
        <v>479.25359999999995</v>
      </c>
      <c r="M218" s="626">
        <v>2018.658</v>
      </c>
      <c r="N218" s="626">
        <v>246.48744</v>
      </c>
      <c r="O218" s="626">
        <v>655.23264000000006</v>
      </c>
      <c r="P218" s="626">
        <v>266.5872</v>
      </c>
      <c r="Q218" s="626">
        <v>221.26737599999999</v>
      </c>
      <c r="R218" s="626">
        <v>1231.1145</v>
      </c>
      <c r="S218" s="626">
        <v>1083.38076</v>
      </c>
      <c r="T218" s="626">
        <v>1203.345</v>
      </c>
      <c r="U218" s="626">
        <v>1107.0774</v>
      </c>
      <c r="V218" s="626">
        <v>2073.456</v>
      </c>
      <c r="W218" s="626">
        <v>1866.1103999999998</v>
      </c>
      <c r="X218" s="626">
        <v>1313.1888000000001</v>
      </c>
      <c r="Y218" s="626">
        <v>1036.728</v>
      </c>
      <c r="Z218" s="626">
        <v>255.6799791</v>
      </c>
      <c r="AA218" s="626">
        <v>230.1119812</v>
      </c>
      <c r="AB218" s="626">
        <v>1239.7077903</v>
      </c>
      <c r="AC218" s="626">
        <v>1045.1172286</v>
      </c>
      <c r="AD218" s="626">
        <v>1092.267</v>
      </c>
      <c r="AE218" s="626">
        <v>988.5942</v>
      </c>
      <c r="AF218" s="626">
        <v>944.1541138</v>
      </c>
      <c r="AG218" s="626">
        <v>674.3963033</v>
      </c>
      <c r="AH218" s="625">
        <v>0.69892658501900129</v>
      </c>
      <c r="AI218" s="625">
        <v>0.23741198360494942</v>
      </c>
      <c r="AJ218" s="625">
        <v>0.37618309124527138</v>
      </c>
      <c r="AK218" s="625">
        <v>1.2048192771084336</v>
      </c>
      <c r="AL218" s="625">
        <v>1.1363636363636362</v>
      </c>
      <c r="AM218" s="625">
        <v>1.0869565217391306</v>
      </c>
      <c r="AN218" s="625">
        <v>1.1111111111111112</v>
      </c>
      <c r="AO218" s="625">
        <v>1.2666666666666671</v>
      </c>
      <c r="AP218" s="625">
        <v>1.1111111111111114</v>
      </c>
      <c r="AQ218" s="625">
        <v>1.186190176954848</v>
      </c>
      <c r="AR218" s="625">
        <v>1.1048689138576779</v>
      </c>
      <c r="AS218" s="625">
        <v>1.3999989458735556</v>
      </c>
    </row>
    <row r="219">
      <c r="B219" s="623">
        <v>668900</v>
      </c>
      <c r="C219" s="603" t="s">
        <v>79</v>
      </c>
      <c r="D219" s="0" t="s">
        <v>63</v>
      </c>
      <c r="E219" s="0" t="s">
        <v>69</v>
      </c>
      <c r="F219" s="625">
        <v>5.29030080087409</v>
      </c>
      <c r="G219" s="625">
        <v>0.82162551400791761</v>
      </c>
      <c r="H219" s="624">
        <v>8.5809129696275761</v>
      </c>
      <c r="I219" s="624">
        <v>25.013333319184213</v>
      </c>
      <c r="J219" s="626">
        <v>869.57</v>
      </c>
      <c r="K219" s="626">
        <v>1244.1507</v>
      </c>
      <c r="L219" s="626">
        <v>519.1914</v>
      </c>
      <c r="M219" s="626">
        <v>2186.8795</v>
      </c>
      <c r="N219" s="626">
        <v>267.02806</v>
      </c>
      <c r="O219" s="626">
        <v>709.83536</v>
      </c>
      <c r="P219" s="626">
        <v>290.8224</v>
      </c>
      <c r="Q219" s="626">
        <v>241.38259200000002</v>
      </c>
      <c r="R219" s="626">
        <v>1343.034</v>
      </c>
      <c r="S219" s="626">
        <v>1181.8699199999999</v>
      </c>
      <c r="T219" s="626">
        <v>1312.74</v>
      </c>
      <c r="U219" s="626">
        <v>1207.7208</v>
      </c>
      <c r="V219" s="626">
        <v>2261.952</v>
      </c>
      <c r="W219" s="626">
        <v>2035.7568</v>
      </c>
      <c r="X219" s="626">
        <v>1432.5696</v>
      </c>
      <c r="Y219" s="626">
        <v>1130.976</v>
      </c>
      <c r="Z219" s="626">
        <v>278.9236136</v>
      </c>
      <c r="AA219" s="626">
        <v>251.03125219999998</v>
      </c>
      <c r="AB219" s="626">
        <v>1352.4084985</v>
      </c>
      <c r="AC219" s="626">
        <v>1140.1278857</v>
      </c>
      <c r="AD219" s="626">
        <v>1191.564</v>
      </c>
      <c r="AE219" s="626">
        <v>1078.4663999999998</v>
      </c>
      <c r="AF219" s="626">
        <v>1029.9863059</v>
      </c>
      <c r="AG219" s="626">
        <v>735.70505819999994</v>
      </c>
      <c r="AH219" s="625">
        <v>0.69892658501900129</v>
      </c>
      <c r="AI219" s="625">
        <v>0.23741198360494945</v>
      </c>
      <c r="AJ219" s="625">
        <v>0.37618309124527138</v>
      </c>
      <c r="AK219" s="625">
        <v>1.2048192771084338</v>
      </c>
      <c r="AL219" s="625">
        <v>1.1363636363636365</v>
      </c>
      <c r="AM219" s="625">
        <v>1.0869565217391304</v>
      </c>
      <c r="AN219" s="625">
        <v>1.1111111111111112</v>
      </c>
      <c r="AO219" s="625">
        <v>1.2666666666666671</v>
      </c>
      <c r="AP219" s="625">
        <v>1.1111111111111112</v>
      </c>
      <c r="AQ219" s="625">
        <v>1.186190176954848</v>
      </c>
      <c r="AR219" s="625">
        <v>1.1048689138576777</v>
      </c>
      <c r="AS219" s="625">
        <v>1.3999989458735553</v>
      </c>
    </row>
    <row r="220">
      <c r="B220" s="623">
        <v>700000</v>
      </c>
      <c r="C220" s="603" t="s">
        <v>77</v>
      </c>
      <c r="D220" s="0" t="s">
        <v>63</v>
      </c>
      <c r="E220" s="0" t="s">
        <v>69</v>
      </c>
      <c r="F220" s="625">
        <v>4.1529301879959837</v>
      </c>
      <c r="G220" s="625">
        <v>0.66663445190569093</v>
      </c>
      <c r="H220" s="624">
        <v>6.547896659318261</v>
      </c>
      <c r="I220" s="624">
        <v>18.859981371318671</v>
      </c>
      <c r="J220" s="626">
        <v>700</v>
      </c>
      <c r="K220" s="626">
        <v>964.9258523</v>
      </c>
      <c r="L220" s="626">
        <v>410.8433327</v>
      </c>
      <c r="M220" s="626">
        <v>1730.5295286</v>
      </c>
      <c r="N220" s="626">
        <v>205.4062</v>
      </c>
      <c r="O220" s="626">
        <v>546.6809707</v>
      </c>
      <c r="P220" s="626">
        <v>250.7493612</v>
      </c>
      <c r="Q220" s="626">
        <v>207.16754319999998</v>
      </c>
      <c r="R220" s="626">
        <v>1156.080107</v>
      </c>
      <c r="S220" s="626">
        <v>996.8725938</v>
      </c>
      <c r="T220" s="626">
        <v>1148.1666633</v>
      </c>
      <c r="U220" s="626">
        <v>1050.3406092999999</v>
      </c>
      <c r="V220" s="626">
        <v>1934.7326745</v>
      </c>
      <c r="W220" s="626">
        <v>1738.2730466</v>
      </c>
      <c r="X220" s="626">
        <v>1274.1079148</v>
      </c>
      <c r="Y220" s="626">
        <v>1012.1617443</v>
      </c>
      <c r="Z220" s="626">
        <v>243.52731219999998</v>
      </c>
      <c r="AA220" s="626">
        <v>219.3869992</v>
      </c>
      <c r="AB220" s="626">
        <v>1181.5714828</v>
      </c>
      <c r="AC220" s="626">
        <v>1000.5917325</v>
      </c>
      <c r="AD220" s="626">
        <v>1028.7441098</v>
      </c>
      <c r="AE220" s="626">
        <v>929.1188833</v>
      </c>
      <c r="AF220" s="626">
        <v>892.4514996</v>
      </c>
      <c r="AG220" s="626">
        <v>636.8182353</v>
      </c>
      <c r="AH220" s="625">
        <v>0.7254443420242731</v>
      </c>
      <c r="AI220" s="625">
        <v>0.23740902761911614</v>
      </c>
      <c r="AJ220" s="625">
        <v>0.37573321738330068</v>
      </c>
      <c r="AK220" s="625">
        <v>1.2103699127451422</v>
      </c>
      <c r="AL220" s="625">
        <v>1.159706981801552</v>
      </c>
      <c r="AM220" s="625">
        <v>1.0931374576356041</v>
      </c>
      <c r="AN220" s="625">
        <v>1.113020004713924</v>
      </c>
      <c r="AO220" s="625">
        <v>1.2587987266249237</v>
      </c>
      <c r="AP220" s="625">
        <v>1.1100352941010681</v>
      </c>
      <c r="AQ220" s="625">
        <v>1.1808727220160205</v>
      </c>
      <c r="AR220" s="625">
        <v>1.1072254888209732</v>
      </c>
      <c r="AS220" s="625">
        <v>1.4014226510077712</v>
      </c>
    </row>
    <row r="221">
      <c r="B221" s="623">
        <v>700000</v>
      </c>
      <c r="C221" s="603" t="s">
        <v>78</v>
      </c>
      <c r="D221" s="0" t="s">
        <v>63</v>
      </c>
      <c r="E221" s="0" t="s">
        <v>69</v>
      </c>
      <c r="F221" s="625">
        <v>4.7758697161953814</v>
      </c>
      <c r="G221" s="625">
        <v>0.76662961969154453</v>
      </c>
      <c r="H221" s="624">
        <v>7.5300811582159994</v>
      </c>
      <c r="I221" s="624">
        <v>21.688978577016471</v>
      </c>
      <c r="J221" s="626">
        <v>840</v>
      </c>
      <c r="K221" s="626">
        <v>1157.9110227</v>
      </c>
      <c r="L221" s="626">
        <v>493.01199920000005</v>
      </c>
      <c r="M221" s="626">
        <v>2076.6354343000003</v>
      </c>
      <c r="N221" s="626">
        <v>246.48744</v>
      </c>
      <c r="O221" s="626">
        <v>656.0171648</v>
      </c>
      <c r="P221" s="626">
        <v>275.82429729999996</v>
      </c>
      <c r="Q221" s="626">
        <v>227.8842976</v>
      </c>
      <c r="R221" s="626">
        <v>1271.6881177</v>
      </c>
      <c r="S221" s="626">
        <v>1096.5598532</v>
      </c>
      <c r="T221" s="626">
        <v>1262.9833296000002</v>
      </c>
      <c r="U221" s="626">
        <v>1155.3746702</v>
      </c>
      <c r="V221" s="626">
        <v>2128.2059419</v>
      </c>
      <c r="W221" s="626">
        <v>1912.1003512</v>
      </c>
      <c r="X221" s="626">
        <v>1401.5187062999999</v>
      </c>
      <c r="Y221" s="626">
        <v>1113.3779187</v>
      </c>
      <c r="Z221" s="626">
        <v>267.88004340000003</v>
      </c>
      <c r="AA221" s="626">
        <v>241.3256991</v>
      </c>
      <c r="AB221" s="626">
        <v>1299.7286311</v>
      </c>
      <c r="AC221" s="626">
        <v>1100.6509058000002</v>
      </c>
      <c r="AD221" s="626">
        <v>1131.6185208000002</v>
      </c>
      <c r="AE221" s="626">
        <v>1022.0307717000001</v>
      </c>
      <c r="AF221" s="626">
        <v>981.6966495</v>
      </c>
      <c r="AG221" s="626">
        <v>700.5000589</v>
      </c>
      <c r="AH221" s="625">
        <v>0.7254443420242731</v>
      </c>
      <c r="AI221" s="625">
        <v>0.23740902761911614</v>
      </c>
      <c r="AJ221" s="625">
        <v>0.37573321738330068</v>
      </c>
      <c r="AK221" s="625">
        <v>1.2103699127451424</v>
      </c>
      <c r="AL221" s="625">
        <v>1.159706981801552</v>
      </c>
      <c r="AM221" s="625">
        <v>1.0931374576356043</v>
      </c>
      <c r="AN221" s="625">
        <v>1.113020004713924</v>
      </c>
      <c r="AO221" s="625">
        <v>1.2587987266249237</v>
      </c>
      <c r="AP221" s="625">
        <v>1.1100352941010683</v>
      </c>
      <c r="AQ221" s="625">
        <v>1.1808727220160202</v>
      </c>
      <c r="AR221" s="625">
        <v>1.1072254888209732</v>
      </c>
      <c r="AS221" s="625">
        <v>1.4014226510077712</v>
      </c>
    </row>
    <row r="222">
      <c r="B222" s="623">
        <v>700000</v>
      </c>
      <c r="C222" s="603" t="s">
        <v>79</v>
      </c>
      <c r="D222" s="0" t="s">
        <v>63</v>
      </c>
      <c r="E222" s="0" t="s">
        <v>69</v>
      </c>
      <c r="F222" s="625">
        <v>5.398809244394779</v>
      </c>
      <c r="G222" s="625">
        <v>0.86662478747739813</v>
      </c>
      <c r="H222" s="624">
        <v>8.5122656571137387</v>
      </c>
      <c r="I222" s="624">
        <v>24.517975782714274</v>
      </c>
      <c r="J222" s="626">
        <v>910</v>
      </c>
      <c r="K222" s="626">
        <v>1254.4036079</v>
      </c>
      <c r="L222" s="626">
        <v>534.0963325</v>
      </c>
      <c r="M222" s="626">
        <v>2249.6883872000003</v>
      </c>
      <c r="N222" s="626">
        <v>267.02806</v>
      </c>
      <c r="O222" s="626">
        <v>710.6852619</v>
      </c>
      <c r="P222" s="626">
        <v>300.8992335</v>
      </c>
      <c r="Q222" s="626">
        <v>248.6010519</v>
      </c>
      <c r="R222" s="626">
        <v>1387.2961284</v>
      </c>
      <c r="S222" s="626">
        <v>1196.2471125</v>
      </c>
      <c r="T222" s="626">
        <v>1377.7999958999999</v>
      </c>
      <c r="U222" s="626">
        <v>1260.4087311</v>
      </c>
      <c r="V222" s="626">
        <v>2321.6792094</v>
      </c>
      <c r="W222" s="626">
        <v>2085.9276559</v>
      </c>
      <c r="X222" s="626">
        <v>1528.9294978</v>
      </c>
      <c r="Y222" s="626">
        <v>1214.5940931</v>
      </c>
      <c r="Z222" s="626">
        <v>292.2327746</v>
      </c>
      <c r="AA222" s="626">
        <v>263.26439899999997</v>
      </c>
      <c r="AB222" s="626">
        <v>1417.8857794</v>
      </c>
      <c r="AC222" s="626">
        <v>1200.710079</v>
      </c>
      <c r="AD222" s="626">
        <v>1234.4929317</v>
      </c>
      <c r="AE222" s="626">
        <v>1114.94266</v>
      </c>
      <c r="AF222" s="626">
        <v>1070.9417995</v>
      </c>
      <c r="AG222" s="626">
        <v>764.1818824</v>
      </c>
      <c r="AH222" s="625">
        <v>0.7254443420242731</v>
      </c>
      <c r="AI222" s="625">
        <v>0.23740902761911611</v>
      </c>
      <c r="AJ222" s="625">
        <v>0.37573321738330068</v>
      </c>
      <c r="AK222" s="625">
        <v>1.2103699127451424</v>
      </c>
      <c r="AL222" s="625">
        <v>1.159706981801552</v>
      </c>
      <c r="AM222" s="625">
        <v>1.0931374576356041</v>
      </c>
      <c r="AN222" s="625">
        <v>1.113020004713924</v>
      </c>
      <c r="AO222" s="625">
        <v>1.2587987266249239</v>
      </c>
      <c r="AP222" s="625">
        <v>1.1100352941010683</v>
      </c>
      <c r="AQ222" s="625">
        <v>1.1808727220160205</v>
      </c>
      <c r="AR222" s="625">
        <v>1.1072254888209732</v>
      </c>
      <c r="AS222" s="625">
        <v>1.401422651007771</v>
      </c>
    </row>
    <row r="223">
      <c r="B223" s="623">
        <v>800000</v>
      </c>
      <c r="C223" s="603" t="s">
        <v>77</v>
      </c>
      <c r="D223" s="0" t="s">
        <v>63</v>
      </c>
      <c r="E223" s="0" t="s">
        <v>69</v>
      </c>
      <c r="F223" s="625">
        <v>4.395479925864513</v>
      </c>
      <c r="G223" s="625">
        <v>0.77793614240650832</v>
      </c>
      <c r="H223" s="624">
        <v>6.4035157588763356</v>
      </c>
      <c r="I223" s="624">
        <v>17.805510140281349</v>
      </c>
      <c r="J223" s="626">
        <v>800</v>
      </c>
      <c r="K223" s="626">
        <v>990.2855059</v>
      </c>
      <c r="L223" s="626">
        <v>447.709354</v>
      </c>
      <c r="M223" s="626">
        <v>1885.8817106000001</v>
      </c>
      <c r="N223" s="626">
        <v>205.4062</v>
      </c>
      <c r="O223" s="626">
        <v>548.7831273</v>
      </c>
      <c r="P223" s="626">
        <v>277.7505227</v>
      </c>
      <c r="Q223" s="626">
        <v>226.5096115</v>
      </c>
      <c r="R223" s="626">
        <v>1274.6817371</v>
      </c>
      <c r="S223" s="626">
        <v>1035.3966896</v>
      </c>
      <c r="T223" s="626">
        <v>1322.4967702</v>
      </c>
      <c r="U223" s="626">
        <v>1191.5194172000001</v>
      </c>
      <c r="V223" s="626">
        <v>2094.7734284000003</v>
      </c>
      <c r="W223" s="626">
        <v>1872.7072799</v>
      </c>
      <c r="X223" s="626">
        <v>1532.3069979000002</v>
      </c>
      <c r="Y223" s="626">
        <v>1236.2187998</v>
      </c>
      <c r="Z223" s="626">
        <v>279.1895872</v>
      </c>
      <c r="AA223" s="626">
        <v>252.1660636</v>
      </c>
      <c r="AB223" s="626">
        <v>1357.0197167</v>
      </c>
      <c r="AC223" s="626">
        <v>1162.9234402999998</v>
      </c>
      <c r="AD223" s="626">
        <v>1143.7734017</v>
      </c>
      <c r="AE223" s="626">
        <v>1026.8580581</v>
      </c>
      <c r="AF223" s="626">
        <v>1002.1929078000001</v>
      </c>
      <c r="AG223" s="626">
        <v>713.1226946</v>
      </c>
      <c r="AH223" s="625">
        <v>0.80784783304140106</v>
      </c>
      <c r="AI223" s="625">
        <v>0.2374005493145871</v>
      </c>
      <c r="AJ223" s="625">
        <v>0.37429394199441829</v>
      </c>
      <c r="AK223" s="625">
        <v>1.226219589004925</v>
      </c>
      <c r="AL223" s="625">
        <v>1.2311047060452354</v>
      </c>
      <c r="AM223" s="625">
        <v>1.109924648426482</v>
      </c>
      <c r="AN223" s="625">
        <v>1.1185802772992044</v>
      </c>
      <c r="AO223" s="625">
        <v>1.2395111594428045</v>
      </c>
      <c r="AP223" s="625">
        <v>1.1071655846689408</v>
      </c>
      <c r="AQ223" s="625">
        <v>1.1669037442278831</v>
      </c>
      <c r="AR223" s="625">
        <v>1.1138573561237577</v>
      </c>
      <c r="AS223" s="625">
        <v>1.4053583139750967</v>
      </c>
    </row>
    <row r="224">
      <c r="B224" s="623">
        <v>800000</v>
      </c>
      <c r="C224" s="603" t="s">
        <v>78</v>
      </c>
      <c r="D224" s="0" t="s">
        <v>63</v>
      </c>
      <c r="E224" s="0" t="s">
        <v>69</v>
      </c>
      <c r="F224" s="625">
        <v>5.0548019147441892</v>
      </c>
      <c r="G224" s="625">
        <v>0.89462656376748451</v>
      </c>
      <c r="H224" s="624">
        <v>7.3640431227077858</v>
      </c>
      <c r="I224" s="624">
        <v>20.476336661323547</v>
      </c>
      <c r="J224" s="626">
        <v>960</v>
      </c>
      <c r="K224" s="626">
        <v>1188.342607</v>
      </c>
      <c r="L224" s="626">
        <v>537.2512249</v>
      </c>
      <c r="M224" s="626">
        <v>2263.0580528</v>
      </c>
      <c r="N224" s="626">
        <v>246.48744</v>
      </c>
      <c r="O224" s="626">
        <v>658.5397527</v>
      </c>
      <c r="P224" s="626">
        <v>305.525575</v>
      </c>
      <c r="Q224" s="626">
        <v>249.16057260000002</v>
      </c>
      <c r="R224" s="626">
        <v>1402.1499109000001</v>
      </c>
      <c r="S224" s="626">
        <v>1138.9363585</v>
      </c>
      <c r="T224" s="626">
        <v>1454.7464473000002</v>
      </c>
      <c r="U224" s="626">
        <v>1310.6713589</v>
      </c>
      <c r="V224" s="626">
        <v>2304.2507713</v>
      </c>
      <c r="W224" s="626">
        <v>2059.9780079</v>
      </c>
      <c r="X224" s="626">
        <v>1685.5376976</v>
      </c>
      <c r="Y224" s="626">
        <v>1359.8406798</v>
      </c>
      <c r="Z224" s="626">
        <v>307.1085459</v>
      </c>
      <c r="AA224" s="626">
        <v>277.3826699</v>
      </c>
      <c r="AB224" s="626">
        <v>1492.7216883</v>
      </c>
      <c r="AC224" s="626">
        <v>1279.2157843</v>
      </c>
      <c r="AD224" s="626">
        <v>1258.1507417999999</v>
      </c>
      <c r="AE224" s="626">
        <v>1129.5438639</v>
      </c>
      <c r="AF224" s="626">
        <v>1102.4121985</v>
      </c>
      <c r="AG224" s="626">
        <v>784.4349641</v>
      </c>
      <c r="AH224" s="625">
        <v>0.80784783304140118</v>
      </c>
      <c r="AI224" s="625">
        <v>0.23740054931458715</v>
      </c>
      <c r="AJ224" s="625">
        <v>0.37429394199441829</v>
      </c>
      <c r="AK224" s="625">
        <v>1.226219589004925</v>
      </c>
      <c r="AL224" s="625">
        <v>1.2311047060452356</v>
      </c>
      <c r="AM224" s="625">
        <v>1.109924648426482</v>
      </c>
      <c r="AN224" s="625">
        <v>1.1185802772992044</v>
      </c>
      <c r="AO224" s="625">
        <v>1.2395111594428045</v>
      </c>
      <c r="AP224" s="625">
        <v>1.1071655846689408</v>
      </c>
      <c r="AQ224" s="625">
        <v>1.1669037442278833</v>
      </c>
      <c r="AR224" s="625">
        <v>1.1138573561237575</v>
      </c>
      <c r="AS224" s="625">
        <v>1.4053583139750967</v>
      </c>
    </row>
    <row r="225">
      <c r="B225" s="623">
        <v>800000</v>
      </c>
      <c r="C225" s="603" t="s">
        <v>79</v>
      </c>
      <c r="D225" s="0" t="s">
        <v>63</v>
      </c>
      <c r="E225" s="0" t="s">
        <v>69</v>
      </c>
      <c r="F225" s="625">
        <v>5.7141239036238671</v>
      </c>
      <c r="G225" s="625">
        <v>1.0113169851284609</v>
      </c>
      <c r="H225" s="624">
        <v>8.3245704865392369</v>
      </c>
      <c r="I225" s="624">
        <v>23.147163182365752</v>
      </c>
      <c r="J225" s="626">
        <v>1040</v>
      </c>
      <c r="K225" s="626">
        <v>1287.3711576</v>
      </c>
      <c r="L225" s="626">
        <v>582.0221603</v>
      </c>
      <c r="M225" s="626">
        <v>2451.6462238</v>
      </c>
      <c r="N225" s="626">
        <v>267.02806</v>
      </c>
      <c r="O225" s="626">
        <v>713.41806539999993</v>
      </c>
      <c r="P225" s="626">
        <v>333.3006273</v>
      </c>
      <c r="Q225" s="626">
        <v>271.81153379999995</v>
      </c>
      <c r="R225" s="626">
        <v>1529.6180846</v>
      </c>
      <c r="S225" s="626">
        <v>1242.4760275</v>
      </c>
      <c r="T225" s="626">
        <v>1586.9961243</v>
      </c>
      <c r="U225" s="626">
        <v>1429.8233007000001</v>
      </c>
      <c r="V225" s="626">
        <v>2513.7281141</v>
      </c>
      <c r="W225" s="626">
        <v>2247.2487359</v>
      </c>
      <c r="X225" s="626">
        <v>1838.7683974</v>
      </c>
      <c r="Y225" s="626">
        <v>1483.4625598</v>
      </c>
      <c r="Z225" s="626">
        <v>335.0275047</v>
      </c>
      <c r="AA225" s="626">
        <v>302.59927630000004</v>
      </c>
      <c r="AB225" s="626">
        <v>1628.42366</v>
      </c>
      <c r="AC225" s="626">
        <v>1395.5081283</v>
      </c>
      <c r="AD225" s="626">
        <v>1372.528082</v>
      </c>
      <c r="AE225" s="626">
        <v>1232.2296697</v>
      </c>
      <c r="AF225" s="626">
        <v>1202.6314893</v>
      </c>
      <c r="AG225" s="626">
        <v>855.7472335</v>
      </c>
      <c r="AH225" s="625">
        <v>0.80784783304140106</v>
      </c>
      <c r="AI225" s="625">
        <v>0.2374005493145871</v>
      </c>
      <c r="AJ225" s="625">
        <v>0.37429394199441834</v>
      </c>
      <c r="AK225" s="625">
        <v>1.226219589004925</v>
      </c>
      <c r="AL225" s="625">
        <v>1.2311047060452356</v>
      </c>
      <c r="AM225" s="625">
        <v>1.109924648426482</v>
      </c>
      <c r="AN225" s="625">
        <v>1.1185802772992044</v>
      </c>
      <c r="AO225" s="625">
        <v>1.2395111594428045</v>
      </c>
      <c r="AP225" s="625">
        <v>1.1071655846689408</v>
      </c>
      <c r="AQ225" s="625">
        <v>1.1669037442278833</v>
      </c>
      <c r="AR225" s="625">
        <v>1.1138573561237575</v>
      </c>
      <c r="AS225" s="625">
        <v>1.4053583139750967</v>
      </c>
    </row>
    <row r="226">
      <c r="B226" s="623">
        <v>957039</v>
      </c>
      <c r="C226" s="603" t="s">
        <v>77</v>
      </c>
      <c r="D226" s="0" t="s">
        <v>63</v>
      </c>
      <c r="E226" s="0" t="s">
        <v>69</v>
      </c>
      <c r="F226" s="625">
        <v>4.7119195016283628</v>
      </c>
      <c r="G226" s="625">
        <v>0.95272320415208722</v>
      </c>
      <c r="H226" s="624">
        <v>6.2331995372434257</v>
      </c>
      <c r="I226" s="624">
        <v>16.537318836957834</v>
      </c>
      <c r="J226" s="626">
        <v>957.039</v>
      </c>
      <c r="K226" s="626">
        <v>1030.1100523</v>
      </c>
      <c r="L226" s="626">
        <v>505.60338540000004</v>
      </c>
      <c r="M226" s="626">
        <v>2129.8452238</v>
      </c>
      <c r="N226" s="626">
        <v>205.4062</v>
      </c>
      <c r="O226" s="626">
        <v>552.0843329</v>
      </c>
      <c r="P226" s="626">
        <v>320.15287670000004</v>
      </c>
      <c r="Q226" s="626">
        <v>256.8842021</v>
      </c>
      <c r="R226" s="626">
        <v>1460.9325511</v>
      </c>
      <c r="S226" s="626">
        <v>1095.8945443</v>
      </c>
      <c r="T226" s="626">
        <v>1596.2630268999999</v>
      </c>
      <c r="U226" s="626">
        <v>1413.2252054</v>
      </c>
      <c r="V226" s="626">
        <v>2346.0998280000003</v>
      </c>
      <c r="W226" s="626">
        <v>2083.8214555</v>
      </c>
      <c r="X226" s="626">
        <v>1937.7802559</v>
      </c>
      <c r="Y226" s="626">
        <v>1588.0757592</v>
      </c>
      <c r="Z226" s="626">
        <v>335.1932673</v>
      </c>
      <c r="AA226" s="626">
        <v>303.64197850000005</v>
      </c>
      <c r="AB226" s="626">
        <v>1632.5418687</v>
      </c>
      <c r="AC226" s="626">
        <v>1417.8475307</v>
      </c>
      <c r="AD226" s="626">
        <v>1324.4142514</v>
      </c>
      <c r="AE226" s="626">
        <v>1180.3466807</v>
      </c>
      <c r="AF226" s="626">
        <v>1174.5297178</v>
      </c>
      <c r="AG226" s="626">
        <v>832.9504545</v>
      </c>
      <c r="AH226" s="625">
        <v>0.92906481001578445</v>
      </c>
      <c r="AI226" s="625">
        <v>0.2373897313014941</v>
      </c>
      <c r="AJ226" s="625">
        <v>0.37205583958758104</v>
      </c>
      <c r="AK226" s="625">
        <v>1.2462925867620147</v>
      </c>
      <c r="AL226" s="625">
        <v>1.3330959248754912</v>
      </c>
      <c r="AM226" s="625">
        <v>1.1295178014195777</v>
      </c>
      <c r="AN226" s="625">
        <v>1.125864128995421</v>
      </c>
      <c r="AO226" s="625">
        <v>1.2202064319742678</v>
      </c>
      <c r="AP226" s="625">
        <v>1.1039095087565887</v>
      </c>
      <c r="AQ226" s="625">
        <v>1.1514227258270722</v>
      </c>
      <c r="AR226" s="625">
        <v>1.1220553021102531</v>
      </c>
      <c r="AS226" s="625">
        <v>1.4100835308129294</v>
      </c>
    </row>
    <row r="227">
      <c r="B227" s="623">
        <v>957039</v>
      </c>
      <c r="C227" s="603" t="s">
        <v>78</v>
      </c>
      <c r="D227" s="0" t="s">
        <v>63</v>
      </c>
      <c r="E227" s="0" t="s">
        <v>69</v>
      </c>
      <c r="F227" s="625">
        <v>5.4187074268726168</v>
      </c>
      <c r="G227" s="625">
        <v>1.0956316847749001</v>
      </c>
      <c r="H227" s="624">
        <v>7.1681794678299386</v>
      </c>
      <c r="I227" s="624">
        <v>19.017916662501506</v>
      </c>
      <c r="J227" s="626">
        <v>1148.4468</v>
      </c>
      <c r="K227" s="626">
        <v>1236.1320627</v>
      </c>
      <c r="L227" s="626">
        <v>606.7240625</v>
      </c>
      <c r="M227" s="626">
        <v>2555.8142686</v>
      </c>
      <c r="N227" s="626">
        <v>246.48744</v>
      </c>
      <c r="O227" s="626">
        <v>662.5011995</v>
      </c>
      <c r="P227" s="626">
        <v>352.1681644</v>
      </c>
      <c r="Q227" s="626">
        <v>282.5726223</v>
      </c>
      <c r="R227" s="626">
        <v>1607.0258062</v>
      </c>
      <c r="S227" s="626">
        <v>1205.4839987</v>
      </c>
      <c r="T227" s="626">
        <v>1755.8893296</v>
      </c>
      <c r="U227" s="626">
        <v>1554.547726</v>
      </c>
      <c r="V227" s="626">
        <v>2580.7098108</v>
      </c>
      <c r="W227" s="626">
        <v>2292.2036011</v>
      </c>
      <c r="X227" s="626">
        <v>2131.5582815000002</v>
      </c>
      <c r="Y227" s="626">
        <v>1746.8833351</v>
      </c>
      <c r="Z227" s="626">
        <v>368.7125941</v>
      </c>
      <c r="AA227" s="626">
        <v>334.0061764</v>
      </c>
      <c r="AB227" s="626">
        <v>1795.7960555</v>
      </c>
      <c r="AC227" s="626">
        <v>1559.6322838</v>
      </c>
      <c r="AD227" s="626">
        <v>1456.8556765</v>
      </c>
      <c r="AE227" s="626">
        <v>1298.3813488</v>
      </c>
      <c r="AF227" s="626">
        <v>1291.9826896</v>
      </c>
      <c r="AG227" s="626">
        <v>916.2454999</v>
      </c>
      <c r="AH227" s="625">
        <v>0.92906481001578445</v>
      </c>
      <c r="AI227" s="625">
        <v>0.2373897313014941</v>
      </c>
      <c r="AJ227" s="625">
        <v>0.37205583958758104</v>
      </c>
      <c r="AK227" s="625">
        <v>1.2462925867620149</v>
      </c>
      <c r="AL227" s="625">
        <v>1.3330959248754912</v>
      </c>
      <c r="AM227" s="625">
        <v>1.1295178014195775</v>
      </c>
      <c r="AN227" s="625">
        <v>1.125864128995421</v>
      </c>
      <c r="AO227" s="625">
        <v>1.2202064319742678</v>
      </c>
      <c r="AP227" s="625">
        <v>1.1039095087565889</v>
      </c>
      <c r="AQ227" s="625">
        <v>1.1514227258270724</v>
      </c>
      <c r="AR227" s="625">
        <v>1.1220553021102528</v>
      </c>
      <c r="AS227" s="625">
        <v>1.4100835308129291</v>
      </c>
    </row>
    <row r="228">
      <c r="B228" s="623">
        <v>957039</v>
      </c>
      <c r="C228" s="603" t="s">
        <v>79</v>
      </c>
      <c r="D228" s="0" t="s">
        <v>63</v>
      </c>
      <c r="E228" s="0" t="s">
        <v>69</v>
      </c>
      <c r="F228" s="625">
        <v>6.1254953521168716</v>
      </c>
      <c r="G228" s="625">
        <v>1.2385401653977133</v>
      </c>
      <c r="H228" s="624">
        <v>8.1031593984164534</v>
      </c>
      <c r="I228" s="624">
        <v>21.498514488045181</v>
      </c>
      <c r="J228" s="626">
        <v>1244.1507</v>
      </c>
      <c r="K228" s="626">
        <v>1339.1430679</v>
      </c>
      <c r="L228" s="626">
        <v>657.284401</v>
      </c>
      <c r="M228" s="626">
        <v>2768.7987909</v>
      </c>
      <c r="N228" s="626">
        <v>267.02806</v>
      </c>
      <c r="O228" s="626">
        <v>717.7096328</v>
      </c>
      <c r="P228" s="626">
        <v>384.183452</v>
      </c>
      <c r="Q228" s="626">
        <v>308.2610425</v>
      </c>
      <c r="R228" s="626">
        <v>1753.1190612999999</v>
      </c>
      <c r="S228" s="626">
        <v>1315.0734532000001</v>
      </c>
      <c r="T228" s="626">
        <v>1915.5156322999999</v>
      </c>
      <c r="U228" s="626">
        <v>1695.8702465</v>
      </c>
      <c r="V228" s="626">
        <v>2815.3197936</v>
      </c>
      <c r="W228" s="626">
        <v>2500.5857466</v>
      </c>
      <c r="X228" s="626">
        <v>2325.336307</v>
      </c>
      <c r="Y228" s="626">
        <v>1905.6909111</v>
      </c>
      <c r="Z228" s="626">
        <v>402.2319208</v>
      </c>
      <c r="AA228" s="626">
        <v>364.3703742</v>
      </c>
      <c r="AB228" s="626">
        <v>1959.0502424000001</v>
      </c>
      <c r="AC228" s="626">
        <v>1701.4170368999999</v>
      </c>
      <c r="AD228" s="626">
        <v>1589.2971017</v>
      </c>
      <c r="AE228" s="626">
        <v>1416.4160168</v>
      </c>
      <c r="AF228" s="626">
        <v>1409.4356614</v>
      </c>
      <c r="AG228" s="626">
        <v>999.5405453</v>
      </c>
      <c r="AH228" s="625">
        <v>0.92906481001578434</v>
      </c>
      <c r="AI228" s="625">
        <v>0.2373897313014941</v>
      </c>
      <c r="AJ228" s="625">
        <v>0.37205583958758104</v>
      </c>
      <c r="AK228" s="625">
        <v>1.2462925867620147</v>
      </c>
      <c r="AL228" s="625">
        <v>1.333095924875491</v>
      </c>
      <c r="AM228" s="625">
        <v>1.1295178014195777</v>
      </c>
      <c r="AN228" s="625">
        <v>1.1258641289954212</v>
      </c>
      <c r="AO228" s="625">
        <v>1.2202064319742678</v>
      </c>
      <c r="AP228" s="625">
        <v>1.1039095087565887</v>
      </c>
      <c r="AQ228" s="625">
        <v>1.1514227258270724</v>
      </c>
      <c r="AR228" s="625">
        <v>1.1220553021102531</v>
      </c>
      <c r="AS228" s="625">
        <v>1.4100835308129294</v>
      </c>
    </row>
    <row r="229">
      <c r="B229" s="623">
        <v>1000000</v>
      </c>
      <c r="C229" s="603" t="s">
        <v>77</v>
      </c>
      <c r="D229" s="0" t="s">
        <v>63</v>
      </c>
      <c r="E229" s="0" t="s">
        <v>69</v>
      </c>
      <c r="F229" s="625">
        <v>4.7874023266830692</v>
      </c>
      <c r="G229" s="625">
        <v>1.0005395234081433</v>
      </c>
      <c r="H229" s="624">
        <v>6.1952671156165291</v>
      </c>
      <c r="I229" s="624">
        <v>16.251209712014713</v>
      </c>
      <c r="J229" s="626">
        <v>1000</v>
      </c>
      <c r="K229" s="626">
        <v>1041.004813</v>
      </c>
      <c r="L229" s="626">
        <v>521.4413968</v>
      </c>
      <c r="M229" s="626">
        <v>2196.5860747</v>
      </c>
      <c r="N229" s="626">
        <v>205.4062</v>
      </c>
      <c r="O229" s="626">
        <v>552.9874404</v>
      </c>
      <c r="P229" s="626">
        <v>331.7528457</v>
      </c>
      <c r="Q229" s="626">
        <v>265.193748</v>
      </c>
      <c r="R229" s="626">
        <v>1511.8849975</v>
      </c>
      <c r="S229" s="626">
        <v>1112.4448811000002</v>
      </c>
      <c r="T229" s="626">
        <v>1671.1569842000001</v>
      </c>
      <c r="U229" s="626">
        <v>1473.8770330999998</v>
      </c>
      <c r="V229" s="626">
        <v>2414.8549363</v>
      </c>
      <c r="W229" s="626">
        <v>2141.5757464999997</v>
      </c>
      <c r="X229" s="626">
        <v>2048.7051639</v>
      </c>
      <c r="Y229" s="626">
        <v>1684.3329109000001</v>
      </c>
      <c r="Z229" s="626">
        <v>350.5141373</v>
      </c>
      <c r="AA229" s="626">
        <v>317.7241924</v>
      </c>
      <c r="AB229" s="626">
        <v>1707.9161844</v>
      </c>
      <c r="AC229" s="626">
        <v>1487.5868557</v>
      </c>
      <c r="AD229" s="626">
        <v>1373.8319855</v>
      </c>
      <c r="AE229" s="626">
        <v>1222.3364075</v>
      </c>
      <c r="AF229" s="626">
        <v>1221.6757242</v>
      </c>
      <c r="AG229" s="626">
        <v>865.7316132</v>
      </c>
      <c r="AH229" s="625">
        <v>0.96061035210637591</v>
      </c>
      <c r="AI229" s="625">
        <v>0.23738719044237258</v>
      </c>
      <c r="AJ229" s="625">
        <v>0.37144821925559873</v>
      </c>
      <c r="AK229" s="625">
        <v>1.2509829065134435</v>
      </c>
      <c r="AL229" s="625">
        <v>1.3590650855055593</v>
      </c>
      <c r="AM229" s="625">
        <v>1.1338510246534204</v>
      </c>
      <c r="AN229" s="625">
        <v>1.1276065954037833</v>
      </c>
      <c r="AO229" s="625">
        <v>1.2163303054489247</v>
      </c>
      <c r="AP229" s="625">
        <v>1.1032025440442297</v>
      </c>
      <c r="AQ229" s="625">
        <v>1.1481119088025609</v>
      </c>
      <c r="AR229" s="625">
        <v>1.1239393484539013</v>
      </c>
      <c r="AS229" s="625">
        <v>1.4111483345944735</v>
      </c>
    </row>
    <row r="230">
      <c r="B230" s="623">
        <v>1000000</v>
      </c>
      <c r="C230" s="603" t="s">
        <v>78</v>
      </c>
      <c r="D230" s="0" t="s">
        <v>63</v>
      </c>
      <c r="E230" s="0" t="s">
        <v>69</v>
      </c>
      <c r="F230" s="625">
        <v>5.5055126756855293</v>
      </c>
      <c r="G230" s="625">
        <v>1.1506204519193648</v>
      </c>
      <c r="H230" s="624">
        <v>7.1245571829590073</v>
      </c>
      <c r="I230" s="624">
        <v>18.688891168816916</v>
      </c>
      <c r="J230" s="626">
        <v>1200</v>
      </c>
      <c r="K230" s="626">
        <v>1249.2057756000002</v>
      </c>
      <c r="L230" s="626">
        <v>625.7296762</v>
      </c>
      <c r="M230" s="626">
        <v>2635.9032897</v>
      </c>
      <c r="N230" s="626">
        <v>246.48744</v>
      </c>
      <c r="O230" s="626">
        <v>663.5849285</v>
      </c>
      <c r="P230" s="626">
        <v>364.9281303</v>
      </c>
      <c r="Q230" s="626">
        <v>291.7131228</v>
      </c>
      <c r="R230" s="626">
        <v>1663.0734972</v>
      </c>
      <c r="S230" s="626">
        <v>1223.6893692</v>
      </c>
      <c r="T230" s="626">
        <v>1838.2726826</v>
      </c>
      <c r="U230" s="626">
        <v>1621.2647364</v>
      </c>
      <c r="V230" s="626">
        <v>2656.34043</v>
      </c>
      <c r="W230" s="626">
        <v>2355.7333212000003</v>
      </c>
      <c r="X230" s="626">
        <v>2253.5756803</v>
      </c>
      <c r="Y230" s="626">
        <v>1852.7662019</v>
      </c>
      <c r="Z230" s="626">
        <v>385.56555099999997</v>
      </c>
      <c r="AA230" s="626">
        <v>349.4966116</v>
      </c>
      <c r="AB230" s="626">
        <v>1878.7078029</v>
      </c>
      <c r="AC230" s="626">
        <v>1636.3455413</v>
      </c>
      <c r="AD230" s="626">
        <v>1511.215184</v>
      </c>
      <c r="AE230" s="626">
        <v>1344.5700482999998</v>
      </c>
      <c r="AF230" s="626">
        <v>1343.8432966</v>
      </c>
      <c r="AG230" s="626">
        <v>952.3047745</v>
      </c>
      <c r="AH230" s="625">
        <v>0.960610352106376</v>
      </c>
      <c r="AI230" s="625">
        <v>0.23738719044237255</v>
      </c>
      <c r="AJ230" s="625">
        <v>0.37144821925559868</v>
      </c>
      <c r="AK230" s="625">
        <v>1.2509829065134435</v>
      </c>
      <c r="AL230" s="625">
        <v>1.3590650855055595</v>
      </c>
      <c r="AM230" s="625">
        <v>1.1338510246534204</v>
      </c>
      <c r="AN230" s="625">
        <v>1.1276065954037831</v>
      </c>
      <c r="AO230" s="625">
        <v>1.2163303054489247</v>
      </c>
      <c r="AP230" s="625">
        <v>1.10320254404423</v>
      </c>
      <c r="AQ230" s="625">
        <v>1.1481119088025609</v>
      </c>
      <c r="AR230" s="625">
        <v>1.1239393484539013</v>
      </c>
      <c r="AS230" s="625">
        <v>1.4111483345944735</v>
      </c>
    </row>
    <row r="231">
      <c r="B231" s="623">
        <v>1000000</v>
      </c>
      <c r="C231" s="603" t="s">
        <v>79</v>
      </c>
      <c r="D231" s="0" t="s">
        <v>63</v>
      </c>
      <c r="E231" s="0" t="s">
        <v>69</v>
      </c>
      <c r="F231" s="625">
        <v>6.22362302468799</v>
      </c>
      <c r="G231" s="625">
        <v>1.3007013804305863</v>
      </c>
      <c r="H231" s="624">
        <v>8.0538472503014873</v>
      </c>
      <c r="I231" s="624">
        <v>21.126572625619126</v>
      </c>
      <c r="J231" s="626">
        <v>1300</v>
      </c>
      <c r="K231" s="626">
        <v>1353.306257</v>
      </c>
      <c r="L231" s="626">
        <v>677.87381590000007</v>
      </c>
      <c r="M231" s="626">
        <v>2855.5618971000004</v>
      </c>
      <c r="N231" s="626">
        <v>267.02806</v>
      </c>
      <c r="O231" s="626">
        <v>718.8836725</v>
      </c>
      <c r="P231" s="626">
        <v>398.10341480000005</v>
      </c>
      <c r="Q231" s="626">
        <v>318.2324976</v>
      </c>
      <c r="R231" s="626">
        <v>1814.2619969</v>
      </c>
      <c r="S231" s="626">
        <v>1334.9338573</v>
      </c>
      <c r="T231" s="626">
        <v>2005.388381</v>
      </c>
      <c r="U231" s="626">
        <v>1768.6524397</v>
      </c>
      <c r="V231" s="626">
        <v>2897.8259236</v>
      </c>
      <c r="W231" s="626">
        <v>2569.8908958</v>
      </c>
      <c r="X231" s="626">
        <v>2458.4461967</v>
      </c>
      <c r="Y231" s="626">
        <v>2021.199493</v>
      </c>
      <c r="Z231" s="626">
        <v>420.6169648</v>
      </c>
      <c r="AA231" s="626">
        <v>381.2690308</v>
      </c>
      <c r="AB231" s="626">
        <v>2049.4994213</v>
      </c>
      <c r="AC231" s="626">
        <v>1785.1042268</v>
      </c>
      <c r="AD231" s="626">
        <v>1648.5983826</v>
      </c>
      <c r="AE231" s="626">
        <v>1466.803689</v>
      </c>
      <c r="AF231" s="626">
        <v>1466.010869</v>
      </c>
      <c r="AG231" s="626">
        <v>1038.8779359</v>
      </c>
      <c r="AH231" s="625">
        <v>0.9606103521063758</v>
      </c>
      <c r="AI231" s="625">
        <v>0.23738719044237255</v>
      </c>
      <c r="AJ231" s="625">
        <v>0.37144821925559868</v>
      </c>
      <c r="AK231" s="625">
        <v>1.2509829065134435</v>
      </c>
      <c r="AL231" s="625">
        <v>1.3590650855055595</v>
      </c>
      <c r="AM231" s="625">
        <v>1.1338510246534204</v>
      </c>
      <c r="AN231" s="625">
        <v>1.1276065954037831</v>
      </c>
      <c r="AO231" s="625">
        <v>1.2163303054489247</v>
      </c>
      <c r="AP231" s="625">
        <v>1.10320254404423</v>
      </c>
      <c r="AQ231" s="625">
        <v>1.1481119088025609</v>
      </c>
      <c r="AR231" s="625">
        <v>1.1239393484539013</v>
      </c>
      <c r="AS231" s="625">
        <v>1.4111483345944735</v>
      </c>
    </row>
    <row r="232">
      <c r="B232" s="623">
        <v>1101400</v>
      </c>
      <c r="C232" s="603" t="s">
        <v>77</v>
      </c>
      <c r="D232" s="0" t="s">
        <v>63</v>
      </c>
      <c r="E232" s="0" t="s">
        <v>69</v>
      </c>
      <c r="F232" s="625">
        <v>4.95009970355126</v>
      </c>
      <c r="G232" s="625">
        <v>1.1133994375759724</v>
      </c>
      <c r="H232" s="624">
        <v>6.1167138014784426</v>
      </c>
      <c r="I232" s="624">
        <v>15.654397051535014</v>
      </c>
      <c r="J232" s="626">
        <v>1101.4</v>
      </c>
      <c r="K232" s="626">
        <v>1066.7195018</v>
      </c>
      <c r="L232" s="626">
        <v>558.8235425</v>
      </c>
      <c r="M232" s="626">
        <v>2354.1131873</v>
      </c>
      <c r="N232" s="626">
        <v>205.4062</v>
      </c>
      <c r="O232" s="626">
        <v>555.11902709999993</v>
      </c>
      <c r="P232" s="626">
        <v>359.1320234</v>
      </c>
      <c r="Q232" s="626">
        <v>284.8066052</v>
      </c>
      <c r="R232" s="626">
        <v>1632.1470504000001</v>
      </c>
      <c r="S232" s="626">
        <v>1151.5083141999999</v>
      </c>
      <c r="T232" s="626">
        <v>1847.9277127</v>
      </c>
      <c r="U232" s="626">
        <v>1617.0323444</v>
      </c>
      <c r="V232" s="626">
        <v>2577.1362608</v>
      </c>
      <c r="W232" s="626">
        <v>2277.8920591</v>
      </c>
      <c r="X232" s="626">
        <v>2310.5190340999998</v>
      </c>
      <c r="Y232" s="626">
        <v>1911.5267652</v>
      </c>
      <c r="Z232" s="626">
        <v>386.67568420000003</v>
      </c>
      <c r="AA232" s="626">
        <v>350.96216360000005</v>
      </c>
      <c r="AB232" s="626">
        <v>1885.8206936000001</v>
      </c>
      <c r="AC232" s="626">
        <v>1652.1912072999999</v>
      </c>
      <c r="AD232" s="626">
        <v>1490.4716875</v>
      </c>
      <c r="AE232" s="626">
        <v>1321.4439307</v>
      </c>
      <c r="AF232" s="626">
        <v>1332.9535121</v>
      </c>
      <c r="AG232" s="626">
        <v>943.1043349</v>
      </c>
      <c r="AH232" s="625">
        <v>1.0325113566959707</v>
      </c>
      <c r="AI232" s="625">
        <v>0.23738176462885158</v>
      </c>
      <c r="AJ232" s="625">
        <v>0.37002190513985461</v>
      </c>
      <c r="AK232" s="625">
        <v>1.2609680282338225</v>
      </c>
      <c r="AL232" s="625">
        <v>1.4173992756175537</v>
      </c>
      <c r="AM232" s="625">
        <v>1.1427895793906584</v>
      </c>
      <c r="AN232" s="625">
        <v>1.1313689121209567</v>
      </c>
      <c r="AO232" s="625">
        <v>1.2087296271489172</v>
      </c>
      <c r="AP232" s="625">
        <v>1.10175889102393</v>
      </c>
      <c r="AQ232" s="625">
        <v>1.141405840423295</v>
      </c>
      <c r="AR232" s="625">
        <v>1.127911410254081</v>
      </c>
      <c r="AS232" s="625">
        <v>1.4133680259278503</v>
      </c>
    </row>
    <row r="233">
      <c r="B233" s="623">
        <v>1101400</v>
      </c>
      <c r="C233" s="603" t="s">
        <v>78</v>
      </c>
      <c r="D233" s="0" t="s">
        <v>63</v>
      </c>
      <c r="E233" s="0" t="s">
        <v>69</v>
      </c>
      <c r="F233" s="625">
        <v>5.6926146590839481</v>
      </c>
      <c r="G233" s="625">
        <v>1.2804093532123682</v>
      </c>
      <c r="H233" s="624">
        <v>7.0342208717002084</v>
      </c>
      <c r="I233" s="624">
        <v>18.002556609265266</v>
      </c>
      <c r="J233" s="626">
        <v>1321.68</v>
      </c>
      <c r="K233" s="626">
        <v>1280.0634021</v>
      </c>
      <c r="L233" s="626">
        <v>670.588251</v>
      </c>
      <c r="M233" s="626">
        <v>2824.9358248</v>
      </c>
      <c r="N233" s="626">
        <v>246.48744</v>
      </c>
      <c r="O233" s="626">
        <v>666.1428326</v>
      </c>
      <c r="P233" s="626">
        <v>395.0452258</v>
      </c>
      <c r="Q233" s="626">
        <v>313.2872658</v>
      </c>
      <c r="R233" s="626">
        <v>1795.3617555</v>
      </c>
      <c r="S233" s="626">
        <v>1266.6591455999999</v>
      </c>
      <c r="T233" s="626">
        <v>2032.720484</v>
      </c>
      <c r="U233" s="626">
        <v>1778.7355788</v>
      </c>
      <c r="V233" s="626">
        <v>2834.8498869</v>
      </c>
      <c r="W233" s="626">
        <v>2505.681265</v>
      </c>
      <c r="X233" s="626">
        <v>2541.5709375</v>
      </c>
      <c r="Y233" s="626">
        <v>2102.6794416999996</v>
      </c>
      <c r="Z233" s="626">
        <v>425.3432526</v>
      </c>
      <c r="AA233" s="626">
        <v>386.05838</v>
      </c>
      <c r="AB233" s="626">
        <v>2074.4027629</v>
      </c>
      <c r="AC233" s="626">
        <v>1817.4103281</v>
      </c>
      <c r="AD233" s="626">
        <v>1639.5188562</v>
      </c>
      <c r="AE233" s="626">
        <v>1453.5883238</v>
      </c>
      <c r="AF233" s="626">
        <v>1466.2488633</v>
      </c>
      <c r="AG233" s="626">
        <v>1037.4147684</v>
      </c>
      <c r="AH233" s="625">
        <v>1.0325113566959707</v>
      </c>
      <c r="AI233" s="625">
        <v>0.23738176462885158</v>
      </c>
      <c r="AJ233" s="625">
        <v>0.37002190513985461</v>
      </c>
      <c r="AK233" s="625">
        <v>1.2609680282338225</v>
      </c>
      <c r="AL233" s="625">
        <v>1.4173992756175537</v>
      </c>
      <c r="AM233" s="625">
        <v>1.1427895793906584</v>
      </c>
      <c r="AN233" s="625">
        <v>1.1313689121209569</v>
      </c>
      <c r="AO233" s="625">
        <v>1.208729627148917</v>
      </c>
      <c r="AP233" s="625">
        <v>1.1017588910239302</v>
      </c>
      <c r="AQ233" s="625">
        <v>1.141405840423295</v>
      </c>
      <c r="AR233" s="625">
        <v>1.127911410254081</v>
      </c>
      <c r="AS233" s="625">
        <v>1.41336802592785</v>
      </c>
    </row>
    <row r="234">
      <c r="B234" s="623">
        <v>1101400</v>
      </c>
      <c r="C234" s="603" t="s">
        <v>79</v>
      </c>
      <c r="D234" s="0" t="s">
        <v>63</v>
      </c>
      <c r="E234" s="0" t="s">
        <v>69</v>
      </c>
      <c r="F234" s="625">
        <v>6.4351296146166375</v>
      </c>
      <c r="G234" s="625">
        <v>1.4474192688487639</v>
      </c>
      <c r="H234" s="624">
        <v>7.9517279419219751</v>
      </c>
      <c r="I234" s="624">
        <v>20.350716166995518</v>
      </c>
      <c r="J234" s="626">
        <v>1431.82</v>
      </c>
      <c r="K234" s="626">
        <v>1386.7353523</v>
      </c>
      <c r="L234" s="626">
        <v>726.4706053000001</v>
      </c>
      <c r="M234" s="626">
        <v>3060.3471434999997</v>
      </c>
      <c r="N234" s="626">
        <v>267.02806</v>
      </c>
      <c r="O234" s="626">
        <v>721.6547353</v>
      </c>
      <c r="P234" s="626">
        <v>430.9584281</v>
      </c>
      <c r="Q234" s="626">
        <v>341.7679263</v>
      </c>
      <c r="R234" s="626">
        <v>1958.5764605</v>
      </c>
      <c r="S234" s="626">
        <v>1381.8099771</v>
      </c>
      <c r="T234" s="626">
        <v>2217.5132552</v>
      </c>
      <c r="U234" s="626">
        <v>1940.4388132</v>
      </c>
      <c r="V234" s="626">
        <v>3092.5635129999996</v>
      </c>
      <c r="W234" s="626">
        <v>2733.4704709000002</v>
      </c>
      <c r="X234" s="626">
        <v>2772.622841</v>
      </c>
      <c r="Y234" s="626">
        <v>2293.8321182</v>
      </c>
      <c r="Z234" s="626">
        <v>464.010821</v>
      </c>
      <c r="AA234" s="626">
        <v>421.1545964</v>
      </c>
      <c r="AB234" s="626">
        <v>2262.9848323</v>
      </c>
      <c r="AC234" s="626">
        <v>1982.6294487999999</v>
      </c>
      <c r="AD234" s="626">
        <v>1788.5660249999999</v>
      </c>
      <c r="AE234" s="626">
        <v>1585.7327169</v>
      </c>
      <c r="AF234" s="626">
        <v>1599.5442145</v>
      </c>
      <c r="AG234" s="626">
        <v>1131.7252019</v>
      </c>
      <c r="AH234" s="625">
        <v>1.0325113566959707</v>
      </c>
      <c r="AI234" s="625">
        <v>0.23738176462885161</v>
      </c>
      <c r="AJ234" s="625">
        <v>0.37002190513985456</v>
      </c>
      <c r="AK234" s="625">
        <v>1.2609680282338225</v>
      </c>
      <c r="AL234" s="625">
        <v>1.4173992756175537</v>
      </c>
      <c r="AM234" s="625">
        <v>1.1427895793906584</v>
      </c>
      <c r="AN234" s="625">
        <v>1.1313689121209567</v>
      </c>
      <c r="AO234" s="625">
        <v>1.208729627148917</v>
      </c>
      <c r="AP234" s="625">
        <v>1.10175889102393</v>
      </c>
      <c r="AQ234" s="625">
        <v>1.1414058404232947</v>
      </c>
      <c r="AR234" s="625">
        <v>1.127911410254081</v>
      </c>
      <c r="AS234" s="625">
        <v>1.4133680259278503</v>
      </c>
    </row>
    <row r="235">
      <c r="B235" s="623">
        <v>1257800</v>
      </c>
      <c r="C235" s="603" t="s">
        <v>77</v>
      </c>
      <c r="D235" s="0" t="s">
        <v>63</v>
      </c>
      <c r="E235" s="0" t="s">
        <v>69</v>
      </c>
      <c r="F235" s="625">
        <v>5.1654925740853548</v>
      </c>
      <c r="G235" s="625">
        <v>1.287475281519251</v>
      </c>
      <c r="H235" s="624">
        <v>6.0189717704146464</v>
      </c>
      <c r="I235" s="624">
        <v>14.903559270903923</v>
      </c>
      <c r="J235" s="626">
        <v>1257.8</v>
      </c>
      <c r="K235" s="626">
        <v>1106.382</v>
      </c>
      <c r="L235" s="626">
        <v>616.482</v>
      </c>
      <c r="M235" s="626">
        <v>2597.084</v>
      </c>
      <c r="N235" s="626">
        <v>205.4062</v>
      </c>
      <c r="O235" s="626">
        <v>558.40680000000009</v>
      </c>
      <c r="P235" s="626">
        <v>401.36184000000003</v>
      </c>
      <c r="Q235" s="626">
        <v>315.0576</v>
      </c>
      <c r="R235" s="626">
        <v>1817.64</v>
      </c>
      <c r="S235" s="626">
        <v>1211.76</v>
      </c>
      <c r="T235" s="626">
        <v>2120.58</v>
      </c>
      <c r="U235" s="626">
        <v>1837.836</v>
      </c>
      <c r="V235" s="626">
        <v>2827.44</v>
      </c>
      <c r="W235" s="626">
        <v>2488.1472000000003</v>
      </c>
      <c r="X235" s="626">
        <v>2714.3424</v>
      </c>
      <c r="Y235" s="626">
        <v>2261.952</v>
      </c>
      <c r="Z235" s="626">
        <v>442.4514824</v>
      </c>
      <c r="AA235" s="626">
        <v>402.2286203</v>
      </c>
      <c r="AB235" s="626">
        <v>2160.2217313</v>
      </c>
      <c r="AC235" s="626">
        <v>1906.0779982000001</v>
      </c>
      <c r="AD235" s="626">
        <v>1670.3775</v>
      </c>
      <c r="AE235" s="626">
        <v>1474.308</v>
      </c>
      <c r="AF235" s="626">
        <v>1504.5890746</v>
      </c>
      <c r="AG235" s="626">
        <v>1062.4445093</v>
      </c>
      <c r="AH235" s="625">
        <v>1.1368586979903868</v>
      </c>
      <c r="AI235" s="625">
        <v>0.23737468637903125</v>
      </c>
      <c r="AJ235" s="625">
        <v>0.36784329990250847</v>
      </c>
      <c r="AK235" s="625">
        <v>1.2739316239316239</v>
      </c>
      <c r="AL235" s="625">
        <v>1.5</v>
      </c>
      <c r="AM235" s="625">
        <v>1.1538461538461537</v>
      </c>
      <c r="AN235" s="625">
        <v>1.1363636363636365</v>
      </c>
      <c r="AO235" s="625">
        <v>1.2</v>
      </c>
      <c r="AP235" s="625">
        <v>1.0999999999999999</v>
      </c>
      <c r="AQ235" s="625">
        <v>1.1333333333333338</v>
      </c>
      <c r="AR235" s="625">
        <v>1.1329908675799087</v>
      </c>
      <c r="AS235" s="625">
        <v>1.4161577959311642</v>
      </c>
    </row>
    <row r="236">
      <c r="B236" s="623">
        <v>1257800</v>
      </c>
      <c r="C236" s="603" t="s">
        <v>78</v>
      </c>
      <c r="D236" s="0" t="s">
        <v>63</v>
      </c>
      <c r="E236" s="0" t="s">
        <v>69</v>
      </c>
      <c r="F236" s="625">
        <v>5.9403164601981571</v>
      </c>
      <c r="G236" s="625">
        <v>1.4805965737471383</v>
      </c>
      <c r="H236" s="624">
        <v>6.9218175359768432</v>
      </c>
      <c r="I236" s="624">
        <v>17.13909316153951</v>
      </c>
      <c r="J236" s="626">
        <v>1509.36</v>
      </c>
      <c r="K236" s="626">
        <v>1327.6583999999998</v>
      </c>
      <c r="L236" s="626">
        <v>739.7784</v>
      </c>
      <c r="M236" s="626">
        <v>3116.5008</v>
      </c>
      <c r="N236" s="626">
        <v>246.48744</v>
      </c>
      <c r="O236" s="626">
        <v>670.08816</v>
      </c>
      <c r="P236" s="626">
        <v>441.498024</v>
      </c>
      <c r="Q236" s="626">
        <v>346.56336</v>
      </c>
      <c r="R236" s="626">
        <v>1999.404</v>
      </c>
      <c r="S236" s="626">
        <v>1332.936</v>
      </c>
      <c r="T236" s="626">
        <v>2332.638</v>
      </c>
      <c r="U236" s="626">
        <v>2021.6196</v>
      </c>
      <c r="V236" s="626">
        <v>3110.184</v>
      </c>
      <c r="W236" s="626">
        <v>2736.9619199999997</v>
      </c>
      <c r="X236" s="626">
        <v>2985.77664</v>
      </c>
      <c r="Y236" s="626">
        <v>2488.1472000000003</v>
      </c>
      <c r="Z236" s="626">
        <v>486.6966306</v>
      </c>
      <c r="AA236" s="626">
        <v>442.4514824</v>
      </c>
      <c r="AB236" s="626">
        <v>2376.2439044</v>
      </c>
      <c r="AC236" s="626">
        <v>2096.685798</v>
      </c>
      <c r="AD236" s="626">
        <v>1837.41525</v>
      </c>
      <c r="AE236" s="626">
        <v>1621.7388</v>
      </c>
      <c r="AF236" s="626">
        <v>1655.047982</v>
      </c>
      <c r="AG236" s="626">
        <v>1168.6889602</v>
      </c>
      <c r="AH236" s="625">
        <v>1.1368586979903868</v>
      </c>
      <c r="AI236" s="625">
        <v>0.23737468637903128</v>
      </c>
      <c r="AJ236" s="625">
        <v>0.36784329990250847</v>
      </c>
      <c r="AK236" s="625">
        <v>1.2739316239316241</v>
      </c>
      <c r="AL236" s="625">
        <v>1.5</v>
      </c>
      <c r="AM236" s="625">
        <v>1.153846153846154</v>
      </c>
      <c r="AN236" s="625">
        <v>1.1363636363636362</v>
      </c>
      <c r="AO236" s="625">
        <v>1.2</v>
      </c>
      <c r="AP236" s="625">
        <v>1.0999999999999999</v>
      </c>
      <c r="AQ236" s="625">
        <v>1.1333333333333338</v>
      </c>
      <c r="AR236" s="625">
        <v>1.1329908675799085</v>
      </c>
      <c r="AS236" s="625">
        <v>1.416157795931164</v>
      </c>
    </row>
    <row r="237">
      <c r="B237" s="623">
        <v>1257800</v>
      </c>
      <c r="C237" s="603" t="s">
        <v>79</v>
      </c>
      <c r="D237" s="0" t="s">
        <v>63</v>
      </c>
      <c r="E237" s="0" t="s">
        <v>69</v>
      </c>
      <c r="F237" s="625">
        <v>6.71514034631096</v>
      </c>
      <c r="G237" s="625">
        <v>1.673717865975026</v>
      </c>
      <c r="H237" s="624">
        <v>7.82466330153904</v>
      </c>
      <c r="I237" s="624">
        <v>19.3746270521751</v>
      </c>
      <c r="J237" s="626">
        <v>1635.14</v>
      </c>
      <c r="K237" s="626">
        <v>1438.2966000000001</v>
      </c>
      <c r="L237" s="626">
        <v>801.4266</v>
      </c>
      <c r="M237" s="626">
        <v>3376.2092000000002</v>
      </c>
      <c r="N237" s="626">
        <v>267.02806</v>
      </c>
      <c r="O237" s="626">
        <v>725.92883999999992</v>
      </c>
      <c r="P237" s="626">
        <v>481.634208</v>
      </c>
      <c r="Q237" s="626">
        <v>378.06912</v>
      </c>
      <c r="R237" s="626">
        <v>2181.168</v>
      </c>
      <c r="S237" s="626">
        <v>1454.112</v>
      </c>
      <c r="T237" s="626">
        <v>2544.696</v>
      </c>
      <c r="U237" s="626">
        <v>2205.4032</v>
      </c>
      <c r="V237" s="626">
        <v>3392.928</v>
      </c>
      <c r="W237" s="626">
        <v>2985.77664</v>
      </c>
      <c r="X237" s="626">
        <v>3257.21088</v>
      </c>
      <c r="Y237" s="626">
        <v>2714.3424</v>
      </c>
      <c r="Z237" s="626">
        <v>530.9417789</v>
      </c>
      <c r="AA237" s="626">
        <v>482.6743444</v>
      </c>
      <c r="AB237" s="626">
        <v>2592.2660776</v>
      </c>
      <c r="AC237" s="626">
        <v>2287.2935979</v>
      </c>
      <c r="AD237" s="626">
        <v>2004.453</v>
      </c>
      <c r="AE237" s="626">
        <v>1769.1696000000002</v>
      </c>
      <c r="AF237" s="626">
        <v>1805.5068895</v>
      </c>
      <c r="AG237" s="626">
        <v>1274.9334110999998</v>
      </c>
      <c r="AH237" s="625">
        <v>1.1368586979903865</v>
      </c>
      <c r="AI237" s="625">
        <v>0.23737468637903122</v>
      </c>
      <c r="AJ237" s="625">
        <v>0.36784329990250847</v>
      </c>
      <c r="AK237" s="625">
        <v>1.2739316239316241</v>
      </c>
      <c r="AL237" s="625">
        <v>1.5</v>
      </c>
      <c r="AM237" s="625">
        <v>1.1538461538461537</v>
      </c>
      <c r="AN237" s="625">
        <v>1.1363636363636365</v>
      </c>
      <c r="AO237" s="625">
        <v>1.2</v>
      </c>
      <c r="AP237" s="625">
        <v>1.0999999999999996</v>
      </c>
      <c r="AQ237" s="625">
        <v>1.1333333333333335</v>
      </c>
      <c r="AR237" s="625">
        <v>1.1329908675799085</v>
      </c>
      <c r="AS237" s="625">
        <v>1.4161577959311642</v>
      </c>
    </row>
    <row r="238">
      <c r="B238" s="623">
        <v>1300000</v>
      </c>
      <c r="C238" s="603" t="s">
        <v>77</v>
      </c>
      <c r="D238" s="0" t="s">
        <v>63</v>
      </c>
      <c r="E238" s="0" t="s">
        <v>69</v>
      </c>
      <c r="F238" s="625">
        <v>5.2766249153434677</v>
      </c>
      <c r="G238" s="625">
        <v>1.3295646261196104</v>
      </c>
      <c r="H238" s="624">
        <v>5.9407219612077382</v>
      </c>
      <c r="I238" s="624">
        <v>14.589916015974145</v>
      </c>
      <c r="J238" s="626">
        <v>1300</v>
      </c>
      <c r="K238" s="626">
        <v>1123.8741510999998</v>
      </c>
      <c r="L238" s="626">
        <v>631.61180110000009</v>
      </c>
      <c r="M238" s="626">
        <v>2666.6856833</v>
      </c>
      <c r="N238" s="626">
        <v>205.4062</v>
      </c>
      <c r="O238" s="626">
        <v>565.4588807</v>
      </c>
      <c r="P238" s="626">
        <v>418.8805773</v>
      </c>
      <c r="Q238" s="626">
        <v>329.1662572</v>
      </c>
      <c r="R238" s="626">
        <v>1864.1993007</v>
      </c>
      <c r="S238" s="626">
        <v>1278.7907574</v>
      </c>
      <c r="T238" s="626">
        <v>2217.5404297</v>
      </c>
      <c r="U238" s="626">
        <v>1923.636833</v>
      </c>
      <c r="V238" s="626">
        <v>2842.8073133999997</v>
      </c>
      <c r="W238" s="626">
        <v>2510.6859263</v>
      </c>
      <c r="X238" s="626">
        <v>2901.0552576</v>
      </c>
      <c r="Y238" s="626">
        <v>2427.1506188</v>
      </c>
      <c r="Z238" s="626">
        <v>462.1190613</v>
      </c>
      <c r="AA238" s="626">
        <v>418.8365257</v>
      </c>
      <c r="AB238" s="626">
        <v>2231.7062901</v>
      </c>
      <c r="AC238" s="626">
        <v>1967.7636827000001</v>
      </c>
      <c r="AD238" s="626">
        <v>1703.078777</v>
      </c>
      <c r="AE238" s="626">
        <v>1498.7310516</v>
      </c>
      <c r="AF238" s="626">
        <v>1661.224078</v>
      </c>
      <c r="AG238" s="626">
        <v>1176.090841</v>
      </c>
      <c r="AH238" s="625">
        <v>1.1567131415272258</v>
      </c>
      <c r="AI238" s="625">
        <v>0.23685273637364315</v>
      </c>
      <c r="AJ238" s="625">
        <v>0.36325576804890486</v>
      </c>
      <c r="AK238" s="625">
        <v>1.2725501719706218</v>
      </c>
      <c r="AL238" s="625">
        <v>1.4577829014313084</v>
      </c>
      <c r="AM238" s="625">
        <v>1.1527853862920179</v>
      </c>
      <c r="AN238" s="625">
        <v>1.1322831277350045</v>
      </c>
      <c r="AO238" s="625">
        <v>1.1952514339469209</v>
      </c>
      <c r="AP238" s="625">
        <v>1.1033399260096626</v>
      </c>
      <c r="AQ238" s="625">
        <v>1.1341332852603934</v>
      </c>
      <c r="AR238" s="625">
        <v>1.1363471619147387</v>
      </c>
      <c r="AS238" s="625">
        <v>1.4124963991783763</v>
      </c>
    </row>
    <row r="239">
      <c r="B239" s="623">
        <v>1300000</v>
      </c>
      <c r="C239" s="603" t="s">
        <v>78</v>
      </c>
      <c r="D239" s="0" t="s">
        <v>63</v>
      </c>
      <c r="E239" s="0" t="s">
        <v>69</v>
      </c>
      <c r="F239" s="625">
        <v>6.0681186526449871</v>
      </c>
      <c r="G239" s="625">
        <v>1.5289993200375518</v>
      </c>
      <c r="H239" s="624">
        <v>6.8318302553888985</v>
      </c>
      <c r="I239" s="624">
        <v>16.778403418370264</v>
      </c>
      <c r="J239" s="626">
        <v>1560</v>
      </c>
      <c r="K239" s="626">
        <v>1348.6489813</v>
      </c>
      <c r="L239" s="626">
        <v>757.9341614</v>
      </c>
      <c r="M239" s="626">
        <v>3200.0228199999997</v>
      </c>
      <c r="N239" s="626">
        <v>246.48744</v>
      </c>
      <c r="O239" s="626">
        <v>678.5506568</v>
      </c>
      <c r="P239" s="626">
        <v>460.768635</v>
      </c>
      <c r="Q239" s="626">
        <v>362.082883</v>
      </c>
      <c r="R239" s="626">
        <v>2050.6192307</v>
      </c>
      <c r="S239" s="626">
        <v>1406.6698331</v>
      </c>
      <c r="T239" s="626">
        <v>2439.2944726</v>
      </c>
      <c r="U239" s="626">
        <v>2116.0005162999996</v>
      </c>
      <c r="V239" s="626">
        <v>3127.0880447</v>
      </c>
      <c r="W239" s="626">
        <v>2761.7545189</v>
      </c>
      <c r="X239" s="626">
        <v>3191.1607833</v>
      </c>
      <c r="Y239" s="626">
        <v>2669.8656806999998</v>
      </c>
      <c r="Z239" s="626">
        <v>508.3309674</v>
      </c>
      <c r="AA239" s="626">
        <v>460.72017830000004</v>
      </c>
      <c r="AB239" s="626">
        <v>2454.8769191</v>
      </c>
      <c r="AC239" s="626">
        <v>2164.540051</v>
      </c>
      <c r="AD239" s="626">
        <v>1873.3866547</v>
      </c>
      <c r="AE239" s="626">
        <v>1648.6041568</v>
      </c>
      <c r="AF239" s="626">
        <v>1827.3464858</v>
      </c>
      <c r="AG239" s="626">
        <v>1293.6999251000002</v>
      </c>
      <c r="AH239" s="625">
        <v>1.156713141527226</v>
      </c>
      <c r="AI239" s="625">
        <v>0.23685273637364315</v>
      </c>
      <c r="AJ239" s="625">
        <v>0.3632557680489048</v>
      </c>
      <c r="AK239" s="625">
        <v>1.2725501719706216</v>
      </c>
      <c r="AL239" s="625">
        <v>1.4577829014313084</v>
      </c>
      <c r="AM239" s="625">
        <v>1.1527853862920177</v>
      </c>
      <c r="AN239" s="625">
        <v>1.1322831277350043</v>
      </c>
      <c r="AO239" s="625">
        <v>1.1952514339469207</v>
      </c>
      <c r="AP239" s="625">
        <v>1.1033399260096626</v>
      </c>
      <c r="AQ239" s="625">
        <v>1.1341332852603931</v>
      </c>
      <c r="AR239" s="625">
        <v>1.1363471619147387</v>
      </c>
      <c r="AS239" s="625">
        <v>1.4124963991783763</v>
      </c>
    </row>
    <row r="240">
      <c r="B240" s="623">
        <v>1300000</v>
      </c>
      <c r="C240" s="603" t="s">
        <v>79</v>
      </c>
      <c r="D240" s="0" t="s">
        <v>63</v>
      </c>
      <c r="E240" s="0" t="s">
        <v>69</v>
      </c>
      <c r="F240" s="625">
        <v>6.8596123899465073</v>
      </c>
      <c r="G240" s="625">
        <v>1.7284340139554935</v>
      </c>
      <c r="H240" s="624">
        <v>7.72293854957006</v>
      </c>
      <c r="I240" s="624">
        <v>18.966890820766388</v>
      </c>
      <c r="J240" s="626">
        <v>1690</v>
      </c>
      <c r="K240" s="626">
        <v>1461.0363964</v>
      </c>
      <c r="L240" s="626">
        <v>821.0953415</v>
      </c>
      <c r="M240" s="626">
        <v>3466.6913883</v>
      </c>
      <c r="N240" s="626">
        <v>267.02806</v>
      </c>
      <c r="O240" s="626">
        <v>735.0965449</v>
      </c>
      <c r="P240" s="626">
        <v>502.6566927</v>
      </c>
      <c r="Q240" s="626">
        <v>394.9995087</v>
      </c>
      <c r="R240" s="626">
        <v>2237.0391608</v>
      </c>
      <c r="S240" s="626">
        <v>1534.5489089</v>
      </c>
      <c r="T240" s="626">
        <v>2661.0485156</v>
      </c>
      <c r="U240" s="626">
        <v>2308.3641996</v>
      </c>
      <c r="V240" s="626">
        <v>3411.3687761</v>
      </c>
      <c r="W240" s="626">
        <v>3012.8231115000003</v>
      </c>
      <c r="X240" s="626">
        <v>3481.2663091000004</v>
      </c>
      <c r="Y240" s="626">
        <v>2912.5807426</v>
      </c>
      <c r="Z240" s="626">
        <v>554.5428736</v>
      </c>
      <c r="AA240" s="626">
        <v>502.6038309</v>
      </c>
      <c r="AB240" s="626">
        <v>2678.0475481</v>
      </c>
      <c r="AC240" s="626">
        <v>2361.3164192</v>
      </c>
      <c r="AD240" s="626">
        <v>2043.6945323999998</v>
      </c>
      <c r="AE240" s="626">
        <v>1798.4772619</v>
      </c>
      <c r="AF240" s="626">
        <v>1993.4688936</v>
      </c>
      <c r="AG240" s="626">
        <v>1411.3090092</v>
      </c>
      <c r="AH240" s="625">
        <v>1.1567131415272258</v>
      </c>
      <c r="AI240" s="625">
        <v>0.23685273637364313</v>
      </c>
      <c r="AJ240" s="625">
        <v>0.36325576804890486</v>
      </c>
      <c r="AK240" s="625">
        <v>1.2725501719706216</v>
      </c>
      <c r="AL240" s="625">
        <v>1.4577829014313084</v>
      </c>
      <c r="AM240" s="625">
        <v>1.1527853862920179</v>
      </c>
      <c r="AN240" s="625">
        <v>1.1322831277350043</v>
      </c>
      <c r="AO240" s="625">
        <v>1.1952514339469207</v>
      </c>
      <c r="AP240" s="625">
        <v>1.1033399260096628</v>
      </c>
      <c r="AQ240" s="625">
        <v>1.1341332852603931</v>
      </c>
      <c r="AR240" s="625">
        <v>1.1363471619147387</v>
      </c>
      <c r="AS240" s="625">
        <v>1.4124963991783766</v>
      </c>
    </row>
    <row r="241">
      <c r="B241" s="623">
        <v>1428221</v>
      </c>
      <c r="C241" s="603" t="s">
        <v>77</v>
      </c>
      <c r="D241" s="0" t="s">
        <v>63</v>
      </c>
      <c r="E241" s="0" t="s">
        <v>69</v>
      </c>
      <c r="F241" s="625">
        <v>5.58557064469454</v>
      </c>
      <c r="G241" s="625">
        <v>1.4574494093898165</v>
      </c>
      <c r="H241" s="624">
        <v>5.7368125599608364</v>
      </c>
      <c r="I241" s="624">
        <v>13.780897082523271</v>
      </c>
      <c r="J241" s="626">
        <v>1428.221</v>
      </c>
      <c r="K241" s="626">
        <v>1177.0225185</v>
      </c>
      <c r="L241" s="626">
        <v>677.5823754</v>
      </c>
      <c r="M241" s="626">
        <v>2878.1642956</v>
      </c>
      <c r="N241" s="626">
        <v>205.4062</v>
      </c>
      <c r="O241" s="626">
        <v>586.8860095</v>
      </c>
      <c r="P241" s="626">
        <v>472.1097244</v>
      </c>
      <c r="Q241" s="626">
        <v>372.0341752</v>
      </c>
      <c r="R241" s="626">
        <v>2005.6656535</v>
      </c>
      <c r="S241" s="626">
        <v>1482.4578367000001</v>
      </c>
      <c r="T241" s="626">
        <v>2512.1461938999996</v>
      </c>
      <c r="U241" s="626">
        <v>2184.3351414</v>
      </c>
      <c r="V241" s="626">
        <v>2889.4995477</v>
      </c>
      <c r="W241" s="626">
        <v>2579.16787</v>
      </c>
      <c r="X241" s="626">
        <v>3468.3659046999996</v>
      </c>
      <c r="Y241" s="626">
        <v>2929.0921379</v>
      </c>
      <c r="Z241" s="626">
        <v>521.8772755</v>
      </c>
      <c r="AA241" s="626">
        <v>469.2981901</v>
      </c>
      <c r="AB241" s="626">
        <v>2448.9058542</v>
      </c>
      <c r="AC241" s="626">
        <v>2155.1902265</v>
      </c>
      <c r="AD241" s="626">
        <v>1802.4387399</v>
      </c>
      <c r="AE241" s="626">
        <v>1572.9383526000001</v>
      </c>
      <c r="AF241" s="626">
        <v>2137.1458025</v>
      </c>
      <c r="AG241" s="626">
        <v>1521.3952556</v>
      </c>
      <c r="AH241" s="625">
        <v>1.2134185858785853</v>
      </c>
      <c r="AI241" s="625">
        <v>0.23542171529655226</v>
      </c>
      <c r="AJ241" s="625">
        <v>0.34999334909219965</v>
      </c>
      <c r="AK241" s="625">
        <v>1.2689955811086264</v>
      </c>
      <c r="AL241" s="625">
        <v>1.3529326796726353</v>
      </c>
      <c r="AM241" s="625">
        <v>1.1500736065146382</v>
      </c>
      <c r="AN241" s="625">
        <v>1.1203224037287429</v>
      </c>
      <c r="AO241" s="625">
        <v>1.1841095265729047</v>
      </c>
      <c r="AP241" s="625">
        <v>1.1120376905098832</v>
      </c>
      <c r="AQ241" s="625">
        <v>1.1362829248757911</v>
      </c>
      <c r="AR241" s="625">
        <v>1.1459055193912671</v>
      </c>
      <c r="AS241" s="625">
        <v>1.4047275319460562</v>
      </c>
    </row>
    <row r="242">
      <c r="B242" s="623">
        <v>1428221</v>
      </c>
      <c r="C242" s="603" t="s">
        <v>78</v>
      </c>
      <c r="D242" s="0" t="s">
        <v>63</v>
      </c>
      <c r="E242" s="0" t="s">
        <v>69</v>
      </c>
      <c r="F242" s="625">
        <v>6.4234062413987214</v>
      </c>
      <c r="G242" s="625">
        <v>1.676066820798289</v>
      </c>
      <c r="H242" s="624">
        <v>6.5973344439549617</v>
      </c>
      <c r="I242" s="624">
        <v>15.848031644901761</v>
      </c>
      <c r="J242" s="626">
        <v>1713.8652</v>
      </c>
      <c r="K242" s="626">
        <v>1412.4270223</v>
      </c>
      <c r="L242" s="626">
        <v>813.0988504</v>
      </c>
      <c r="M242" s="626">
        <v>3453.7971546999997</v>
      </c>
      <c r="N242" s="626">
        <v>246.48744</v>
      </c>
      <c r="O242" s="626">
        <v>704.2632114</v>
      </c>
      <c r="P242" s="626">
        <v>519.3206968</v>
      </c>
      <c r="Q242" s="626">
        <v>409.23759279999996</v>
      </c>
      <c r="R242" s="626">
        <v>2206.2322188</v>
      </c>
      <c r="S242" s="626">
        <v>1630.7036203</v>
      </c>
      <c r="T242" s="626">
        <v>2763.3608133000002</v>
      </c>
      <c r="U242" s="626">
        <v>2402.7686555</v>
      </c>
      <c r="V242" s="626">
        <v>3178.4495025</v>
      </c>
      <c r="W242" s="626">
        <v>2837.0846570000003</v>
      </c>
      <c r="X242" s="626">
        <v>3815.2024951</v>
      </c>
      <c r="Y242" s="626">
        <v>3222.0013517</v>
      </c>
      <c r="Z242" s="626">
        <v>574.065003</v>
      </c>
      <c r="AA242" s="626">
        <v>516.2280091</v>
      </c>
      <c r="AB242" s="626">
        <v>2693.7964396</v>
      </c>
      <c r="AC242" s="626">
        <v>2370.7092491000003</v>
      </c>
      <c r="AD242" s="626">
        <v>1982.6826139</v>
      </c>
      <c r="AE242" s="626">
        <v>1730.2321879</v>
      </c>
      <c r="AF242" s="626">
        <v>2350.8603827</v>
      </c>
      <c r="AG242" s="626">
        <v>1673.5347811</v>
      </c>
      <c r="AH242" s="625">
        <v>1.2134185858785853</v>
      </c>
      <c r="AI242" s="625">
        <v>0.23542171529655223</v>
      </c>
      <c r="AJ242" s="625">
        <v>0.34999334909219959</v>
      </c>
      <c r="AK242" s="625">
        <v>1.2689955811086264</v>
      </c>
      <c r="AL242" s="625">
        <v>1.3529326796726353</v>
      </c>
      <c r="AM242" s="625">
        <v>1.150073606514638</v>
      </c>
      <c r="AN242" s="625">
        <v>1.1203224037287429</v>
      </c>
      <c r="AO242" s="625">
        <v>1.1841095265729045</v>
      </c>
      <c r="AP242" s="625">
        <v>1.1120376905098834</v>
      </c>
      <c r="AQ242" s="625">
        <v>1.1362829248757911</v>
      </c>
      <c r="AR242" s="625">
        <v>1.1459055193912668</v>
      </c>
      <c r="AS242" s="625">
        <v>1.4047275319460559</v>
      </c>
    </row>
    <row r="243">
      <c r="B243" s="623">
        <v>1428221</v>
      </c>
      <c r="C243" s="603" t="s">
        <v>79</v>
      </c>
      <c r="D243" s="0" t="s">
        <v>63</v>
      </c>
      <c r="E243" s="0" t="s">
        <v>69</v>
      </c>
      <c r="F243" s="625">
        <v>7.2612418381029027</v>
      </c>
      <c r="G243" s="625">
        <v>1.8946842322067614</v>
      </c>
      <c r="H243" s="624">
        <v>7.4578563279490879</v>
      </c>
      <c r="I243" s="624">
        <v>17.915166207280254</v>
      </c>
      <c r="J243" s="626">
        <v>1856.6873</v>
      </c>
      <c r="K243" s="626">
        <v>1530.1292741</v>
      </c>
      <c r="L243" s="626">
        <v>880.857088</v>
      </c>
      <c r="M243" s="626">
        <v>3741.6135843</v>
      </c>
      <c r="N243" s="626">
        <v>267.02806</v>
      </c>
      <c r="O243" s="626">
        <v>762.9518123</v>
      </c>
      <c r="P243" s="626">
        <v>566.5316693</v>
      </c>
      <c r="Q243" s="626">
        <v>446.4410103</v>
      </c>
      <c r="R243" s="626">
        <v>2406.7987842</v>
      </c>
      <c r="S243" s="626">
        <v>1778.9494040000002</v>
      </c>
      <c r="T243" s="626">
        <v>3014.5754327</v>
      </c>
      <c r="U243" s="626">
        <v>2621.2021697</v>
      </c>
      <c r="V243" s="626">
        <v>3467.3994573</v>
      </c>
      <c r="W243" s="626">
        <v>3095.001444</v>
      </c>
      <c r="X243" s="626">
        <v>4162.0390855999995</v>
      </c>
      <c r="Y243" s="626">
        <v>3514.9105655</v>
      </c>
      <c r="Z243" s="626">
        <v>626.25273060000006</v>
      </c>
      <c r="AA243" s="626">
        <v>563.15782810000007</v>
      </c>
      <c r="AB243" s="626">
        <v>2938.6870249999997</v>
      </c>
      <c r="AC243" s="626">
        <v>2586.2282718</v>
      </c>
      <c r="AD243" s="626">
        <v>2162.9264879</v>
      </c>
      <c r="AE243" s="626">
        <v>1887.5260231000002</v>
      </c>
      <c r="AF243" s="626">
        <v>2564.574963</v>
      </c>
      <c r="AG243" s="626">
        <v>1825.6743067</v>
      </c>
      <c r="AH243" s="625">
        <v>1.2134185858785853</v>
      </c>
      <c r="AI243" s="625">
        <v>0.23542171529655226</v>
      </c>
      <c r="AJ243" s="625">
        <v>0.34999334909219965</v>
      </c>
      <c r="AK243" s="625">
        <v>1.2689955811086264</v>
      </c>
      <c r="AL243" s="625">
        <v>1.3529326796726353</v>
      </c>
      <c r="AM243" s="625">
        <v>1.150073606514638</v>
      </c>
      <c r="AN243" s="625">
        <v>1.1203224037287431</v>
      </c>
      <c r="AO243" s="625">
        <v>1.1841095265729047</v>
      </c>
      <c r="AP243" s="625">
        <v>1.1120376905098832</v>
      </c>
      <c r="AQ243" s="625">
        <v>1.1362829248757911</v>
      </c>
      <c r="AR243" s="625">
        <v>1.1459055193912671</v>
      </c>
      <c r="AS243" s="625">
        <v>1.4047275319460559</v>
      </c>
    </row>
    <row r="244">
      <c r="B244" s="623">
        <v>1500000</v>
      </c>
      <c r="C244" s="603" t="s">
        <v>77</v>
      </c>
      <c r="D244" s="0" t="s">
        <v>63</v>
      </c>
      <c r="E244" s="0" t="s">
        <v>69</v>
      </c>
      <c r="F244" s="625">
        <v>5.741854231521204</v>
      </c>
      <c r="G244" s="625">
        <v>1.5290401929459589</v>
      </c>
      <c r="H244" s="624">
        <v>5.64065420516857</v>
      </c>
      <c r="I244" s="624">
        <v>13.403489352103041</v>
      </c>
      <c r="J244" s="626">
        <v>1500</v>
      </c>
      <c r="K244" s="626">
        <v>1206.7753411</v>
      </c>
      <c r="L244" s="626">
        <v>703.3170198</v>
      </c>
      <c r="M244" s="626">
        <v>2996.5514811</v>
      </c>
      <c r="N244" s="626">
        <v>205.4062</v>
      </c>
      <c r="O244" s="626">
        <v>598.881064</v>
      </c>
      <c r="P244" s="626">
        <v>501.907768</v>
      </c>
      <c r="Q244" s="626">
        <v>396.0319313</v>
      </c>
      <c r="R244" s="626">
        <v>2084.8594933</v>
      </c>
      <c r="S244" s="626">
        <v>1596.4720720999999</v>
      </c>
      <c r="T244" s="626">
        <v>2677.0685323000002</v>
      </c>
      <c r="U244" s="626">
        <v>2330.2758520999996</v>
      </c>
      <c r="V244" s="626">
        <v>2915.6381825000003</v>
      </c>
      <c r="W244" s="626">
        <v>2617.5045343</v>
      </c>
      <c r="X244" s="626">
        <v>3785.9503171</v>
      </c>
      <c r="Y244" s="626">
        <v>3210.0824616</v>
      </c>
      <c r="Z244" s="626">
        <v>555.33033580000006</v>
      </c>
      <c r="AA244" s="626">
        <v>497.5469778</v>
      </c>
      <c r="AB244" s="626">
        <v>2570.495668</v>
      </c>
      <c r="AC244" s="626">
        <v>2260.1128982</v>
      </c>
      <c r="AD244" s="626">
        <v>1858.0611322999998</v>
      </c>
      <c r="AE244" s="626">
        <v>1614.4801114</v>
      </c>
      <c r="AF244" s="626">
        <v>2403.5700658</v>
      </c>
      <c r="AG244" s="626">
        <v>1714.6990481</v>
      </c>
      <c r="AH244" s="625">
        <v>1.2429819775523276</v>
      </c>
      <c r="AI244" s="625">
        <v>0.23470880586492648</v>
      </c>
      <c r="AJ244" s="625">
        <v>0.34298329393982224</v>
      </c>
      <c r="AK244" s="625">
        <v>1.2673416669323021</v>
      </c>
      <c r="AL244" s="625">
        <v>1.3059166707217673</v>
      </c>
      <c r="AM244" s="625">
        <v>1.1488204410694554</v>
      </c>
      <c r="AN244" s="625">
        <v>1.1138999548129411</v>
      </c>
      <c r="AO244" s="625">
        <v>1.1793934773804702</v>
      </c>
      <c r="AP244" s="625">
        <v>1.1161364868939356</v>
      </c>
      <c r="AQ244" s="625">
        <v>1.1373306484315164</v>
      </c>
      <c r="AR244" s="625">
        <v>1.1508727293642389</v>
      </c>
      <c r="AS244" s="625">
        <v>1.4017445618159139</v>
      </c>
    </row>
    <row r="245">
      <c r="B245" s="623">
        <v>1500000</v>
      </c>
      <c r="C245" s="603" t="s">
        <v>78</v>
      </c>
      <c r="D245" s="0" t="s">
        <v>63</v>
      </c>
      <c r="E245" s="0" t="s">
        <v>69</v>
      </c>
      <c r="F245" s="625">
        <v>6.6031323662493842</v>
      </c>
      <c r="G245" s="625">
        <v>1.7583962218878526</v>
      </c>
      <c r="H245" s="624">
        <v>6.4867523359438541</v>
      </c>
      <c r="I245" s="624">
        <v>15.414012754918495</v>
      </c>
      <c r="J245" s="626">
        <v>1800</v>
      </c>
      <c r="K245" s="626">
        <v>1448.1304094</v>
      </c>
      <c r="L245" s="626">
        <v>843.9804238</v>
      </c>
      <c r="M245" s="626">
        <v>3595.8617773</v>
      </c>
      <c r="N245" s="626">
        <v>246.48744</v>
      </c>
      <c r="O245" s="626">
        <v>718.6572768</v>
      </c>
      <c r="P245" s="626">
        <v>552.0985448</v>
      </c>
      <c r="Q245" s="626">
        <v>435.63512449999996</v>
      </c>
      <c r="R245" s="626">
        <v>2293.3454427</v>
      </c>
      <c r="S245" s="626">
        <v>1756.1192793</v>
      </c>
      <c r="T245" s="626">
        <v>2944.7753855</v>
      </c>
      <c r="U245" s="626">
        <v>2563.3034374000003</v>
      </c>
      <c r="V245" s="626">
        <v>3207.2020007</v>
      </c>
      <c r="W245" s="626">
        <v>2879.2549877</v>
      </c>
      <c r="X245" s="626">
        <v>4164.5453487999994</v>
      </c>
      <c r="Y245" s="626">
        <v>3531.0907078</v>
      </c>
      <c r="Z245" s="626">
        <v>610.8633694</v>
      </c>
      <c r="AA245" s="626">
        <v>547.3016756</v>
      </c>
      <c r="AB245" s="626">
        <v>2827.5452348000003</v>
      </c>
      <c r="AC245" s="626">
        <v>2486.1241880000002</v>
      </c>
      <c r="AD245" s="626">
        <v>2043.8672456</v>
      </c>
      <c r="AE245" s="626">
        <v>1775.9281225999998</v>
      </c>
      <c r="AF245" s="626">
        <v>2643.9270724</v>
      </c>
      <c r="AG245" s="626">
        <v>1886.1689529</v>
      </c>
      <c r="AH245" s="625">
        <v>1.2429819775523276</v>
      </c>
      <c r="AI245" s="625">
        <v>0.23470880586492646</v>
      </c>
      <c r="AJ245" s="625">
        <v>0.34298329393982224</v>
      </c>
      <c r="AK245" s="625">
        <v>1.2673416669323021</v>
      </c>
      <c r="AL245" s="625">
        <v>1.3059166707217675</v>
      </c>
      <c r="AM245" s="625">
        <v>1.1488204410694554</v>
      </c>
      <c r="AN245" s="625">
        <v>1.1138999548129411</v>
      </c>
      <c r="AO245" s="625">
        <v>1.1793934773804702</v>
      </c>
      <c r="AP245" s="625">
        <v>1.1161364868939356</v>
      </c>
      <c r="AQ245" s="625">
        <v>1.1373306484315164</v>
      </c>
      <c r="AR245" s="625">
        <v>1.1508727293642389</v>
      </c>
      <c r="AS245" s="625">
        <v>1.4017445618159137</v>
      </c>
    </row>
    <row r="246">
      <c r="B246" s="623">
        <v>1500000</v>
      </c>
      <c r="C246" s="603" t="s">
        <v>79</v>
      </c>
      <c r="D246" s="0" t="s">
        <v>63</v>
      </c>
      <c r="E246" s="0" t="s">
        <v>69</v>
      </c>
      <c r="F246" s="625">
        <v>7.4644105009775652</v>
      </c>
      <c r="G246" s="625">
        <v>1.9877522508297465</v>
      </c>
      <c r="H246" s="624">
        <v>7.33285046671914</v>
      </c>
      <c r="I246" s="624">
        <v>17.424536157733954</v>
      </c>
      <c r="J246" s="626">
        <v>1950</v>
      </c>
      <c r="K246" s="626">
        <v>1568.8079435</v>
      </c>
      <c r="L246" s="626">
        <v>914.3121258</v>
      </c>
      <c r="M246" s="626">
        <v>3895.5169254</v>
      </c>
      <c r="N246" s="626">
        <v>267.02806</v>
      </c>
      <c r="O246" s="626">
        <v>778.54538320000006</v>
      </c>
      <c r="P246" s="626">
        <v>602.2893216</v>
      </c>
      <c r="Q246" s="626">
        <v>475.2383176</v>
      </c>
      <c r="R246" s="626">
        <v>2501.831392</v>
      </c>
      <c r="S246" s="626">
        <v>1915.7664865000002</v>
      </c>
      <c r="T246" s="626">
        <v>3212.4822387</v>
      </c>
      <c r="U246" s="626">
        <v>2796.3310226</v>
      </c>
      <c r="V246" s="626">
        <v>3498.765819</v>
      </c>
      <c r="W246" s="626">
        <v>3141.0054412</v>
      </c>
      <c r="X246" s="626">
        <v>4543.1403805</v>
      </c>
      <c r="Y246" s="626">
        <v>3852.0989539</v>
      </c>
      <c r="Z246" s="626">
        <v>666.39640300000008</v>
      </c>
      <c r="AA246" s="626">
        <v>597.0563733</v>
      </c>
      <c r="AB246" s="626">
        <v>3084.5948015999998</v>
      </c>
      <c r="AC246" s="626">
        <v>2712.1354778</v>
      </c>
      <c r="AD246" s="626">
        <v>2229.6733588</v>
      </c>
      <c r="AE246" s="626">
        <v>1937.3761336999999</v>
      </c>
      <c r="AF246" s="626">
        <v>2884.284079</v>
      </c>
      <c r="AG246" s="626">
        <v>2057.6388577000002</v>
      </c>
      <c r="AH246" s="625">
        <v>1.2429819775523274</v>
      </c>
      <c r="AI246" s="625">
        <v>0.23470880586492648</v>
      </c>
      <c r="AJ246" s="625">
        <v>0.34298329393982219</v>
      </c>
      <c r="AK246" s="625">
        <v>1.2673416669323021</v>
      </c>
      <c r="AL246" s="625">
        <v>1.3059166707217673</v>
      </c>
      <c r="AM246" s="625">
        <v>1.1488204410694554</v>
      </c>
      <c r="AN246" s="625">
        <v>1.1138999548129409</v>
      </c>
      <c r="AO246" s="625">
        <v>1.1793934773804702</v>
      </c>
      <c r="AP246" s="625">
        <v>1.1161364868939359</v>
      </c>
      <c r="AQ246" s="625">
        <v>1.1373306484315164</v>
      </c>
      <c r="AR246" s="625">
        <v>1.1508727293642391</v>
      </c>
      <c r="AS246" s="625">
        <v>1.4017445618159137</v>
      </c>
    </row>
    <row r="247">
      <c r="B247" s="623">
        <v>1800000</v>
      </c>
      <c r="C247" s="603" t="s">
        <v>77</v>
      </c>
      <c r="D247" s="0" t="s">
        <v>63</v>
      </c>
      <c r="E247" s="0" t="s">
        <v>69</v>
      </c>
      <c r="F247" s="625">
        <v>6.2928107258443076</v>
      </c>
      <c r="G247" s="625">
        <v>1.8282535431854814</v>
      </c>
      <c r="H247" s="624">
        <v>5.3339949004386114</v>
      </c>
      <c r="I247" s="624">
        <v>12.217089415530692</v>
      </c>
      <c r="J247" s="626">
        <v>1800</v>
      </c>
      <c r="K247" s="626">
        <v>1331.1271262</v>
      </c>
      <c r="L247" s="626">
        <v>810.87484790000008</v>
      </c>
      <c r="M247" s="626">
        <v>3491.3501776999997</v>
      </c>
      <c r="N247" s="626">
        <v>205.4062</v>
      </c>
      <c r="O247" s="626">
        <v>649.0143389</v>
      </c>
      <c r="P247" s="626">
        <v>626.4485542</v>
      </c>
      <c r="Q247" s="626">
        <v>496.3304425</v>
      </c>
      <c r="R247" s="626">
        <v>2415.8497823000002</v>
      </c>
      <c r="S247" s="626">
        <v>2072.9940441999997</v>
      </c>
      <c r="T247" s="626">
        <v>3366.3606861999997</v>
      </c>
      <c r="U247" s="626">
        <v>2940.2343808</v>
      </c>
      <c r="V247" s="626">
        <v>3024.8844861</v>
      </c>
      <c r="W247" s="626">
        <v>2777.7324463</v>
      </c>
      <c r="X247" s="626">
        <v>5113.2929063</v>
      </c>
      <c r="Y247" s="626">
        <v>4384.4802257</v>
      </c>
      <c r="Z247" s="626">
        <v>695.1472476</v>
      </c>
      <c r="AA247" s="626">
        <v>615.6126559</v>
      </c>
      <c r="AB247" s="626">
        <v>3078.6797349</v>
      </c>
      <c r="AC247" s="626">
        <v>2698.6367214</v>
      </c>
      <c r="AD247" s="626">
        <v>2090.5346654</v>
      </c>
      <c r="AE247" s="626">
        <v>1788.1037010999999</v>
      </c>
      <c r="AF247" s="626">
        <v>3517.0890474999997</v>
      </c>
      <c r="AG247" s="626">
        <v>2522.6113587000004</v>
      </c>
      <c r="AH247" s="625">
        <v>1.3522374869749581</v>
      </c>
      <c r="AI247" s="625">
        <v>0.23225251166525782</v>
      </c>
      <c r="AJ247" s="625">
        <v>0.31648946360941621</v>
      </c>
      <c r="AK247" s="625">
        <v>1.2621602475718943</v>
      </c>
      <c r="AL247" s="625">
        <v>1.1653915693087262</v>
      </c>
      <c r="AM247" s="625">
        <v>1.1449293662349906</v>
      </c>
      <c r="AN247" s="625">
        <v>1.0889761863643006</v>
      </c>
      <c r="AO247" s="625">
        <v>1.1662255599381071</v>
      </c>
      <c r="AP247" s="625">
        <v>1.12919583610739</v>
      </c>
      <c r="AQ247" s="625">
        <v>1.1408277781555873</v>
      </c>
      <c r="AR247" s="625">
        <v>1.1691350250283408</v>
      </c>
      <c r="AS247" s="625">
        <v>1.3942254859571224</v>
      </c>
    </row>
    <row r="248">
      <c r="B248" s="623">
        <v>1800000</v>
      </c>
      <c r="C248" s="603" t="s">
        <v>78</v>
      </c>
      <c r="D248" s="0" t="s">
        <v>63</v>
      </c>
      <c r="E248" s="0" t="s">
        <v>69</v>
      </c>
      <c r="F248" s="625">
        <v>7.2367323347209531</v>
      </c>
      <c r="G248" s="625">
        <v>2.1024915746633033</v>
      </c>
      <c r="H248" s="624">
        <v>6.1340941355044025</v>
      </c>
      <c r="I248" s="624">
        <v>14.049652827860294</v>
      </c>
      <c r="J248" s="626">
        <v>2160</v>
      </c>
      <c r="K248" s="626">
        <v>1597.3525515000001</v>
      </c>
      <c r="L248" s="626">
        <v>973.0498174</v>
      </c>
      <c r="M248" s="626">
        <v>4189.6202132</v>
      </c>
      <c r="N248" s="626">
        <v>246.48744</v>
      </c>
      <c r="O248" s="626">
        <v>778.81720669999993</v>
      </c>
      <c r="P248" s="626">
        <v>689.0934096</v>
      </c>
      <c r="Q248" s="626">
        <v>545.9634867</v>
      </c>
      <c r="R248" s="626">
        <v>2657.4347606</v>
      </c>
      <c r="S248" s="626">
        <v>2280.2934486</v>
      </c>
      <c r="T248" s="626">
        <v>3702.9967548000004</v>
      </c>
      <c r="U248" s="626">
        <v>3234.2578188999996</v>
      </c>
      <c r="V248" s="626">
        <v>3327.3729347000003</v>
      </c>
      <c r="W248" s="626">
        <v>3055.5056909</v>
      </c>
      <c r="X248" s="626">
        <v>5624.6221969</v>
      </c>
      <c r="Y248" s="626">
        <v>4822.9282483</v>
      </c>
      <c r="Z248" s="626">
        <v>764.6619724</v>
      </c>
      <c r="AA248" s="626">
        <v>677.1739214</v>
      </c>
      <c r="AB248" s="626">
        <v>3386.5477084</v>
      </c>
      <c r="AC248" s="626">
        <v>2968.5003935</v>
      </c>
      <c r="AD248" s="626">
        <v>2299.5881319</v>
      </c>
      <c r="AE248" s="626">
        <v>1966.9140713</v>
      </c>
      <c r="AF248" s="626">
        <v>3868.7979522</v>
      </c>
      <c r="AG248" s="626">
        <v>2774.8724945999998</v>
      </c>
      <c r="AH248" s="625">
        <v>1.3522374869749581</v>
      </c>
      <c r="AI248" s="625">
        <v>0.23225251166525782</v>
      </c>
      <c r="AJ248" s="625">
        <v>0.31648946360941621</v>
      </c>
      <c r="AK248" s="625">
        <v>1.262160247571894</v>
      </c>
      <c r="AL248" s="625">
        <v>1.165391569308726</v>
      </c>
      <c r="AM248" s="625">
        <v>1.1449293662349906</v>
      </c>
      <c r="AN248" s="625">
        <v>1.0889761863643006</v>
      </c>
      <c r="AO248" s="625">
        <v>1.1662255599381071</v>
      </c>
      <c r="AP248" s="625">
        <v>1.12919583610739</v>
      </c>
      <c r="AQ248" s="625">
        <v>1.1408277781555873</v>
      </c>
      <c r="AR248" s="625">
        <v>1.1691350250283406</v>
      </c>
      <c r="AS248" s="625">
        <v>1.3942254859571224</v>
      </c>
    </row>
    <row r="249">
      <c r="B249" s="623">
        <v>1800000</v>
      </c>
      <c r="C249" s="603" t="s">
        <v>79</v>
      </c>
      <c r="D249" s="0" t="s">
        <v>63</v>
      </c>
      <c r="E249" s="0" t="s">
        <v>69</v>
      </c>
      <c r="F249" s="625">
        <v>8.1806539435976</v>
      </c>
      <c r="G249" s="625">
        <v>2.3767296061411258</v>
      </c>
      <c r="H249" s="624">
        <v>6.9341933705701946</v>
      </c>
      <c r="I249" s="624">
        <v>15.8822162401899</v>
      </c>
      <c r="J249" s="626">
        <v>2340</v>
      </c>
      <c r="K249" s="626">
        <v>1730.4652641</v>
      </c>
      <c r="L249" s="626">
        <v>1054.1373022</v>
      </c>
      <c r="M249" s="626">
        <v>4538.755231</v>
      </c>
      <c r="N249" s="626">
        <v>267.02806</v>
      </c>
      <c r="O249" s="626">
        <v>843.71864060000007</v>
      </c>
      <c r="P249" s="626">
        <v>751.73826500000007</v>
      </c>
      <c r="Q249" s="626">
        <v>595.59653099999991</v>
      </c>
      <c r="R249" s="626">
        <v>2899.0197388</v>
      </c>
      <c r="S249" s="626">
        <v>2487.592853</v>
      </c>
      <c r="T249" s="626">
        <v>4039.6328235</v>
      </c>
      <c r="U249" s="626">
        <v>3528.281257</v>
      </c>
      <c r="V249" s="626">
        <v>3629.8613833</v>
      </c>
      <c r="W249" s="626">
        <v>3333.2789356</v>
      </c>
      <c r="X249" s="626">
        <v>6135.9514875999994</v>
      </c>
      <c r="Y249" s="626">
        <v>5261.3762709</v>
      </c>
      <c r="Z249" s="626">
        <v>834.1766972</v>
      </c>
      <c r="AA249" s="626">
        <v>738.735187</v>
      </c>
      <c r="AB249" s="626">
        <v>3694.4156819</v>
      </c>
      <c r="AC249" s="626">
        <v>3238.3640656</v>
      </c>
      <c r="AD249" s="626">
        <v>2508.6415985</v>
      </c>
      <c r="AE249" s="626">
        <v>2145.7244413999997</v>
      </c>
      <c r="AF249" s="626">
        <v>4220.5068569999994</v>
      </c>
      <c r="AG249" s="626">
        <v>3027.1336305</v>
      </c>
      <c r="AH249" s="625">
        <v>1.3522374869749581</v>
      </c>
      <c r="AI249" s="625">
        <v>0.23225251166525779</v>
      </c>
      <c r="AJ249" s="625">
        <v>0.31648946360941621</v>
      </c>
      <c r="AK249" s="625">
        <v>1.2621602475718945</v>
      </c>
      <c r="AL249" s="625">
        <v>1.1653915693087262</v>
      </c>
      <c r="AM249" s="625">
        <v>1.1449293662349906</v>
      </c>
      <c r="AN249" s="625">
        <v>1.0889761863643004</v>
      </c>
      <c r="AO249" s="625">
        <v>1.1662255599381071</v>
      </c>
      <c r="AP249" s="625">
        <v>1.12919583610739</v>
      </c>
      <c r="AQ249" s="625">
        <v>1.1408277781555873</v>
      </c>
      <c r="AR249" s="625">
        <v>1.1691350250283406</v>
      </c>
      <c r="AS249" s="625">
        <v>1.3942254859571224</v>
      </c>
    </row>
    <row r="250">
      <c r="B250" s="623">
        <v>2034240</v>
      </c>
      <c r="C250" s="603" t="s">
        <v>77</v>
      </c>
      <c r="D250" s="0" t="s">
        <v>63</v>
      </c>
      <c r="E250" s="0" t="s">
        <v>69</v>
      </c>
      <c r="F250" s="625">
        <v>6.6349318714635022</v>
      </c>
      <c r="G250" s="625">
        <v>2.0618793270525009</v>
      </c>
      <c r="H250" s="624">
        <v>5.1654960926426563</v>
      </c>
      <c r="I250" s="624">
        <v>11.576122767851716</v>
      </c>
      <c r="J250" s="626">
        <v>2034.24</v>
      </c>
      <c r="K250" s="626">
        <v>1428.221</v>
      </c>
      <c r="L250" s="626">
        <v>894.856</v>
      </c>
      <c r="M250" s="626">
        <v>3877.689</v>
      </c>
      <c r="N250" s="626">
        <v>205.4062</v>
      </c>
      <c r="O250" s="626">
        <v>688.1584</v>
      </c>
      <c r="P250" s="626">
        <v>723.69</v>
      </c>
      <c r="Q250" s="626">
        <v>574.64352</v>
      </c>
      <c r="R250" s="626">
        <v>2674.287</v>
      </c>
      <c r="S250" s="626">
        <v>2445.0624</v>
      </c>
      <c r="T250" s="626">
        <v>3904.56</v>
      </c>
      <c r="U250" s="626">
        <v>3416.49</v>
      </c>
      <c r="V250" s="626">
        <v>3110.184</v>
      </c>
      <c r="W250" s="626">
        <v>2902.8384</v>
      </c>
      <c r="X250" s="626">
        <v>6149.682</v>
      </c>
      <c r="Y250" s="626">
        <v>5301.45</v>
      </c>
      <c r="Z250" s="626">
        <v>804.31629240000007</v>
      </c>
      <c r="AA250" s="626">
        <v>707.7983373</v>
      </c>
      <c r="AB250" s="626">
        <v>3475.4698543</v>
      </c>
      <c r="AC250" s="626">
        <v>3041.0361225</v>
      </c>
      <c r="AD250" s="626">
        <v>2272.05</v>
      </c>
      <c r="AE250" s="626">
        <v>1923.669</v>
      </c>
      <c r="AF250" s="626">
        <v>4386.5246683999994</v>
      </c>
      <c r="AG250" s="626">
        <v>3153.4292909</v>
      </c>
      <c r="AH250" s="625">
        <v>1.4243173850545539</v>
      </c>
      <c r="AI250" s="625">
        <v>0.23077044084762857</v>
      </c>
      <c r="AJ250" s="625">
        <v>0.29848680187584725</v>
      </c>
      <c r="AK250" s="625">
        <v>1.2593720712277414</v>
      </c>
      <c r="AL250" s="625">
        <v>1.09375</v>
      </c>
      <c r="AM250" s="625">
        <v>1.1428571428571428</v>
      </c>
      <c r="AN250" s="625">
        <v>1.0714285714285712</v>
      </c>
      <c r="AO250" s="625">
        <v>1.16</v>
      </c>
      <c r="AP250" s="625">
        <v>1.1363636363636362</v>
      </c>
      <c r="AQ250" s="625">
        <v>1.1428571428571432</v>
      </c>
      <c r="AR250" s="625">
        <v>1.1811023622047243</v>
      </c>
      <c r="AS250" s="625">
        <v>1.3910331463918984</v>
      </c>
    </row>
    <row r="251">
      <c r="B251" s="623">
        <v>2034240</v>
      </c>
      <c r="C251" s="603" t="s">
        <v>78</v>
      </c>
      <c r="D251" s="0" t="s">
        <v>63</v>
      </c>
      <c r="E251" s="0" t="s">
        <v>69</v>
      </c>
      <c r="F251" s="625">
        <v>7.6301716521830274</v>
      </c>
      <c r="G251" s="625">
        <v>2.3711612261103756</v>
      </c>
      <c r="H251" s="624">
        <v>5.9403205065390541</v>
      </c>
      <c r="I251" s="624">
        <v>13.312541183029474</v>
      </c>
      <c r="J251" s="626">
        <v>2441.088</v>
      </c>
      <c r="K251" s="626">
        <v>1713.8652</v>
      </c>
      <c r="L251" s="626">
        <v>1073.8272</v>
      </c>
      <c r="M251" s="626">
        <v>4653.2267999999995</v>
      </c>
      <c r="N251" s="626">
        <v>246.48744</v>
      </c>
      <c r="O251" s="626">
        <v>825.79008</v>
      </c>
      <c r="P251" s="626">
        <v>796.059</v>
      </c>
      <c r="Q251" s="626">
        <v>632.10787199999993</v>
      </c>
      <c r="R251" s="626">
        <v>2941.7157</v>
      </c>
      <c r="S251" s="626">
        <v>2689.56864</v>
      </c>
      <c r="T251" s="626">
        <v>4295.016</v>
      </c>
      <c r="U251" s="626">
        <v>3758.139</v>
      </c>
      <c r="V251" s="626">
        <v>3421.2024</v>
      </c>
      <c r="W251" s="626">
        <v>3193.12224</v>
      </c>
      <c r="X251" s="626">
        <v>6764.6502</v>
      </c>
      <c r="Y251" s="626">
        <v>5831.595</v>
      </c>
      <c r="Z251" s="626">
        <v>884.7479216</v>
      </c>
      <c r="AA251" s="626">
        <v>778.578171</v>
      </c>
      <c r="AB251" s="626">
        <v>3823.0168396999998</v>
      </c>
      <c r="AC251" s="626">
        <v>3345.1397348</v>
      </c>
      <c r="AD251" s="626">
        <v>2499.255</v>
      </c>
      <c r="AE251" s="626">
        <v>2116.0359</v>
      </c>
      <c r="AF251" s="626">
        <v>4825.1771353</v>
      </c>
      <c r="AG251" s="626">
        <v>3468.7722200000003</v>
      </c>
      <c r="AH251" s="625">
        <v>1.4243173850545539</v>
      </c>
      <c r="AI251" s="625">
        <v>0.23077044084762857</v>
      </c>
      <c r="AJ251" s="625">
        <v>0.29848680187584725</v>
      </c>
      <c r="AK251" s="625">
        <v>1.2593720712277414</v>
      </c>
      <c r="AL251" s="625">
        <v>1.09375</v>
      </c>
      <c r="AM251" s="625">
        <v>1.142857142857143</v>
      </c>
      <c r="AN251" s="625">
        <v>1.0714285714285714</v>
      </c>
      <c r="AO251" s="625">
        <v>1.16</v>
      </c>
      <c r="AP251" s="625">
        <v>1.1363636363636365</v>
      </c>
      <c r="AQ251" s="625">
        <v>1.1428571428571432</v>
      </c>
      <c r="AR251" s="625">
        <v>1.1811023622047245</v>
      </c>
      <c r="AS251" s="625">
        <v>1.3910331463918984</v>
      </c>
    </row>
    <row r="252">
      <c r="B252" s="623">
        <v>2034240</v>
      </c>
      <c r="C252" s="603" t="s">
        <v>79</v>
      </c>
      <c r="D252" s="0" t="s">
        <v>63</v>
      </c>
      <c r="E252" s="0" t="s">
        <v>69</v>
      </c>
      <c r="F252" s="625">
        <v>8.6254114329025526</v>
      </c>
      <c r="G252" s="625">
        <v>2.6804431251682512</v>
      </c>
      <c r="H252" s="624">
        <v>6.7151449204354527</v>
      </c>
      <c r="I252" s="624">
        <v>15.048959598207231</v>
      </c>
      <c r="J252" s="626">
        <v>2644.512</v>
      </c>
      <c r="K252" s="626">
        <v>1856.6873</v>
      </c>
      <c r="L252" s="626">
        <v>1163.3128000000002</v>
      </c>
      <c r="M252" s="626">
        <v>5040.9957</v>
      </c>
      <c r="N252" s="626">
        <v>267.02806</v>
      </c>
      <c r="O252" s="626">
        <v>894.60592000000008</v>
      </c>
      <c r="P252" s="626">
        <v>868.428</v>
      </c>
      <c r="Q252" s="626">
        <v>689.572224</v>
      </c>
      <c r="R252" s="626">
        <v>3209.1444</v>
      </c>
      <c r="S252" s="626">
        <v>2934.0748799999997</v>
      </c>
      <c r="T252" s="626">
        <v>4685.472</v>
      </c>
      <c r="U252" s="626">
        <v>4099.788</v>
      </c>
      <c r="V252" s="626">
        <v>3732.2207999999996</v>
      </c>
      <c r="W252" s="626">
        <v>3483.40608</v>
      </c>
      <c r="X252" s="626">
        <v>7379.6184</v>
      </c>
      <c r="Y252" s="626">
        <v>6361.74</v>
      </c>
      <c r="Z252" s="626">
        <v>965.1795509</v>
      </c>
      <c r="AA252" s="626">
        <v>849.3580048</v>
      </c>
      <c r="AB252" s="626">
        <v>4170.5638252</v>
      </c>
      <c r="AC252" s="626">
        <v>3649.243347</v>
      </c>
      <c r="AD252" s="626">
        <v>2726.46</v>
      </c>
      <c r="AE252" s="626">
        <v>2308.4028</v>
      </c>
      <c r="AF252" s="626">
        <v>5263.8296021</v>
      </c>
      <c r="AG252" s="626">
        <v>3784.1151491</v>
      </c>
      <c r="AH252" s="625">
        <v>1.4243173850545539</v>
      </c>
      <c r="AI252" s="625">
        <v>0.23077044084762857</v>
      </c>
      <c r="AJ252" s="625">
        <v>0.29848680187584725</v>
      </c>
      <c r="AK252" s="625">
        <v>1.2593720712277412</v>
      </c>
      <c r="AL252" s="625">
        <v>1.09375</v>
      </c>
      <c r="AM252" s="625">
        <v>1.1428571428571428</v>
      </c>
      <c r="AN252" s="625">
        <v>1.0714285714285712</v>
      </c>
      <c r="AO252" s="625">
        <v>1.16</v>
      </c>
      <c r="AP252" s="625">
        <v>1.1363636363636365</v>
      </c>
      <c r="AQ252" s="625">
        <v>1.1428571428571432</v>
      </c>
      <c r="AR252" s="625">
        <v>1.1811023622047243</v>
      </c>
      <c r="AS252" s="625">
        <v>1.3910331463918984</v>
      </c>
    </row>
    <row r="253">
      <c r="B253" s="623">
        <v>2200000</v>
      </c>
      <c r="C253" s="603" t="s">
        <v>77</v>
      </c>
      <c r="D253" s="0" t="s">
        <v>63</v>
      </c>
      <c r="E253" s="0" t="s">
        <v>69</v>
      </c>
      <c r="F253" s="625">
        <v>7.1755791436702188</v>
      </c>
      <c r="G253" s="625">
        <v>2.2298915169869344</v>
      </c>
      <c r="H253" s="624">
        <v>5.1654960926426554</v>
      </c>
      <c r="I253" s="624">
        <v>11.576122767851716</v>
      </c>
      <c r="J253" s="626">
        <v>2200</v>
      </c>
      <c r="K253" s="626">
        <v>1544.5995556</v>
      </c>
      <c r="L253" s="626">
        <v>967.7733207</v>
      </c>
      <c r="M253" s="626">
        <v>4193.6623997</v>
      </c>
      <c r="N253" s="626">
        <v>222.1437195</v>
      </c>
      <c r="O253" s="626">
        <v>744.2329715</v>
      </c>
      <c r="P253" s="626">
        <v>782.65986309999994</v>
      </c>
      <c r="Q253" s="626">
        <v>621.4683341</v>
      </c>
      <c r="R253" s="626">
        <v>2892.2012151999998</v>
      </c>
      <c r="S253" s="626">
        <v>2644.2982539</v>
      </c>
      <c r="T253" s="626">
        <v>4222.7229824999995</v>
      </c>
      <c r="U253" s="626">
        <v>3694.8826097</v>
      </c>
      <c r="V253" s="626">
        <v>3363.6172723</v>
      </c>
      <c r="W253" s="626">
        <v>3139.3761208</v>
      </c>
      <c r="X253" s="626">
        <v>6650.7886975</v>
      </c>
      <c r="Y253" s="626">
        <v>5733.4385323</v>
      </c>
      <c r="Z253" s="626">
        <v>869.8559871</v>
      </c>
      <c r="AA253" s="626">
        <v>765.47326870000006</v>
      </c>
      <c r="AB253" s="626">
        <v>3758.6684361000002</v>
      </c>
      <c r="AC253" s="626">
        <v>3288.8348816</v>
      </c>
      <c r="AD253" s="626">
        <v>2457.1879424</v>
      </c>
      <c r="AE253" s="626">
        <v>2080.4191246</v>
      </c>
      <c r="AF253" s="626">
        <v>4743.9605310000006</v>
      </c>
      <c r="AG253" s="626">
        <v>3410.3864046999997</v>
      </c>
      <c r="AH253" s="625">
        <v>1.4243173850545541</v>
      </c>
      <c r="AI253" s="625">
        <v>0.23077044084762857</v>
      </c>
      <c r="AJ253" s="625">
        <v>0.29848680187584725</v>
      </c>
      <c r="AK253" s="625">
        <v>1.2593720712277414</v>
      </c>
      <c r="AL253" s="625">
        <v>1.09375</v>
      </c>
      <c r="AM253" s="625">
        <v>1.1428571428571428</v>
      </c>
      <c r="AN253" s="625">
        <v>1.0714285714285714</v>
      </c>
      <c r="AO253" s="625">
        <v>1.16</v>
      </c>
      <c r="AP253" s="625">
        <v>1.1363636363636362</v>
      </c>
      <c r="AQ253" s="625">
        <v>1.1428571428571432</v>
      </c>
      <c r="AR253" s="625">
        <v>1.1811023622047245</v>
      </c>
      <c r="AS253" s="625">
        <v>1.3910331463918986</v>
      </c>
    </row>
    <row r="254">
      <c r="B254" s="623">
        <v>2200000</v>
      </c>
      <c r="C254" s="603" t="s">
        <v>78</v>
      </c>
      <c r="D254" s="0" t="s">
        <v>63</v>
      </c>
      <c r="E254" s="0" t="s">
        <v>69</v>
      </c>
      <c r="F254" s="625">
        <v>8.25191601522075</v>
      </c>
      <c r="G254" s="625">
        <v>2.5643752445349746</v>
      </c>
      <c r="H254" s="624">
        <v>5.9403205065390532</v>
      </c>
      <c r="I254" s="624">
        <v>13.312541183029474</v>
      </c>
      <c r="J254" s="626">
        <v>2640</v>
      </c>
      <c r="K254" s="626">
        <v>1853.5194667</v>
      </c>
      <c r="L254" s="626">
        <v>1161.3279849</v>
      </c>
      <c r="M254" s="626">
        <v>5032.3948797</v>
      </c>
      <c r="N254" s="626">
        <v>266.5724634</v>
      </c>
      <c r="O254" s="626">
        <v>893.0795658</v>
      </c>
      <c r="P254" s="626">
        <v>860.9258495</v>
      </c>
      <c r="Q254" s="626">
        <v>683.6151675</v>
      </c>
      <c r="R254" s="626">
        <v>3181.4213366999998</v>
      </c>
      <c r="S254" s="626">
        <v>2908.7280793</v>
      </c>
      <c r="T254" s="626">
        <v>4644.9952808</v>
      </c>
      <c r="U254" s="626">
        <v>4064.3708707</v>
      </c>
      <c r="V254" s="626">
        <v>3699.9789995</v>
      </c>
      <c r="W254" s="626">
        <v>3453.3137329</v>
      </c>
      <c r="X254" s="626">
        <v>7315.8675672000008</v>
      </c>
      <c r="Y254" s="626">
        <v>6306.7823855999995</v>
      </c>
      <c r="Z254" s="626">
        <v>956.8415858</v>
      </c>
      <c r="AA254" s="626">
        <v>842.0205955</v>
      </c>
      <c r="AB254" s="626">
        <v>4134.5352797</v>
      </c>
      <c r="AC254" s="626">
        <v>3617.7183698</v>
      </c>
      <c r="AD254" s="626">
        <v>2702.9067367</v>
      </c>
      <c r="AE254" s="626">
        <v>2288.461037</v>
      </c>
      <c r="AF254" s="626">
        <v>5218.3565841</v>
      </c>
      <c r="AG254" s="626">
        <v>3751.4250452</v>
      </c>
      <c r="AH254" s="625">
        <v>1.4243173850545541</v>
      </c>
      <c r="AI254" s="625">
        <v>0.23077044084762854</v>
      </c>
      <c r="AJ254" s="625">
        <v>0.29848680187584725</v>
      </c>
      <c r="AK254" s="625">
        <v>1.2593720712277414</v>
      </c>
      <c r="AL254" s="625">
        <v>1.09375</v>
      </c>
      <c r="AM254" s="625">
        <v>1.1428571428571428</v>
      </c>
      <c r="AN254" s="625">
        <v>1.0714285714285712</v>
      </c>
      <c r="AO254" s="625">
        <v>1.16</v>
      </c>
      <c r="AP254" s="625">
        <v>1.1363636363636362</v>
      </c>
      <c r="AQ254" s="625">
        <v>1.1428571428571432</v>
      </c>
      <c r="AR254" s="625">
        <v>1.1811023622047245</v>
      </c>
      <c r="AS254" s="625">
        <v>1.3910331463918984</v>
      </c>
    </row>
    <row r="255">
      <c r="B255" s="623">
        <v>2200000</v>
      </c>
      <c r="C255" s="603" t="s">
        <v>79</v>
      </c>
      <c r="D255" s="0" t="s">
        <v>63</v>
      </c>
      <c r="E255" s="0" t="s">
        <v>69</v>
      </c>
      <c r="F255" s="625">
        <v>9.3282528867712848</v>
      </c>
      <c r="G255" s="625">
        <v>2.8988589720830147</v>
      </c>
      <c r="H255" s="624">
        <v>6.7151449204354519</v>
      </c>
      <c r="I255" s="624">
        <v>15.048959598207231</v>
      </c>
      <c r="J255" s="626">
        <v>2860</v>
      </c>
      <c r="K255" s="626">
        <v>2007.9794223</v>
      </c>
      <c r="L255" s="626">
        <v>1258.105317</v>
      </c>
      <c r="M255" s="626">
        <v>5451.7611196</v>
      </c>
      <c r="N255" s="626">
        <v>288.7868354</v>
      </c>
      <c r="O255" s="626">
        <v>967.502863</v>
      </c>
      <c r="P255" s="626">
        <v>939.1918358</v>
      </c>
      <c r="Q255" s="626">
        <v>745.7620009</v>
      </c>
      <c r="R255" s="626">
        <v>3470.6414582</v>
      </c>
      <c r="S255" s="626">
        <v>3173.1579047</v>
      </c>
      <c r="T255" s="626">
        <v>5067.267579</v>
      </c>
      <c r="U255" s="626">
        <v>4433.8591317</v>
      </c>
      <c r="V255" s="626">
        <v>4036.3407267999996</v>
      </c>
      <c r="W255" s="626">
        <v>3767.251345</v>
      </c>
      <c r="X255" s="626">
        <v>7980.946437</v>
      </c>
      <c r="Y255" s="626">
        <v>6880.1262388000005</v>
      </c>
      <c r="Z255" s="626">
        <v>1043.8271845</v>
      </c>
      <c r="AA255" s="626">
        <v>918.5679224</v>
      </c>
      <c r="AB255" s="626">
        <v>4510.4021233</v>
      </c>
      <c r="AC255" s="626">
        <v>3946.6018579</v>
      </c>
      <c r="AD255" s="626">
        <v>2948.6255309000003</v>
      </c>
      <c r="AE255" s="626">
        <v>2496.5029495</v>
      </c>
      <c r="AF255" s="626">
        <v>5692.7526372</v>
      </c>
      <c r="AG255" s="626">
        <v>4092.4636856999996</v>
      </c>
      <c r="AH255" s="625">
        <v>1.4243173850545539</v>
      </c>
      <c r="AI255" s="625">
        <v>0.23077044084762857</v>
      </c>
      <c r="AJ255" s="625">
        <v>0.29848680187584725</v>
      </c>
      <c r="AK255" s="625">
        <v>1.2593720712277414</v>
      </c>
      <c r="AL255" s="625">
        <v>1.09375</v>
      </c>
      <c r="AM255" s="625">
        <v>1.1428571428571428</v>
      </c>
      <c r="AN255" s="625">
        <v>1.0714285714285712</v>
      </c>
      <c r="AO255" s="625">
        <v>1.16</v>
      </c>
      <c r="AP255" s="625">
        <v>1.1363636363636362</v>
      </c>
      <c r="AQ255" s="625">
        <v>1.1428571428571432</v>
      </c>
      <c r="AR255" s="625">
        <v>1.1811023622047245</v>
      </c>
      <c r="AS255" s="625">
        <v>1.3910331463918984</v>
      </c>
    </row>
    <row r="256">
      <c r="B256" s="623">
        <v>600001</v>
      </c>
      <c r="C256" s="603" t="s">
        <v>77</v>
      </c>
      <c r="D256" s="0" t="s">
        <v>65</v>
      </c>
      <c r="E256" s="0" t="s">
        <v>71</v>
      </c>
      <c r="F256" s="625">
        <v>3.3184486907586015</v>
      </c>
      <c r="G256" s="625">
        <v>0.51538130134357374</v>
      </c>
      <c r="H256" s="624">
        <v>6.0006384402990065</v>
      </c>
      <c r="I256" s="624">
        <v>18.981175756120138</v>
      </c>
      <c r="J256" s="626">
        <v>600.001</v>
      </c>
      <c r="K256" s="626">
        <v>858.4606922</v>
      </c>
      <c r="L256" s="626">
        <v>358.2406927</v>
      </c>
      <c r="M256" s="626">
        <v>1175.7521359999998</v>
      </c>
      <c r="N256" s="626">
        <v>184.2486551</v>
      </c>
      <c r="O256" s="626">
        <v>381.6353122</v>
      </c>
      <c r="P256" s="626">
        <v>197.6262824</v>
      </c>
      <c r="Q256" s="626">
        <v>127.8104284</v>
      </c>
      <c r="R256" s="626">
        <v>912.6491515</v>
      </c>
      <c r="S256" s="626">
        <v>625.7920239</v>
      </c>
      <c r="T256" s="626">
        <v>892.0630804</v>
      </c>
      <c r="U256" s="626">
        <v>639.4798877</v>
      </c>
      <c r="V256" s="626">
        <v>1537.0933078</v>
      </c>
      <c r="W256" s="626">
        <v>1077.9192756</v>
      </c>
      <c r="X256" s="626">
        <v>973.4924283</v>
      </c>
      <c r="Y256" s="626">
        <v>598.84404200000006</v>
      </c>
      <c r="Z256" s="626">
        <v>189.5405472</v>
      </c>
      <c r="AA256" s="626">
        <v>132.9193279</v>
      </c>
      <c r="AB256" s="626">
        <v>919.0195249</v>
      </c>
      <c r="AC256" s="626">
        <v>603.6899028</v>
      </c>
      <c r="AD256" s="626">
        <v>809.71879610000008</v>
      </c>
      <c r="AE256" s="626">
        <v>571.0405686</v>
      </c>
      <c r="AF256" s="626">
        <v>699.9198294</v>
      </c>
      <c r="AG256" s="626">
        <v>389.5507869</v>
      </c>
      <c r="AH256" s="625">
        <v>0.69892658501900129</v>
      </c>
      <c r="AI256" s="625">
        <v>0.30469065866147471</v>
      </c>
      <c r="AJ256" s="625">
        <v>0.48278722964362553</v>
      </c>
      <c r="AK256" s="625">
        <v>1.5462453644339016</v>
      </c>
      <c r="AL256" s="625">
        <v>1.4583905141819753</v>
      </c>
      <c r="AM256" s="625">
        <v>1.394982230956672</v>
      </c>
      <c r="AN256" s="625">
        <v>1.4259818360890424</v>
      </c>
      <c r="AO256" s="625">
        <v>1.6256192931415092</v>
      </c>
      <c r="AP256" s="625">
        <v>1.4259818360890426</v>
      </c>
      <c r="AQ256" s="625">
        <v>1.5223370818363744</v>
      </c>
      <c r="AR256" s="625">
        <v>1.4179707021784296</v>
      </c>
      <c r="AS256" s="625">
        <v>1.796735760623547</v>
      </c>
    </row>
    <row r="257">
      <c r="B257" s="623">
        <v>600001</v>
      </c>
      <c r="C257" s="603" t="s">
        <v>78</v>
      </c>
      <c r="D257" s="0" t="s">
        <v>65</v>
      </c>
      <c r="E257" s="0" t="s">
        <v>71</v>
      </c>
      <c r="F257" s="625">
        <v>3.8162159943723908</v>
      </c>
      <c r="G257" s="625">
        <v>0.59268849654510969</v>
      </c>
      <c r="H257" s="624">
        <v>6.9007342063438557</v>
      </c>
      <c r="I257" s="624">
        <v>21.828352119538152</v>
      </c>
      <c r="J257" s="626">
        <v>720.00119999999993</v>
      </c>
      <c r="K257" s="626">
        <v>1030.1528307</v>
      </c>
      <c r="L257" s="626">
        <v>429.8888313</v>
      </c>
      <c r="M257" s="626">
        <v>1410.9025632</v>
      </c>
      <c r="N257" s="626">
        <v>221.0983861</v>
      </c>
      <c r="O257" s="626">
        <v>457.9623746</v>
      </c>
      <c r="P257" s="626">
        <v>217.3889107</v>
      </c>
      <c r="Q257" s="626">
        <v>140.5914712</v>
      </c>
      <c r="R257" s="626">
        <v>1003.9140666999999</v>
      </c>
      <c r="S257" s="626">
        <v>688.3712263</v>
      </c>
      <c r="T257" s="626">
        <v>981.2693885</v>
      </c>
      <c r="U257" s="626">
        <v>703.4278765</v>
      </c>
      <c r="V257" s="626">
        <v>1690.8026386</v>
      </c>
      <c r="W257" s="626">
        <v>1185.7112032</v>
      </c>
      <c r="X257" s="626">
        <v>1070.8416711</v>
      </c>
      <c r="Y257" s="626">
        <v>658.7284462</v>
      </c>
      <c r="Z257" s="626">
        <v>208.49460190000002</v>
      </c>
      <c r="AA257" s="626">
        <v>146.2112606</v>
      </c>
      <c r="AB257" s="626">
        <v>1010.9214774</v>
      </c>
      <c r="AC257" s="626">
        <v>664.0588931</v>
      </c>
      <c r="AD257" s="626">
        <v>890.6906757</v>
      </c>
      <c r="AE257" s="626">
        <v>628.1446255</v>
      </c>
      <c r="AF257" s="626">
        <v>769.9118124</v>
      </c>
      <c r="AG257" s="626">
        <v>428.5058656</v>
      </c>
      <c r="AH257" s="625">
        <v>0.69892658501900129</v>
      </c>
      <c r="AI257" s="625">
        <v>0.30469065866147471</v>
      </c>
      <c r="AJ257" s="625">
        <v>0.48278722964362558</v>
      </c>
      <c r="AK257" s="625">
        <v>1.5462453644339016</v>
      </c>
      <c r="AL257" s="625">
        <v>1.4583905141819755</v>
      </c>
      <c r="AM257" s="625">
        <v>1.394982230956672</v>
      </c>
      <c r="AN257" s="625">
        <v>1.4259818360890424</v>
      </c>
      <c r="AO257" s="625">
        <v>1.625619293141509</v>
      </c>
      <c r="AP257" s="625">
        <v>1.4259818360890426</v>
      </c>
      <c r="AQ257" s="625">
        <v>1.5223370818363746</v>
      </c>
      <c r="AR257" s="625">
        <v>1.4179707021784296</v>
      </c>
      <c r="AS257" s="625">
        <v>1.7967357606235472</v>
      </c>
    </row>
    <row r="258">
      <c r="B258" s="623">
        <v>600001</v>
      </c>
      <c r="C258" s="603" t="s">
        <v>79</v>
      </c>
      <c r="D258" s="0" t="s">
        <v>65</v>
      </c>
      <c r="E258" s="0" t="s">
        <v>71</v>
      </c>
      <c r="F258" s="625">
        <v>4.3139832979861819</v>
      </c>
      <c r="G258" s="625">
        <v>0.66999569174664586</v>
      </c>
      <c r="H258" s="624">
        <v>7.8008299723887085</v>
      </c>
      <c r="I258" s="624">
        <v>24.675528482956178</v>
      </c>
      <c r="J258" s="626">
        <v>780.0013</v>
      </c>
      <c r="K258" s="626">
        <v>1115.9988999</v>
      </c>
      <c r="L258" s="626">
        <v>465.7129006</v>
      </c>
      <c r="M258" s="626">
        <v>1528.4777768000001</v>
      </c>
      <c r="N258" s="626">
        <v>239.52325159999998</v>
      </c>
      <c r="O258" s="626">
        <v>496.1259059</v>
      </c>
      <c r="P258" s="626">
        <v>237.15153890000002</v>
      </c>
      <c r="Q258" s="626">
        <v>153.3725141</v>
      </c>
      <c r="R258" s="626">
        <v>1095.1789818</v>
      </c>
      <c r="S258" s="626">
        <v>750.95042870000009</v>
      </c>
      <c r="T258" s="626">
        <v>1070.4756965000001</v>
      </c>
      <c r="U258" s="626">
        <v>767.3758653</v>
      </c>
      <c r="V258" s="626">
        <v>1844.5119694</v>
      </c>
      <c r="W258" s="626">
        <v>1293.5031308</v>
      </c>
      <c r="X258" s="626">
        <v>1168.1909139</v>
      </c>
      <c r="Y258" s="626">
        <v>718.6128504</v>
      </c>
      <c r="Z258" s="626">
        <v>227.4486566</v>
      </c>
      <c r="AA258" s="626">
        <v>159.5031934</v>
      </c>
      <c r="AB258" s="626">
        <v>1102.8234299</v>
      </c>
      <c r="AC258" s="626">
        <v>724.4278833</v>
      </c>
      <c r="AD258" s="626">
        <v>971.6625553</v>
      </c>
      <c r="AE258" s="626">
        <v>685.2486824</v>
      </c>
      <c r="AF258" s="626">
        <v>839.9037953</v>
      </c>
      <c r="AG258" s="626">
        <v>467.4609443</v>
      </c>
      <c r="AH258" s="625">
        <v>0.69892658501900129</v>
      </c>
      <c r="AI258" s="625">
        <v>0.30469065866147466</v>
      </c>
      <c r="AJ258" s="625">
        <v>0.48278722964362553</v>
      </c>
      <c r="AK258" s="625">
        <v>1.5462453644339016</v>
      </c>
      <c r="AL258" s="625">
        <v>1.4583905141819753</v>
      </c>
      <c r="AM258" s="625">
        <v>1.394982230956672</v>
      </c>
      <c r="AN258" s="625">
        <v>1.4259818360890426</v>
      </c>
      <c r="AO258" s="625">
        <v>1.625619293141509</v>
      </c>
      <c r="AP258" s="625">
        <v>1.4259818360890426</v>
      </c>
      <c r="AQ258" s="625">
        <v>1.5223370818363746</v>
      </c>
      <c r="AR258" s="625">
        <v>1.4179707021784296</v>
      </c>
      <c r="AS258" s="625">
        <v>1.796735760623547</v>
      </c>
    </row>
    <row r="259">
      <c r="B259" s="623">
        <v>668900</v>
      </c>
      <c r="C259" s="603" t="s">
        <v>77</v>
      </c>
      <c r="D259" s="0" t="s">
        <v>65</v>
      </c>
      <c r="E259" s="0" t="s">
        <v>71</v>
      </c>
      <c r="F259" s="625">
        <v>3.6995110495623003</v>
      </c>
      <c r="G259" s="625">
        <v>0.57456329650903326</v>
      </c>
      <c r="H259" s="624">
        <v>6.0006384402990047</v>
      </c>
      <c r="I259" s="624">
        <v>17.491841481947</v>
      </c>
      <c r="J259" s="626">
        <v>668.9</v>
      </c>
      <c r="K259" s="626">
        <v>957.039</v>
      </c>
      <c r="L259" s="626">
        <v>399.378</v>
      </c>
      <c r="M259" s="626">
        <v>1682.215</v>
      </c>
      <c r="N259" s="626">
        <v>205.4062</v>
      </c>
      <c r="O259" s="626">
        <v>546.0272</v>
      </c>
      <c r="P259" s="626">
        <v>220.32</v>
      </c>
      <c r="Q259" s="626">
        <v>182.8656</v>
      </c>
      <c r="R259" s="626">
        <v>1017.45</v>
      </c>
      <c r="S259" s="626">
        <v>895.356</v>
      </c>
      <c r="T259" s="626">
        <v>994.5</v>
      </c>
      <c r="U259" s="626">
        <v>914.94</v>
      </c>
      <c r="V259" s="626">
        <v>1713.6</v>
      </c>
      <c r="W259" s="626">
        <v>1542.24</v>
      </c>
      <c r="X259" s="626">
        <v>1085.28</v>
      </c>
      <c r="Y259" s="626">
        <v>856.8</v>
      </c>
      <c r="Z259" s="626">
        <v>211.3057679</v>
      </c>
      <c r="AA259" s="626">
        <v>190.1751911</v>
      </c>
      <c r="AB259" s="626">
        <v>1024.5518928000001</v>
      </c>
      <c r="AC259" s="626">
        <v>863.7332467</v>
      </c>
      <c r="AD259" s="626">
        <v>902.7</v>
      </c>
      <c r="AE259" s="626">
        <v>817.02</v>
      </c>
      <c r="AF259" s="626">
        <v>780.292656</v>
      </c>
      <c r="AG259" s="626">
        <v>557.3523168</v>
      </c>
      <c r="AH259" s="625">
        <v>0.69892658501900129</v>
      </c>
      <c r="AI259" s="625">
        <v>0.23741198360494942</v>
      </c>
      <c r="AJ259" s="625">
        <v>0.37618309124527138</v>
      </c>
      <c r="AK259" s="625">
        <v>1.2048192771084336</v>
      </c>
      <c r="AL259" s="625">
        <v>1.1363636363636365</v>
      </c>
      <c r="AM259" s="625">
        <v>1.0869565217391304</v>
      </c>
      <c r="AN259" s="625">
        <v>1.1111111111111112</v>
      </c>
      <c r="AO259" s="625">
        <v>1.2666666666666668</v>
      </c>
      <c r="AP259" s="625">
        <v>1.1111111111111114</v>
      </c>
      <c r="AQ259" s="625">
        <v>1.1861901769548482</v>
      </c>
      <c r="AR259" s="625">
        <v>1.1048689138576779</v>
      </c>
      <c r="AS259" s="625">
        <v>1.3999989458735556</v>
      </c>
    </row>
    <row r="260">
      <c r="B260" s="623">
        <v>668900</v>
      </c>
      <c r="C260" s="603" t="s">
        <v>78</v>
      </c>
      <c r="D260" s="0" t="s">
        <v>65</v>
      </c>
      <c r="E260" s="0" t="s">
        <v>71</v>
      </c>
      <c r="F260" s="625">
        <v>4.2544377069966446</v>
      </c>
      <c r="G260" s="625">
        <v>0.66074779098538816</v>
      </c>
      <c r="H260" s="624">
        <v>6.9007342063438539</v>
      </c>
      <c r="I260" s="624">
        <v>20.115617704239046</v>
      </c>
      <c r="J260" s="626">
        <v>802.68</v>
      </c>
      <c r="K260" s="626">
        <v>1148.4468</v>
      </c>
      <c r="L260" s="626">
        <v>479.25359999999995</v>
      </c>
      <c r="M260" s="626">
        <v>2018.658</v>
      </c>
      <c r="N260" s="626">
        <v>246.48744</v>
      </c>
      <c r="O260" s="626">
        <v>655.23264000000006</v>
      </c>
      <c r="P260" s="626">
        <v>242.352</v>
      </c>
      <c r="Q260" s="626">
        <v>201.15216</v>
      </c>
      <c r="R260" s="626">
        <v>1119.195</v>
      </c>
      <c r="S260" s="626">
        <v>984.89159999999993</v>
      </c>
      <c r="T260" s="626">
        <v>1093.95</v>
      </c>
      <c r="U260" s="626">
        <v>1006.434</v>
      </c>
      <c r="V260" s="626">
        <v>1884.96</v>
      </c>
      <c r="W260" s="626">
        <v>1696.464</v>
      </c>
      <c r="X260" s="626">
        <v>1193.808</v>
      </c>
      <c r="Y260" s="626">
        <v>942.48</v>
      </c>
      <c r="Z260" s="626">
        <v>232.4363446</v>
      </c>
      <c r="AA260" s="626">
        <v>209.1927102</v>
      </c>
      <c r="AB260" s="626">
        <v>1127.0070821</v>
      </c>
      <c r="AC260" s="626">
        <v>950.1065714</v>
      </c>
      <c r="AD260" s="626">
        <v>992.97</v>
      </c>
      <c r="AE260" s="626">
        <v>898.722</v>
      </c>
      <c r="AF260" s="626">
        <v>858.3219216</v>
      </c>
      <c r="AG260" s="626">
        <v>613.0875485</v>
      </c>
      <c r="AH260" s="625">
        <v>0.69892658501900129</v>
      </c>
      <c r="AI260" s="625">
        <v>0.23741198360494942</v>
      </c>
      <c r="AJ260" s="625">
        <v>0.37618309124527138</v>
      </c>
      <c r="AK260" s="625">
        <v>1.2048192771084336</v>
      </c>
      <c r="AL260" s="625">
        <v>1.1363636363636362</v>
      </c>
      <c r="AM260" s="625">
        <v>1.0869565217391304</v>
      </c>
      <c r="AN260" s="625">
        <v>1.1111111111111112</v>
      </c>
      <c r="AO260" s="625">
        <v>1.2666666666666671</v>
      </c>
      <c r="AP260" s="625">
        <v>1.1111111111111112</v>
      </c>
      <c r="AQ260" s="625">
        <v>1.186190176954848</v>
      </c>
      <c r="AR260" s="625">
        <v>1.1048689138576779</v>
      </c>
      <c r="AS260" s="625">
        <v>1.3999989458735553</v>
      </c>
    </row>
    <row r="261">
      <c r="B261" s="623">
        <v>668900</v>
      </c>
      <c r="C261" s="603" t="s">
        <v>79</v>
      </c>
      <c r="D261" s="0" t="s">
        <v>65</v>
      </c>
      <c r="E261" s="0" t="s">
        <v>71</v>
      </c>
      <c r="F261" s="625">
        <v>4.8093643644309907</v>
      </c>
      <c r="G261" s="625">
        <v>0.74693228546174328</v>
      </c>
      <c r="H261" s="624">
        <v>7.8008299723887058</v>
      </c>
      <c r="I261" s="624">
        <v>22.7393939265311</v>
      </c>
      <c r="J261" s="626">
        <v>869.57</v>
      </c>
      <c r="K261" s="626">
        <v>1244.1507</v>
      </c>
      <c r="L261" s="626">
        <v>519.1914</v>
      </c>
      <c r="M261" s="626">
        <v>2186.8795</v>
      </c>
      <c r="N261" s="626">
        <v>267.02806</v>
      </c>
      <c r="O261" s="626">
        <v>709.83536</v>
      </c>
      <c r="P261" s="626">
        <v>264.384</v>
      </c>
      <c r="Q261" s="626">
        <v>219.43872</v>
      </c>
      <c r="R261" s="626">
        <v>1220.94</v>
      </c>
      <c r="S261" s="626">
        <v>1074.4271999999999</v>
      </c>
      <c r="T261" s="626">
        <v>1193.4</v>
      </c>
      <c r="U261" s="626">
        <v>1097.928</v>
      </c>
      <c r="V261" s="626">
        <v>2056.32</v>
      </c>
      <c r="W261" s="626">
        <v>1850.688</v>
      </c>
      <c r="X261" s="626">
        <v>1302.336</v>
      </c>
      <c r="Y261" s="626">
        <v>1028.16</v>
      </c>
      <c r="Z261" s="626">
        <v>253.56692139999998</v>
      </c>
      <c r="AA261" s="626">
        <v>228.2102293</v>
      </c>
      <c r="AB261" s="626">
        <v>1229.4622714</v>
      </c>
      <c r="AC261" s="626">
        <v>1036.4798961</v>
      </c>
      <c r="AD261" s="626">
        <v>1083.24</v>
      </c>
      <c r="AE261" s="626">
        <v>980.424</v>
      </c>
      <c r="AF261" s="626">
        <v>936.3511872</v>
      </c>
      <c r="AG261" s="626">
        <v>668.8227802</v>
      </c>
      <c r="AH261" s="625">
        <v>0.69892658501900129</v>
      </c>
      <c r="AI261" s="625">
        <v>0.23741198360494945</v>
      </c>
      <c r="AJ261" s="625">
        <v>0.37618309124527138</v>
      </c>
      <c r="AK261" s="625">
        <v>1.2048192771084338</v>
      </c>
      <c r="AL261" s="625">
        <v>1.1363636363636365</v>
      </c>
      <c r="AM261" s="625">
        <v>1.0869565217391304</v>
      </c>
      <c r="AN261" s="625">
        <v>1.1111111111111112</v>
      </c>
      <c r="AO261" s="625">
        <v>1.2666666666666668</v>
      </c>
      <c r="AP261" s="625">
        <v>1.1111111111111114</v>
      </c>
      <c r="AQ261" s="625">
        <v>1.186190176954848</v>
      </c>
      <c r="AR261" s="625">
        <v>1.1048689138576779</v>
      </c>
      <c r="AS261" s="625">
        <v>1.3999989458735553</v>
      </c>
    </row>
    <row r="262">
      <c r="B262" s="623">
        <v>700000</v>
      </c>
      <c r="C262" s="603" t="s">
        <v>77</v>
      </c>
      <c r="D262" s="0" t="s">
        <v>65</v>
      </c>
      <c r="E262" s="0" t="s">
        <v>71</v>
      </c>
      <c r="F262" s="625">
        <v>3.7753910799963486</v>
      </c>
      <c r="G262" s="625">
        <v>0.6060313199142644</v>
      </c>
      <c r="H262" s="624">
        <v>5.9526333266529639</v>
      </c>
      <c r="I262" s="624">
        <v>17.1454376102897</v>
      </c>
      <c r="J262" s="626">
        <v>700</v>
      </c>
      <c r="K262" s="626">
        <v>964.9258523</v>
      </c>
      <c r="L262" s="626">
        <v>410.8433327</v>
      </c>
      <c r="M262" s="626">
        <v>1730.5295286</v>
      </c>
      <c r="N262" s="626">
        <v>205.4062</v>
      </c>
      <c r="O262" s="626">
        <v>546.6809707</v>
      </c>
      <c r="P262" s="626">
        <v>227.9539647</v>
      </c>
      <c r="Q262" s="626">
        <v>188.3341302</v>
      </c>
      <c r="R262" s="626">
        <v>1050.9819154000002</v>
      </c>
      <c r="S262" s="626">
        <v>906.2478125</v>
      </c>
      <c r="T262" s="626">
        <v>1043.7878757</v>
      </c>
      <c r="U262" s="626">
        <v>954.8550993</v>
      </c>
      <c r="V262" s="626">
        <v>1758.8478859000002</v>
      </c>
      <c r="W262" s="626">
        <v>1580.2482241</v>
      </c>
      <c r="X262" s="626">
        <v>1158.2799226</v>
      </c>
      <c r="Y262" s="626">
        <v>920.1470402</v>
      </c>
      <c r="Z262" s="626">
        <v>221.3884656</v>
      </c>
      <c r="AA262" s="626">
        <v>199.4427265</v>
      </c>
      <c r="AB262" s="626">
        <v>1074.1558935</v>
      </c>
      <c r="AC262" s="626">
        <v>909.6288477</v>
      </c>
      <c r="AD262" s="626">
        <v>935.221918</v>
      </c>
      <c r="AE262" s="626">
        <v>844.65353029999994</v>
      </c>
      <c r="AF262" s="626">
        <v>811.31954500000006</v>
      </c>
      <c r="AG262" s="626">
        <v>578.9256685</v>
      </c>
      <c r="AH262" s="625">
        <v>0.7254443420242731</v>
      </c>
      <c r="AI262" s="625">
        <v>0.23740902761911614</v>
      </c>
      <c r="AJ262" s="625">
        <v>0.37573321738330068</v>
      </c>
      <c r="AK262" s="625">
        <v>1.2103699127451424</v>
      </c>
      <c r="AL262" s="625">
        <v>1.159706981801552</v>
      </c>
      <c r="AM262" s="625">
        <v>1.0931374576356041</v>
      </c>
      <c r="AN262" s="625">
        <v>1.1130200047139238</v>
      </c>
      <c r="AO262" s="625">
        <v>1.2587987266249239</v>
      </c>
      <c r="AP262" s="625">
        <v>1.1100352941010683</v>
      </c>
      <c r="AQ262" s="625">
        <v>1.1808727220160202</v>
      </c>
      <c r="AR262" s="625">
        <v>1.1072254888209732</v>
      </c>
      <c r="AS262" s="625">
        <v>1.401422651007771</v>
      </c>
    </row>
    <row r="263">
      <c r="B263" s="623">
        <v>700000</v>
      </c>
      <c r="C263" s="603" t="s">
        <v>78</v>
      </c>
      <c r="D263" s="0" t="s">
        <v>65</v>
      </c>
      <c r="E263" s="0" t="s">
        <v>71</v>
      </c>
      <c r="F263" s="625">
        <v>4.3416997419958</v>
      </c>
      <c r="G263" s="625">
        <v>0.696936017901404</v>
      </c>
      <c r="H263" s="624">
        <v>6.845528325650907</v>
      </c>
      <c r="I263" s="624">
        <v>19.717253251833153</v>
      </c>
      <c r="J263" s="626">
        <v>840</v>
      </c>
      <c r="K263" s="626">
        <v>1157.9110227</v>
      </c>
      <c r="L263" s="626">
        <v>493.01199920000005</v>
      </c>
      <c r="M263" s="626">
        <v>2076.6354343000003</v>
      </c>
      <c r="N263" s="626">
        <v>246.48744</v>
      </c>
      <c r="O263" s="626">
        <v>656.0171648</v>
      </c>
      <c r="P263" s="626">
        <v>250.7493612</v>
      </c>
      <c r="Q263" s="626">
        <v>207.16754319999998</v>
      </c>
      <c r="R263" s="626">
        <v>1156.080107</v>
      </c>
      <c r="S263" s="626">
        <v>996.8725938</v>
      </c>
      <c r="T263" s="626">
        <v>1148.1666633</v>
      </c>
      <c r="U263" s="626">
        <v>1050.3406092999999</v>
      </c>
      <c r="V263" s="626">
        <v>1934.7326745</v>
      </c>
      <c r="W263" s="626">
        <v>1738.2730466</v>
      </c>
      <c r="X263" s="626">
        <v>1274.1079148</v>
      </c>
      <c r="Y263" s="626">
        <v>1012.1617443</v>
      </c>
      <c r="Z263" s="626">
        <v>243.52731219999998</v>
      </c>
      <c r="AA263" s="626">
        <v>219.3869992</v>
      </c>
      <c r="AB263" s="626">
        <v>1181.5714828</v>
      </c>
      <c r="AC263" s="626">
        <v>1000.5917325</v>
      </c>
      <c r="AD263" s="626">
        <v>1028.7441098</v>
      </c>
      <c r="AE263" s="626">
        <v>929.1188833</v>
      </c>
      <c r="AF263" s="626">
        <v>892.4514996</v>
      </c>
      <c r="AG263" s="626">
        <v>636.8182353</v>
      </c>
      <c r="AH263" s="625">
        <v>0.7254443420242731</v>
      </c>
      <c r="AI263" s="625">
        <v>0.23740902761911614</v>
      </c>
      <c r="AJ263" s="625">
        <v>0.37573321738330068</v>
      </c>
      <c r="AK263" s="625">
        <v>1.2103699127451422</v>
      </c>
      <c r="AL263" s="625">
        <v>1.159706981801552</v>
      </c>
      <c r="AM263" s="625">
        <v>1.0931374576356041</v>
      </c>
      <c r="AN263" s="625">
        <v>1.113020004713924</v>
      </c>
      <c r="AO263" s="625">
        <v>1.2587987266249237</v>
      </c>
      <c r="AP263" s="625">
        <v>1.1100352941010681</v>
      </c>
      <c r="AQ263" s="625">
        <v>1.1808727220160205</v>
      </c>
      <c r="AR263" s="625">
        <v>1.1072254888209732</v>
      </c>
      <c r="AS263" s="625">
        <v>1.4014226510077712</v>
      </c>
    </row>
    <row r="264">
      <c r="B264" s="623">
        <v>700000</v>
      </c>
      <c r="C264" s="603" t="s">
        <v>79</v>
      </c>
      <c r="D264" s="0" t="s">
        <v>65</v>
      </c>
      <c r="E264" s="0" t="s">
        <v>71</v>
      </c>
      <c r="F264" s="625">
        <v>4.9080084039952538</v>
      </c>
      <c r="G264" s="625">
        <v>0.78784071588854376</v>
      </c>
      <c r="H264" s="624">
        <v>7.7384233246488527</v>
      </c>
      <c r="I264" s="624">
        <v>22.289068893376612</v>
      </c>
      <c r="J264" s="626">
        <v>910</v>
      </c>
      <c r="K264" s="626">
        <v>1254.4036079</v>
      </c>
      <c r="L264" s="626">
        <v>534.0963325</v>
      </c>
      <c r="M264" s="626">
        <v>2249.6883872000003</v>
      </c>
      <c r="N264" s="626">
        <v>267.02806</v>
      </c>
      <c r="O264" s="626">
        <v>710.6852619</v>
      </c>
      <c r="P264" s="626">
        <v>273.5447577</v>
      </c>
      <c r="Q264" s="626">
        <v>226.00095629999998</v>
      </c>
      <c r="R264" s="626">
        <v>1261.1782985</v>
      </c>
      <c r="S264" s="626">
        <v>1087.497375</v>
      </c>
      <c r="T264" s="626">
        <v>1252.5454508</v>
      </c>
      <c r="U264" s="626">
        <v>1145.8261192</v>
      </c>
      <c r="V264" s="626">
        <v>2110.6174631</v>
      </c>
      <c r="W264" s="626">
        <v>1896.297869</v>
      </c>
      <c r="X264" s="626">
        <v>1389.9359071</v>
      </c>
      <c r="Y264" s="626">
        <v>1104.1764483</v>
      </c>
      <c r="Z264" s="626">
        <v>265.66615870000004</v>
      </c>
      <c r="AA264" s="626">
        <v>239.3312718</v>
      </c>
      <c r="AB264" s="626">
        <v>1288.9870722</v>
      </c>
      <c r="AC264" s="626">
        <v>1091.5546173</v>
      </c>
      <c r="AD264" s="626">
        <v>1122.2663016</v>
      </c>
      <c r="AE264" s="626">
        <v>1013.5842364</v>
      </c>
      <c r="AF264" s="626">
        <v>973.58345409999993</v>
      </c>
      <c r="AG264" s="626">
        <v>694.7108022</v>
      </c>
      <c r="AH264" s="625">
        <v>0.7254443420242731</v>
      </c>
      <c r="AI264" s="625">
        <v>0.23740902761911611</v>
      </c>
      <c r="AJ264" s="625">
        <v>0.37573321738330068</v>
      </c>
      <c r="AK264" s="625">
        <v>1.2103699127451422</v>
      </c>
      <c r="AL264" s="625">
        <v>1.1597069818015522</v>
      </c>
      <c r="AM264" s="625">
        <v>1.0931374576356041</v>
      </c>
      <c r="AN264" s="625">
        <v>1.113020004713924</v>
      </c>
      <c r="AO264" s="625">
        <v>1.2587987266249239</v>
      </c>
      <c r="AP264" s="625">
        <v>1.1100352941010681</v>
      </c>
      <c r="AQ264" s="625">
        <v>1.1808727220160202</v>
      </c>
      <c r="AR264" s="625">
        <v>1.1072254888209732</v>
      </c>
      <c r="AS264" s="625">
        <v>1.4014226510077712</v>
      </c>
    </row>
    <row r="265">
      <c r="B265" s="623">
        <v>800000</v>
      </c>
      <c r="C265" s="603" t="s">
        <v>77</v>
      </c>
      <c r="D265" s="0" t="s">
        <v>65</v>
      </c>
      <c r="E265" s="0" t="s">
        <v>71</v>
      </c>
      <c r="F265" s="625">
        <v>3.9958908416950116</v>
      </c>
      <c r="G265" s="625">
        <v>0.70721467491500756</v>
      </c>
      <c r="H265" s="624">
        <v>5.82137796261485</v>
      </c>
      <c r="I265" s="624">
        <v>16.186827400255769</v>
      </c>
      <c r="J265" s="626">
        <v>800</v>
      </c>
      <c r="K265" s="626">
        <v>990.2855059</v>
      </c>
      <c r="L265" s="626">
        <v>447.709354</v>
      </c>
      <c r="M265" s="626">
        <v>1885.8817106000001</v>
      </c>
      <c r="N265" s="626">
        <v>205.4062</v>
      </c>
      <c r="O265" s="626">
        <v>548.7831273</v>
      </c>
      <c r="P265" s="626">
        <v>252.50047519999998</v>
      </c>
      <c r="Q265" s="626">
        <v>205.9178286</v>
      </c>
      <c r="R265" s="626">
        <v>1158.8015792</v>
      </c>
      <c r="S265" s="626">
        <v>941.2697178</v>
      </c>
      <c r="T265" s="626">
        <v>1202.2697911</v>
      </c>
      <c r="U265" s="626">
        <v>1083.1994702000002</v>
      </c>
      <c r="V265" s="626">
        <v>1904.3394804</v>
      </c>
      <c r="W265" s="626">
        <v>1702.4611635</v>
      </c>
      <c r="X265" s="626">
        <v>1393.0063617</v>
      </c>
      <c r="Y265" s="626">
        <v>1123.8352725</v>
      </c>
      <c r="Z265" s="626">
        <v>253.8087157</v>
      </c>
      <c r="AA265" s="626">
        <v>229.241876</v>
      </c>
      <c r="AB265" s="626">
        <v>1233.6542879</v>
      </c>
      <c r="AC265" s="626">
        <v>1057.2031275</v>
      </c>
      <c r="AD265" s="626">
        <v>1039.7940015</v>
      </c>
      <c r="AE265" s="626">
        <v>933.5073255</v>
      </c>
      <c r="AF265" s="626">
        <v>911.0844616</v>
      </c>
      <c r="AG265" s="626">
        <v>648.2933587</v>
      </c>
      <c r="AH265" s="625">
        <v>0.80784783304140106</v>
      </c>
      <c r="AI265" s="625">
        <v>0.2374005493145871</v>
      </c>
      <c r="AJ265" s="625">
        <v>0.37429394199441829</v>
      </c>
      <c r="AK265" s="625">
        <v>1.226219589004925</v>
      </c>
      <c r="AL265" s="625">
        <v>1.2311047060452354</v>
      </c>
      <c r="AM265" s="625">
        <v>1.109924648426482</v>
      </c>
      <c r="AN265" s="625">
        <v>1.1185802772992044</v>
      </c>
      <c r="AO265" s="625">
        <v>1.2395111594428045</v>
      </c>
      <c r="AP265" s="625">
        <v>1.107165584668941</v>
      </c>
      <c r="AQ265" s="625">
        <v>1.1669037442278833</v>
      </c>
      <c r="AR265" s="625">
        <v>1.1138573561237575</v>
      </c>
      <c r="AS265" s="625">
        <v>1.4053583139750967</v>
      </c>
    </row>
    <row r="266">
      <c r="B266" s="623">
        <v>800000</v>
      </c>
      <c r="C266" s="603" t="s">
        <v>78</v>
      </c>
      <c r="D266" s="0" t="s">
        <v>65</v>
      </c>
      <c r="E266" s="0" t="s">
        <v>71</v>
      </c>
      <c r="F266" s="625">
        <v>4.5952744679492623</v>
      </c>
      <c r="G266" s="625">
        <v>0.81329687615225854</v>
      </c>
      <c r="H266" s="624">
        <v>6.6945846570070771</v>
      </c>
      <c r="I266" s="624">
        <v>18.61485151029413</v>
      </c>
      <c r="J266" s="626">
        <v>960</v>
      </c>
      <c r="K266" s="626">
        <v>1188.342607</v>
      </c>
      <c r="L266" s="626">
        <v>537.2512249</v>
      </c>
      <c r="M266" s="626">
        <v>2263.0580528</v>
      </c>
      <c r="N266" s="626">
        <v>246.48744</v>
      </c>
      <c r="O266" s="626">
        <v>658.5397527</v>
      </c>
      <c r="P266" s="626">
        <v>277.7505227</v>
      </c>
      <c r="Q266" s="626">
        <v>226.5096115</v>
      </c>
      <c r="R266" s="626">
        <v>1274.6817371</v>
      </c>
      <c r="S266" s="626">
        <v>1035.3966896</v>
      </c>
      <c r="T266" s="626">
        <v>1322.4967702</v>
      </c>
      <c r="U266" s="626">
        <v>1191.5194172000001</v>
      </c>
      <c r="V266" s="626">
        <v>2094.7734284000003</v>
      </c>
      <c r="W266" s="626">
        <v>1872.7072799</v>
      </c>
      <c r="X266" s="626">
        <v>1532.3069979000002</v>
      </c>
      <c r="Y266" s="626">
        <v>1236.2187998</v>
      </c>
      <c r="Z266" s="626">
        <v>279.1895872</v>
      </c>
      <c r="AA266" s="626">
        <v>252.1660636</v>
      </c>
      <c r="AB266" s="626">
        <v>1357.0197167</v>
      </c>
      <c r="AC266" s="626">
        <v>1162.9234402999998</v>
      </c>
      <c r="AD266" s="626">
        <v>1143.7734017</v>
      </c>
      <c r="AE266" s="626">
        <v>1026.8580581</v>
      </c>
      <c r="AF266" s="626">
        <v>1002.1929078000001</v>
      </c>
      <c r="AG266" s="626">
        <v>713.1226946</v>
      </c>
      <c r="AH266" s="625">
        <v>0.80784783304140118</v>
      </c>
      <c r="AI266" s="625">
        <v>0.23740054931458715</v>
      </c>
      <c r="AJ266" s="625">
        <v>0.37429394199441829</v>
      </c>
      <c r="AK266" s="625">
        <v>1.226219589004925</v>
      </c>
      <c r="AL266" s="625">
        <v>1.2311047060452354</v>
      </c>
      <c r="AM266" s="625">
        <v>1.109924648426482</v>
      </c>
      <c r="AN266" s="625">
        <v>1.1185802772992044</v>
      </c>
      <c r="AO266" s="625">
        <v>1.2395111594428045</v>
      </c>
      <c r="AP266" s="625">
        <v>1.1071655846689408</v>
      </c>
      <c r="AQ266" s="625">
        <v>1.1669037442278831</v>
      </c>
      <c r="AR266" s="625">
        <v>1.1138573561237577</v>
      </c>
      <c r="AS266" s="625">
        <v>1.4053583139750967</v>
      </c>
    </row>
    <row r="267">
      <c r="B267" s="623">
        <v>800000</v>
      </c>
      <c r="C267" s="603" t="s">
        <v>79</v>
      </c>
      <c r="D267" s="0" t="s">
        <v>65</v>
      </c>
      <c r="E267" s="0" t="s">
        <v>71</v>
      </c>
      <c r="F267" s="625">
        <v>5.1946580942035148</v>
      </c>
      <c r="G267" s="625">
        <v>0.91937907738950986</v>
      </c>
      <c r="H267" s="624">
        <v>7.5677913513993058</v>
      </c>
      <c r="I267" s="624">
        <v>21.042875620332502</v>
      </c>
      <c r="J267" s="626">
        <v>1040</v>
      </c>
      <c r="K267" s="626">
        <v>1287.3711576</v>
      </c>
      <c r="L267" s="626">
        <v>582.0221603</v>
      </c>
      <c r="M267" s="626">
        <v>2451.6462238</v>
      </c>
      <c r="N267" s="626">
        <v>267.02806</v>
      </c>
      <c r="O267" s="626">
        <v>713.41806539999993</v>
      </c>
      <c r="P267" s="626">
        <v>303.0005702</v>
      </c>
      <c r="Q267" s="626">
        <v>247.1013944</v>
      </c>
      <c r="R267" s="626">
        <v>1390.5618951000001</v>
      </c>
      <c r="S267" s="626">
        <v>1129.5236613</v>
      </c>
      <c r="T267" s="626">
        <v>1442.7237494</v>
      </c>
      <c r="U267" s="626">
        <v>1299.8393641999999</v>
      </c>
      <c r="V267" s="626">
        <v>2285.2073764999996</v>
      </c>
      <c r="W267" s="626">
        <v>2042.9533962</v>
      </c>
      <c r="X267" s="626">
        <v>1671.6076340000002</v>
      </c>
      <c r="Y267" s="626">
        <v>1348.6023271000001</v>
      </c>
      <c r="Z267" s="626">
        <v>304.57045880000004</v>
      </c>
      <c r="AA267" s="626">
        <v>275.0902512</v>
      </c>
      <c r="AB267" s="626">
        <v>1480.3851455000001</v>
      </c>
      <c r="AC267" s="626">
        <v>1268.643753</v>
      </c>
      <c r="AD267" s="626">
        <v>1247.7528018</v>
      </c>
      <c r="AE267" s="626">
        <v>1120.2087906</v>
      </c>
      <c r="AF267" s="626">
        <v>1093.3013539</v>
      </c>
      <c r="AG267" s="626">
        <v>777.9520305</v>
      </c>
      <c r="AH267" s="625">
        <v>0.80784783304140106</v>
      </c>
      <c r="AI267" s="625">
        <v>0.2374005493145871</v>
      </c>
      <c r="AJ267" s="625">
        <v>0.37429394199441834</v>
      </c>
      <c r="AK267" s="625">
        <v>1.2262195890049248</v>
      </c>
      <c r="AL267" s="625">
        <v>1.2311047060452354</v>
      </c>
      <c r="AM267" s="625">
        <v>1.109924648426482</v>
      </c>
      <c r="AN267" s="625">
        <v>1.1185802772992042</v>
      </c>
      <c r="AO267" s="625">
        <v>1.2395111594428048</v>
      </c>
      <c r="AP267" s="625">
        <v>1.107165584668941</v>
      </c>
      <c r="AQ267" s="625">
        <v>1.1669037442278833</v>
      </c>
      <c r="AR267" s="625">
        <v>1.1138573561237575</v>
      </c>
      <c r="AS267" s="625">
        <v>1.4053583139750967</v>
      </c>
    </row>
    <row r="268">
      <c r="B268" s="623">
        <v>957039</v>
      </c>
      <c r="C268" s="603" t="s">
        <v>77</v>
      </c>
      <c r="D268" s="0" t="s">
        <v>65</v>
      </c>
      <c r="E268" s="0" t="s">
        <v>71</v>
      </c>
      <c r="F268" s="625">
        <v>4.2835631832985115</v>
      </c>
      <c r="G268" s="625">
        <v>0.86611200377462472</v>
      </c>
      <c r="H268" s="624">
        <v>5.6665450338576591</v>
      </c>
      <c r="I268" s="624">
        <v>15.03392621541621</v>
      </c>
      <c r="J268" s="626">
        <v>957.039</v>
      </c>
      <c r="K268" s="626">
        <v>1030.1100523</v>
      </c>
      <c r="L268" s="626">
        <v>505.60338540000004</v>
      </c>
      <c r="M268" s="626">
        <v>2129.8452238</v>
      </c>
      <c r="N268" s="626">
        <v>205.4062</v>
      </c>
      <c r="O268" s="626">
        <v>552.0843329</v>
      </c>
      <c r="P268" s="626">
        <v>291.0480697</v>
      </c>
      <c r="Q268" s="626">
        <v>233.5310928</v>
      </c>
      <c r="R268" s="626">
        <v>1328.1205009999999</v>
      </c>
      <c r="S268" s="626">
        <v>996.26776760000007</v>
      </c>
      <c r="T268" s="626">
        <v>1451.1482062999999</v>
      </c>
      <c r="U268" s="626">
        <v>1284.7501868</v>
      </c>
      <c r="V268" s="626">
        <v>2132.8180255</v>
      </c>
      <c r="W268" s="626">
        <v>1894.3831414</v>
      </c>
      <c r="X268" s="626">
        <v>1761.6184144</v>
      </c>
      <c r="Y268" s="626">
        <v>1443.7052357</v>
      </c>
      <c r="Z268" s="626">
        <v>304.7211521</v>
      </c>
      <c r="AA268" s="626">
        <v>276.0381623</v>
      </c>
      <c r="AB268" s="626">
        <v>1484.1289715</v>
      </c>
      <c r="AC268" s="626">
        <v>1288.9523007</v>
      </c>
      <c r="AD268" s="626">
        <v>1204.0129558</v>
      </c>
      <c r="AE268" s="626">
        <v>1073.0424369999998</v>
      </c>
      <c r="AF268" s="626">
        <v>1067.7542889000001</v>
      </c>
      <c r="AG268" s="626">
        <v>757.2276859000001</v>
      </c>
      <c r="AH268" s="625">
        <v>0.92906481001578445</v>
      </c>
      <c r="AI268" s="625">
        <v>0.2373897313014941</v>
      </c>
      <c r="AJ268" s="625">
        <v>0.37205583958758104</v>
      </c>
      <c r="AK268" s="625">
        <v>1.2462925867620147</v>
      </c>
      <c r="AL268" s="625">
        <v>1.3330959248754912</v>
      </c>
      <c r="AM268" s="625">
        <v>1.1295178014195777</v>
      </c>
      <c r="AN268" s="625">
        <v>1.125864128995421</v>
      </c>
      <c r="AO268" s="625">
        <v>1.2202064319742678</v>
      </c>
      <c r="AP268" s="625">
        <v>1.1039095087565889</v>
      </c>
      <c r="AQ268" s="625">
        <v>1.1514227258270724</v>
      </c>
      <c r="AR268" s="625">
        <v>1.1220553021102531</v>
      </c>
      <c r="AS268" s="625">
        <v>1.4100835308129291</v>
      </c>
    </row>
    <row r="269">
      <c r="B269" s="623">
        <v>957039</v>
      </c>
      <c r="C269" s="603" t="s">
        <v>78</v>
      </c>
      <c r="D269" s="0" t="s">
        <v>65</v>
      </c>
      <c r="E269" s="0" t="s">
        <v>71</v>
      </c>
      <c r="F269" s="625">
        <v>4.9260976607932871</v>
      </c>
      <c r="G269" s="625">
        <v>0.9960288043408182</v>
      </c>
      <c r="H269" s="624">
        <v>6.5165267889363072</v>
      </c>
      <c r="I269" s="624">
        <v>17.289015147728637</v>
      </c>
      <c r="J269" s="626">
        <v>1148.4468</v>
      </c>
      <c r="K269" s="626">
        <v>1236.1320627</v>
      </c>
      <c r="L269" s="626">
        <v>606.7240625</v>
      </c>
      <c r="M269" s="626">
        <v>2555.8142686</v>
      </c>
      <c r="N269" s="626">
        <v>246.48744</v>
      </c>
      <c r="O269" s="626">
        <v>662.5011995</v>
      </c>
      <c r="P269" s="626">
        <v>320.15287670000004</v>
      </c>
      <c r="Q269" s="626">
        <v>256.8842021</v>
      </c>
      <c r="R269" s="626">
        <v>1460.9325511</v>
      </c>
      <c r="S269" s="626">
        <v>1095.8945443</v>
      </c>
      <c r="T269" s="626">
        <v>1596.2630268999999</v>
      </c>
      <c r="U269" s="626">
        <v>1413.2252054</v>
      </c>
      <c r="V269" s="626">
        <v>2346.0998280000003</v>
      </c>
      <c r="W269" s="626">
        <v>2083.8214555</v>
      </c>
      <c r="X269" s="626">
        <v>1937.7802559</v>
      </c>
      <c r="Y269" s="626">
        <v>1588.0757592</v>
      </c>
      <c r="Z269" s="626">
        <v>335.1932673</v>
      </c>
      <c r="AA269" s="626">
        <v>303.64197850000005</v>
      </c>
      <c r="AB269" s="626">
        <v>1632.5418687</v>
      </c>
      <c r="AC269" s="626">
        <v>1417.8475307</v>
      </c>
      <c r="AD269" s="626">
        <v>1324.4142514</v>
      </c>
      <c r="AE269" s="626">
        <v>1180.3466807</v>
      </c>
      <c r="AF269" s="626">
        <v>1174.5297178</v>
      </c>
      <c r="AG269" s="626">
        <v>832.9504545</v>
      </c>
      <c r="AH269" s="625">
        <v>0.92906481001578445</v>
      </c>
      <c r="AI269" s="625">
        <v>0.2373897313014941</v>
      </c>
      <c r="AJ269" s="625">
        <v>0.37205583958758104</v>
      </c>
      <c r="AK269" s="625">
        <v>1.2462925867620147</v>
      </c>
      <c r="AL269" s="625">
        <v>1.3330959248754912</v>
      </c>
      <c r="AM269" s="625">
        <v>1.1295178014195777</v>
      </c>
      <c r="AN269" s="625">
        <v>1.125864128995421</v>
      </c>
      <c r="AO269" s="625">
        <v>1.2202064319742678</v>
      </c>
      <c r="AP269" s="625">
        <v>1.1039095087565887</v>
      </c>
      <c r="AQ269" s="625">
        <v>1.1514227258270722</v>
      </c>
      <c r="AR269" s="625">
        <v>1.1220553021102531</v>
      </c>
      <c r="AS269" s="625">
        <v>1.4100835308129294</v>
      </c>
    </row>
    <row r="270">
      <c r="B270" s="623">
        <v>957039</v>
      </c>
      <c r="C270" s="603" t="s">
        <v>79</v>
      </c>
      <c r="D270" s="0" t="s">
        <v>65</v>
      </c>
      <c r="E270" s="0" t="s">
        <v>71</v>
      </c>
      <c r="F270" s="625">
        <v>5.5686321382880646</v>
      </c>
      <c r="G270" s="625">
        <v>1.125945604907012</v>
      </c>
      <c r="H270" s="624">
        <v>7.3665085440149571</v>
      </c>
      <c r="I270" s="624">
        <v>19.544104080041073</v>
      </c>
      <c r="J270" s="626">
        <v>1244.1507</v>
      </c>
      <c r="K270" s="626">
        <v>1339.1430679</v>
      </c>
      <c r="L270" s="626">
        <v>657.284401</v>
      </c>
      <c r="M270" s="626">
        <v>2768.7987909</v>
      </c>
      <c r="N270" s="626">
        <v>267.02806</v>
      </c>
      <c r="O270" s="626">
        <v>717.7096328</v>
      </c>
      <c r="P270" s="626">
        <v>349.2576837</v>
      </c>
      <c r="Q270" s="626">
        <v>280.2373114</v>
      </c>
      <c r="R270" s="626">
        <v>1593.7446011999998</v>
      </c>
      <c r="S270" s="626">
        <v>1195.5213211</v>
      </c>
      <c r="T270" s="626">
        <v>1741.3778476</v>
      </c>
      <c r="U270" s="626">
        <v>1541.7002241</v>
      </c>
      <c r="V270" s="626">
        <v>2559.3816306</v>
      </c>
      <c r="W270" s="626">
        <v>2273.2597697</v>
      </c>
      <c r="X270" s="626">
        <v>2113.9420973</v>
      </c>
      <c r="Y270" s="626">
        <v>1732.4462827999998</v>
      </c>
      <c r="Z270" s="626">
        <v>365.6653825</v>
      </c>
      <c r="AA270" s="626">
        <v>331.24579470000003</v>
      </c>
      <c r="AB270" s="626">
        <v>1780.9547658</v>
      </c>
      <c r="AC270" s="626">
        <v>1546.7427608</v>
      </c>
      <c r="AD270" s="626">
        <v>1444.815547</v>
      </c>
      <c r="AE270" s="626">
        <v>1287.6509244</v>
      </c>
      <c r="AF270" s="626">
        <v>1281.3051467</v>
      </c>
      <c r="AG270" s="626">
        <v>908.673223</v>
      </c>
      <c r="AH270" s="625">
        <v>0.92906481001578434</v>
      </c>
      <c r="AI270" s="625">
        <v>0.2373897313014941</v>
      </c>
      <c r="AJ270" s="625">
        <v>0.37205583958758104</v>
      </c>
      <c r="AK270" s="625">
        <v>1.2462925867620147</v>
      </c>
      <c r="AL270" s="625">
        <v>1.3330959248754912</v>
      </c>
      <c r="AM270" s="625">
        <v>1.1295178014195777</v>
      </c>
      <c r="AN270" s="625">
        <v>1.125864128995421</v>
      </c>
      <c r="AO270" s="625">
        <v>1.2202064319742678</v>
      </c>
      <c r="AP270" s="625">
        <v>1.1039095087565887</v>
      </c>
      <c r="AQ270" s="625">
        <v>1.1514227258270724</v>
      </c>
      <c r="AR270" s="625">
        <v>1.1220553021102531</v>
      </c>
      <c r="AS270" s="625">
        <v>1.4100835308129291</v>
      </c>
    </row>
    <row r="271">
      <c r="B271" s="623">
        <v>1000000</v>
      </c>
      <c r="C271" s="603" t="s">
        <v>77</v>
      </c>
      <c r="D271" s="0" t="s">
        <v>65</v>
      </c>
      <c r="E271" s="0" t="s">
        <v>71</v>
      </c>
      <c r="F271" s="625">
        <v>4.3521839333482442</v>
      </c>
      <c r="G271" s="625">
        <v>0.90958138491649387</v>
      </c>
      <c r="H271" s="624">
        <v>5.6320610141968439</v>
      </c>
      <c r="I271" s="624">
        <v>14.773827010922465</v>
      </c>
      <c r="J271" s="626">
        <v>1000</v>
      </c>
      <c r="K271" s="626">
        <v>1041.004813</v>
      </c>
      <c r="L271" s="626">
        <v>521.4413968</v>
      </c>
      <c r="M271" s="626">
        <v>2196.5860747</v>
      </c>
      <c r="N271" s="626">
        <v>205.4062</v>
      </c>
      <c r="O271" s="626">
        <v>552.9874404</v>
      </c>
      <c r="P271" s="626">
        <v>301.5934961</v>
      </c>
      <c r="Q271" s="626">
        <v>241.0852255</v>
      </c>
      <c r="R271" s="626">
        <v>1374.4409068</v>
      </c>
      <c r="S271" s="626">
        <v>1011.3135283</v>
      </c>
      <c r="T271" s="626">
        <v>1519.233622</v>
      </c>
      <c r="U271" s="626">
        <v>1339.8882119</v>
      </c>
      <c r="V271" s="626">
        <v>2195.3226694</v>
      </c>
      <c r="W271" s="626">
        <v>1946.8870423</v>
      </c>
      <c r="X271" s="626">
        <v>1862.4592398999998</v>
      </c>
      <c r="Y271" s="626">
        <v>1531.2117371</v>
      </c>
      <c r="Z271" s="626">
        <v>318.6492157</v>
      </c>
      <c r="AA271" s="626">
        <v>288.84017489999997</v>
      </c>
      <c r="AB271" s="626">
        <v>1552.6510767000002</v>
      </c>
      <c r="AC271" s="626">
        <v>1352.3516869999999</v>
      </c>
      <c r="AD271" s="626">
        <v>1248.9381686</v>
      </c>
      <c r="AE271" s="626">
        <v>1111.2149158999998</v>
      </c>
      <c r="AF271" s="626">
        <v>1110.6142947</v>
      </c>
      <c r="AG271" s="626">
        <v>787.0287393</v>
      </c>
      <c r="AH271" s="625">
        <v>0.96061035210637591</v>
      </c>
      <c r="AI271" s="625">
        <v>0.23738719044237258</v>
      </c>
      <c r="AJ271" s="625">
        <v>0.37144821925559873</v>
      </c>
      <c r="AK271" s="625">
        <v>1.2509829065134435</v>
      </c>
      <c r="AL271" s="625">
        <v>1.3590650855055595</v>
      </c>
      <c r="AM271" s="625">
        <v>1.1338510246534204</v>
      </c>
      <c r="AN271" s="625">
        <v>1.1276065954037831</v>
      </c>
      <c r="AO271" s="625">
        <v>1.216330305448925</v>
      </c>
      <c r="AP271" s="625">
        <v>1.10320254404423</v>
      </c>
      <c r="AQ271" s="625">
        <v>1.1481119088025609</v>
      </c>
      <c r="AR271" s="625">
        <v>1.1239393484539011</v>
      </c>
      <c r="AS271" s="625">
        <v>1.4111483345944735</v>
      </c>
    </row>
    <row r="272">
      <c r="B272" s="623">
        <v>1000000</v>
      </c>
      <c r="C272" s="603" t="s">
        <v>78</v>
      </c>
      <c r="D272" s="0" t="s">
        <v>65</v>
      </c>
      <c r="E272" s="0" t="s">
        <v>71</v>
      </c>
      <c r="F272" s="625">
        <v>5.00501152335048</v>
      </c>
      <c r="G272" s="625">
        <v>1.0460185926539678</v>
      </c>
      <c r="H272" s="624">
        <v>6.4768701663263695</v>
      </c>
      <c r="I272" s="624">
        <v>16.989901062560833</v>
      </c>
      <c r="J272" s="626">
        <v>1200</v>
      </c>
      <c r="K272" s="626">
        <v>1249.2057756000002</v>
      </c>
      <c r="L272" s="626">
        <v>625.7296762</v>
      </c>
      <c r="M272" s="626">
        <v>2635.9032897</v>
      </c>
      <c r="N272" s="626">
        <v>246.48744</v>
      </c>
      <c r="O272" s="626">
        <v>663.5849285</v>
      </c>
      <c r="P272" s="626">
        <v>331.7528457</v>
      </c>
      <c r="Q272" s="626">
        <v>265.193748</v>
      </c>
      <c r="R272" s="626">
        <v>1511.8849975</v>
      </c>
      <c r="S272" s="626">
        <v>1112.4448811000002</v>
      </c>
      <c r="T272" s="626">
        <v>1671.1569842000001</v>
      </c>
      <c r="U272" s="626">
        <v>1473.8770330999998</v>
      </c>
      <c r="V272" s="626">
        <v>2414.8549363</v>
      </c>
      <c r="W272" s="626">
        <v>2141.5757464999997</v>
      </c>
      <c r="X272" s="626">
        <v>2048.7051639</v>
      </c>
      <c r="Y272" s="626">
        <v>1684.3329109000001</v>
      </c>
      <c r="Z272" s="626">
        <v>350.5141373</v>
      </c>
      <c r="AA272" s="626">
        <v>317.7241924</v>
      </c>
      <c r="AB272" s="626">
        <v>1707.9161844</v>
      </c>
      <c r="AC272" s="626">
        <v>1487.5868557</v>
      </c>
      <c r="AD272" s="626">
        <v>1373.8319855</v>
      </c>
      <c r="AE272" s="626">
        <v>1222.3364075</v>
      </c>
      <c r="AF272" s="626">
        <v>1221.6757242</v>
      </c>
      <c r="AG272" s="626">
        <v>865.7316132</v>
      </c>
      <c r="AH272" s="625">
        <v>0.960610352106376</v>
      </c>
      <c r="AI272" s="625">
        <v>0.23738719044237255</v>
      </c>
      <c r="AJ272" s="625">
        <v>0.37144821925559868</v>
      </c>
      <c r="AK272" s="625">
        <v>1.2509829065134435</v>
      </c>
      <c r="AL272" s="625">
        <v>1.3590650855055593</v>
      </c>
      <c r="AM272" s="625">
        <v>1.1338510246534204</v>
      </c>
      <c r="AN272" s="625">
        <v>1.1276065954037833</v>
      </c>
      <c r="AO272" s="625">
        <v>1.2163303054489247</v>
      </c>
      <c r="AP272" s="625">
        <v>1.1032025440442297</v>
      </c>
      <c r="AQ272" s="625">
        <v>1.1481119088025609</v>
      </c>
      <c r="AR272" s="625">
        <v>1.1239393484539013</v>
      </c>
      <c r="AS272" s="625">
        <v>1.4111483345944735</v>
      </c>
    </row>
    <row r="273">
      <c r="B273" s="623">
        <v>1000000</v>
      </c>
      <c r="C273" s="603" t="s">
        <v>79</v>
      </c>
      <c r="D273" s="0" t="s">
        <v>65</v>
      </c>
      <c r="E273" s="0" t="s">
        <v>71</v>
      </c>
      <c r="F273" s="625">
        <v>5.6578391133527184</v>
      </c>
      <c r="G273" s="625">
        <v>1.1824558003914421</v>
      </c>
      <c r="H273" s="624">
        <v>7.3216793184558977</v>
      </c>
      <c r="I273" s="624">
        <v>19.205975114199205</v>
      </c>
      <c r="J273" s="626">
        <v>1300</v>
      </c>
      <c r="K273" s="626">
        <v>1353.306257</v>
      </c>
      <c r="L273" s="626">
        <v>677.87381590000007</v>
      </c>
      <c r="M273" s="626">
        <v>2855.5618971000004</v>
      </c>
      <c r="N273" s="626">
        <v>267.02806</v>
      </c>
      <c r="O273" s="626">
        <v>718.8836725</v>
      </c>
      <c r="P273" s="626">
        <v>361.9121953</v>
      </c>
      <c r="Q273" s="626">
        <v>289.3022706</v>
      </c>
      <c r="R273" s="626">
        <v>1649.3290881</v>
      </c>
      <c r="S273" s="626">
        <v>1213.5762339</v>
      </c>
      <c r="T273" s="626">
        <v>1823.0803463999998</v>
      </c>
      <c r="U273" s="626">
        <v>1607.8658543</v>
      </c>
      <c r="V273" s="626">
        <v>2634.3872033000002</v>
      </c>
      <c r="W273" s="626">
        <v>2336.2644507</v>
      </c>
      <c r="X273" s="626">
        <v>2234.9510879</v>
      </c>
      <c r="Y273" s="626">
        <v>1837.4540846</v>
      </c>
      <c r="Z273" s="626">
        <v>382.3790589</v>
      </c>
      <c r="AA273" s="626">
        <v>346.6082098</v>
      </c>
      <c r="AB273" s="626">
        <v>1863.1812921</v>
      </c>
      <c r="AC273" s="626">
        <v>1622.8220244</v>
      </c>
      <c r="AD273" s="626">
        <v>1498.7258023000002</v>
      </c>
      <c r="AE273" s="626">
        <v>1333.4578991</v>
      </c>
      <c r="AF273" s="626">
        <v>1332.7371537</v>
      </c>
      <c r="AG273" s="626">
        <v>944.43448710000007</v>
      </c>
      <c r="AH273" s="625">
        <v>0.9606103521063758</v>
      </c>
      <c r="AI273" s="625">
        <v>0.23738719044237255</v>
      </c>
      <c r="AJ273" s="625">
        <v>0.37144821925559868</v>
      </c>
      <c r="AK273" s="625">
        <v>1.2509829065134432</v>
      </c>
      <c r="AL273" s="625">
        <v>1.3590650855055593</v>
      </c>
      <c r="AM273" s="625">
        <v>1.1338510246534201</v>
      </c>
      <c r="AN273" s="625">
        <v>1.1276065954037831</v>
      </c>
      <c r="AO273" s="625">
        <v>1.2163303054489247</v>
      </c>
      <c r="AP273" s="625">
        <v>1.1032025440442297</v>
      </c>
      <c r="AQ273" s="625">
        <v>1.1481119088025609</v>
      </c>
      <c r="AR273" s="625">
        <v>1.1239393484539013</v>
      </c>
      <c r="AS273" s="625">
        <v>1.4111483345944735</v>
      </c>
    </row>
    <row r="274">
      <c r="B274" s="623">
        <v>1101400</v>
      </c>
      <c r="C274" s="603" t="s">
        <v>77</v>
      </c>
      <c r="D274" s="0" t="s">
        <v>65</v>
      </c>
      <c r="E274" s="0" t="s">
        <v>71</v>
      </c>
      <c r="F274" s="625">
        <v>4.5000906395920541</v>
      </c>
      <c r="G274" s="625">
        <v>1.0121813068872474</v>
      </c>
      <c r="H274" s="624">
        <v>5.5606489104349475</v>
      </c>
      <c r="I274" s="624">
        <v>14.231270046850012</v>
      </c>
      <c r="J274" s="626">
        <v>1101.4</v>
      </c>
      <c r="K274" s="626">
        <v>1066.7195018</v>
      </c>
      <c r="L274" s="626">
        <v>558.8235425</v>
      </c>
      <c r="M274" s="626">
        <v>2354.1131873</v>
      </c>
      <c r="N274" s="626">
        <v>205.4062</v>
      </c>
      <c r="O274" s="626">
        <v>555.11902709999993</v>
      </c>
      <c r="P274" s="626">
        <v>326.4836577</v>
      </c>
      <c r="Q274" s="626">
        <v>258.9150957</v>
      </c>
      <c r="R274" s="626">
        <v>1483.7700458</v>
      </c>
      <c r="S274" s="626">
        <v>1046.8257402</v>
      </c>
      <c r="T274" s="626">
        <v>1679.9342843</v>
      </c>
      <c r="U274" s="626">
        <v>1470.029404</v>
      </c>
      <c r="V274" s="626">
        <v>2342.8511461999997</v>
      </c>
      <c r="W274" s="626">
        <v>2070.8109628</v>
      </c>
      <c r="X274" s="626">
        <v>2100.4718492</v>
      </c>
      <c r="Y274" s="626">
        <v>1737.7516047</v>
      </c>
      <c r="Z274" s="626">
        <v>351.5233493</v>
      </c>
      <c r="AA274" s="626">
        <v>319.05651240000003</v>
      </c>
      <c r="AB274" s="626">
        <v>1714.3824487000002</v>
      </c>
      <c r="AC274" s="626">
        <v>1501.9920067</v>
      </c>
      <c r="AD274" s="626">
        <v>1354.9742612999999</v>
      </c>
      <c r="AE274" s="626">
        <v>1201.3126643</v>
      </c>
      <c r="AF274" s="626">
        <v>1211.7759201</v>
      </c>
      <c r="AG274" s="626">
        <v>857.3675772</v>
      </c>
      <c r="AH274" s="625">
        <v>1.0325113566959707</v>
      </c>
      <c r="AI274" s="625">
        <v>0.23738176462885158</v>
      </c>
      <c r="AJ274" s="625">
        <v>0.37002190513985461</v>
      </c>
      <c r="AK274" s="625">
        <v>1.2609680282338225</v>
      </c>
      <c r="AL274" s="625">
        <v>1.4173992756175535</v>
      </c>
      <c r="AM274" s="625">
        <v>1.1427895793906584</v>
      </c>
      <c r="AN274" s="625">
        <v>1.1313689121209567</v>
      </c>
      <c r="AO274" s="625">
        <v>1.208729627148917</v>
      </c>
      <c r="AP274" s="625">
        <v>1.1017588910239302</v>
      </c>
      <c r="AQ274" s="625">
        <v>1.141405840423295</v>
      </c>
      <c r="AR274" s="625">
        <v>1.127911410254081</v>
      </c>
      <c r="AS274" s="625">
        <v>1.41336802592785</v>
      </c>
    </row>
    <row r="275">
      <c r="B275" s="623">
        <v>1101400</v>
      </c>
      <c r="C275" s="603" t="s">
        <v>78</v>
      </c>
      <c r="D275" s="0" t="s">
        <v>65</v>
      </c>
      <c r="E275" s="0" t="s">
        <v>71</v>
      </c>
      <c r="F275" s="625">
        <v>5.1751042355308616</v>
      </c>
      <c r="G275" s="625">
        <v>1.1640085029203344</v>
      </c>
      <c r="H275" s="624">
        <v>6.3947462470001888</v>
      </c>
      <c r="I275" s="624">
        <v>16.36596055387751</v>
      </c>
      <c r="J275" s="626">
        <v>1321.68</v>
      </c>
      <c r="K275" s="626">
        <v>1280.0634021</v>
      </c>
      <c r="L275" s="626">
        <v>670.588251</v>
      </c>
      <c r="M275" s="626">
        <v>2824.9358248</v>
      </c>
      <c r="N275" s="626">
        <v>246.48744</v>
      </c>
      <c r="O275" s="626">
        <v>666.1428326</v>
      </c>
      <c r="P275" s="626">
        <v>359.1320234</v>
      </c>
      <c r="Q275" s="626">
        <v>284.8066052</v>
      </c>
      <c r="R275" s="626">
        <v>1632.1470504000001</v>
      </c>
      <c r="S275" s="626">
        <v>1151.5083141999999</v>
      </c>
      <c r="T275" s="626">
        <v>1847.9277127</v>
      </c>
      <c r="U275" s="626">
        <v>1617.0323444</v>
      </c>
      <c r="V275" s="626">
        <v>2577.1362608</v>
      </c>
      <c r="W275" s="626">
        <v>2277.8920591</v>
      </c>
      <c r="X275" s="626">
        <v>2310.5190340999998</v>
      </c>
      <c r="Y275" s="626">
        <v>1911.5267652</v>
      </c>
      <c r="Z275" s="626">
        <v>386.67568420000003</v>
      </c>
      <c r="AA275" s="626">
        <v>350.96216360000005</v>
      </c>
      <c r="AB275" s="626">
        <v>1885.8206936000001</v>
      </c>
      <c r="AC275" s="626">
        <v>1652.1912072999999</v>
      </c>
      <c r="AD275" s="626">
        <v>1490.4716875</v>
      </c>
      <c r="AE275" s="626">
        <v>1321.4439307</v>
      </c>
      <c r="AF275" s="626">
        <v>1332.9535121</v>
      </c>
      <c r="AG275" s="626">
        <v>943.1043349</v>
      </c>
      <c r="AH275" s="625">
        <v>1.0325113566959707</v>
      </c>
      <c r="AI275" s="625">
        <v>0.23738176462885158</v>
      </c>
      <c r="AJ275" s="625">
        <v>0.37002190513985461</v>
      </c>
      <c r="AK275" s="625">
        <v>1.2609680282338225</v>
      </c>
      <c r="AL275" s="625">
        <v>1.4173992756175537</v>
      </c>
      <c r="AM275" s="625">
        <v>1.1427895793906584</v>
      </c>
      <c r="AN275" s="625">
        <v>1.1313689121209567</v>
      </c>
      <c r="AO275" s="625">
        <v>1.2087296271489172</v>
      </c>
      <c r="AP275" s="625">
        <v>1.10175889102393</v>
      </c>
      <c r="AQ275" s="625">
        <v>1.141405840423295</v>
      </c>
      <c r="AR275" s="625">
        <v>1.127911410254081</v>
      </c>
      <c r="AS275" s="625">
        <v>1.4133680259278503</v>
      </c>
    </row>
    <row r="276">
      <c r="B276" s="623">
        <v>1101400</v>
      </c>
      <c r="C276" s="603" t="s">
        <v>79</v>
      </c>
      <c r="D276" s="0" t="s">
        <v>65</v>
      </c>
      <c r="E276" s="0" t="s">
        <v>71</v>
      </c>
      <c r="F276" s="625">
        <v>5.8501178314696709</v>
      </c>
      <c r="G276" s="625">
        <v>1.3158356989534219</v>
      </c>
      <c r="H276" s="624">
        <v>7.2288435835654319</v>
      </c>
      <c r="I276" s="624">
        <v>18.500651060905017</v>
      </c>
      <c r="J276" s="626">
        <v>1431.82</v>
      </c>
      <c r="K276" s="626">
        <v>1386.7353523</v>
      </c>
      <c r="L276" s="626">
        <v>726.4706053000001</v>
      </c>
      <c r="M276" s="626">
        <v>3060.3471434999997</v>
      </c>
      <c r="N276" s="626">
        <v>267.02806</v>
      </c>
      <c r="O276" s="626">
        <v>721.6547353</v>
      </c>
      <c r="P276" s="626">
        <v>391.7803892</v>
      </c>
      <c r="Q276" s="626">
        <v>310.6981148</v>
      </c>
      <c r="R276" s="626">
        <v>1780.5240549999999</v>
      </c>
      <c r="S276" s="626">
        <v>1256.1908882</v>
      </c>
      <c r="T276" s="626">
        <v>2015.9211410999999</v>
      </c>
      <c r="U276" s="626">
        <v>1764.0352848</v>
      </c>
      <c r="V276" s="626">
        <v>2811.4213753999998</v>
      </c>
      <c r="W276" s="626">
        <v>2484.9731554</v>
      </c>
      <c r="X276" s="626">
        <v>2520.5662190999997</v>
      </c>
      <c r="Y276" s="626">
        <v>2085.3019256</v>
      </c>
      <c r="Z276" s="626">
        <v>421.82801909999995</v>
      </c>
      <c r="AA276" s="626">
        <v>382.8678149</v>
      </c>
      <c r="AB276" s="626">
        <v>2057.2589384000003</v>
      </c>
      <c r="AC276" s="626">
        <v>1802.390408</v>
      </c>
      <c r="AD276" s="626">
        <v>1625.9691136000001</v>
      </c>
      <c r="AE276" s="626">
        <v>1441.5751971</v>
      </c>
      <c r="AF276" s="626">
        <v>1454.1311041000001</v>
      </c>
      <c r="AG276" s="626">
        <v>1028.8410927</v>
      </c>
      <c r="AH276" s="625">
        <v>1.0325113566959707</v>
      </c>
      <c r="AI276" s="625">
        <v>0.23738176462885161</v>
      </c>
      <c r="AJ276" s="625">
        <v>0.37002190513985456</v>
      </c>
      <c r="AK276" s="625">
        <v>1.2609680282338225</v>
      </c>
      <c r="AL276" s="625">
        <v>1.4173992756175537</v>
      </c>
      <c r="AM276" s="625">
        <v>1.1427895793906584</v>
      </c>
      <c r="AN276" s="625">
        <v>1.1313689121209567</v>
      </c>
      <c r="AO276" s="625">
        <v>1.208729627148917</v>
      </c>
      <c r="AP276" s="625">
        <v>1.10175889102393</v>
      </c>
      <c r="AQ276" s="625">
        <v>1.1414058404232947</v>
      </c>
      <c r="AR276" s="625">
        <v>1.127911410254081</v>
      </c>
      <c r="AS276" s="625">
        <v>1.4133680259278503</v>
      </c>
    </row>
    <row r="277">
      <c r="B277" s="623">
        <v>1257800</v>
      </c>
      <c r="C277" s="603" t="s">
        <v>77</v>
      </c>
      <c r="D277" s="0" t="s">
        <v>65</v>
      </c>
      <c r="E277" s="0" t="s">
        <v>71</v>
      </c>
      <c r="F277" s="625">
        <v>4.6959023400775948</v>
      </c>
      <c r="G277" s="625">
        <v>1.1704320741084098</v>
      </c>
      <c r="H277" s="624">
        <v>5.471792518558769</v>
      </c>
      <c r="I277" s="624">
        <v>13.548690246276292</v>
      </c>
      <c r="J277" s="626">
        <v>1257.8</v>
      </c>
      <c r="K277" s="626">
        <v>1106.382</v>
      </c>
      <c r="L277" s="626">
        <v>616.482</v>
      </c>
      <c r="M277" s="626">
        <v>2597.084</v>
      </c>
      <c r="N277" s="626">
        <v>205.4062</v>
      </c>
      <c r="O277" s="626">
        <v>558.40680000000009</v>
      </c>
      <c r="P277" s="626">
        <v>364.87440000000004</v>
      </c>
      <c r="Q277" s="626">
        <v>286.416</v>
      </c>
      <c r="R277" s="626">
        <v>1652.4</v>
      </c>
      <c r="S277" s="626">
        <v>1101.6</v>
      </c>
      <c r="T277" s="626">
        <v>1927.8</v>
      </c>
      <c r="U277" s="626">
        <v>1670.76</v>
      </c>
      <c r="V277" s="626">
        <v>2570.4</v>
      </c>
      <c r="W277" s="626">
        <v>2261.952</v>
      </c>
      <c r="X277" s="626">
        <v>2467.584</v>
      </c>
      <c r="Y277" s="626">
        <v>2056.32</v>
      </c>
      <c r="Z277" s="626">
        <v>402.2286203</v>
      </c>
      <c r="AA277" s="626">
        <v>365.6623821</v>
      </c>
      <c r="AB277" s="626">
        <v>1963.8379376</v>
      </c>
      <c r="AC277" s="626">
        <v>1732.7981802000002</v>
      </c>
      <c r="AD277" s="626">
        <v>1518.525</v>
      </c>
      <c r="AE277" s="626">
        <v>1340.28</v>
      </c>
      <c r="AF277" s="626">
        <v>1367.8082496</v>
      </c>
      <c r="AG277" s="626">
        <v>965.8586448</v>
      </c>
      <c r="AH277" s="625">
        <v>1.1368586979903868</v>
      </c>
      <c r="AI277" s="625">
        <v>0.23737468637903125</v>
      </c>
      <c r="AJ277" s="625">
        <v>0.36784329990250847</v>
      </c>
      <c r="AK277" s="625">
        <v>1.2739316239316241</v>
      </c>
      <c r="AL277" s="625">
        <v>1.5</v>
      </c>
      <c r="AM277" s="625">
        <v>1.1538461538461537</v>
      </c>
      <c r="AN277" s="625">
        <v>1.1363636363636362</v>
      </c>
      <c r="AO277" s="625">
        <v>1.1999999999999997</v>
      </c>
      <c r="AP277" s="625">
        <v>1.0999999999999999</v>
      </c>
      <c r="AQ277" s="625">
        <v>1.1333333333333338</v>
      </c>
      <c r="AR277" s="625">
        <v>1.1329908675799087</v>
      </c>
      <c r="AS277" s="625">
        <v>1.4161577959311642</v>
      </c>
    </row>
    <row r="278">
      <c r="B278" s="623">
        <v>1257800</v>
      </c>
      <c r="C278" s="603" t="s">
        <v>78</v>
      </c>
      <c r="D278" s="0" t="s">
        <v>65</v>
      </c>
      <c r="E278" s="0" t="s">
        <v>71</v>
      </c>
      <c r="F278" s="625">
        <v>5.4002876910892326</v>
      </c>
      <c r="G278" s="625">
        <v>1.3459968852246711</v>
      </c>
      <c r="H278" s="624">
        <v>6.2925613963425837</v>
      </c>
      <c r="I278" s="624">
        <v>15.580993783217734</v>
      </c>
      <c r="J278" s="626">
        <v>1509.36</v>
      </c>
      <c r="K278" s="626">
        <v>1327.6583999999998</v>
      </c>
      <c r="L278" s="626">
        <v>739.7784</v>
      </c>
      <c r="M278" s="626">
        <v>3116.5008</v>
      </c>
      <c r="N278" s="626">
        <v>246.48744</v>
      </c>
      <c r="O278" s="626">
        <v>670.08816</v>
      </c>
      <c r="P278" s="626">
        <v>401.36184000000003</v>
      </c>
      <c r="Q278" s="626">
        <v>315.0576</v>
      </c>
      <c r="R278" s="626">
        <v>1817.64</v>
      </c>
      <c r="S278" s="626">
        <v>1211.76</v>
      </c>
      <c r="T278" s="626">
        <v>2120.58</v>
      </c>
      <c r="U278" s="626">
        <v>1837.836</v>
      </c>
      <c r="V278" s="626">
        <v>2827.44</v>
      </c>
      <c r="W278" s="626">
        <v>2488.1472000000003</v>
      </c>
      <c r="X278" s="626">
        <v>2714.3424</v>
      </c>
      <c r="Y278" s="626">
        <v>2261.952</v>
      </c>
      <c r="Z278" s="626">
        <v>442.4514824</v>
      </c>
      <c r="AA278" s="626">
        <v>402.2286203</v>
      </c>
      <c r="AB278" s="626">
        <v>2160.2217313</v>
      </c>
      <c r="AC278" s="626">
        <v>1906.0779982000001</v>
      </c>
      <c r="AD278" s="626">
        <v>1670.3775</v>
      </c>
      <c r="AE278" s="626">
        <v>1474.308</v>
      </c>
      <c r="AF278" s="626">
        <v>1504.5890746</v>
      </c>
      <c r="AG278" s="626">
        <v>1062.4445093</v>
      </c>
      <c r="AH278" s="625">
        <v>1.1368586979903868</v>
      </c>
      <c r="AI278" s="625">
        <v>0.23737468637903128</v>
      </c>
      <c r="AJ278" s="625">
        <v>0.36784329990250847</v>
      </c>
      <c r="AK278" s="625">
        <v>1.2739316239316239</v>
      </c>
      <c r="AL278" s="625">
        <v>1.5</v>
      </c>
      <c r="AM278" s="625">
        <v>1.1538461538461537</v>
      </c>
      <c r="AN278" s="625">
        <v>1.1363636363636365</v>
      </c>
      <c r="AO278" s="625">
        <v>1.2</v>
      </c>
      <c r="AP278" s="625">
        <v>1.0999999999999999</v>
      </c>
      <c r="AQ278" s="625">
        <v>1.1333333333333338</v>
      </c>
      <c r="AR278" s="625">
        <v>1.1329908675799087</v>
      </c>
      <c r="AS278" s="625">
        <v>1.4161577959311642</v>
      </c>
    </row>
    <row r="279">
      <c r="B279" s="623">
        <v>1257800</v>
      </c>
      <c r="C279" s="603" t="s">
        <v>79</v>
      </c>
      <c r="D279" s="0" t="s">
        <v>65</v>
      </c>
      <c r="E279" s="0" t="s">
        <v>71</v>
      </c>
      <c r="F279" s="625">
        <v>6.104673042100873</v>
      </c>
      <c r="G279" s="625">
        <v>1.5215616963409329</v>
      </c>
      <c r="H279" s="624">
        <v>7.1133302741264</v>
      </c>
      <c r="I279" s="624">
        <v>17.61329732015918</v>
      </c>
      <c r="J279" s="626">
        <v>1635.14</v>
      </c>
      <c r="K279" s="626">
        <v>1438.2966000000001</v>
      </c>
      <c r="L279" s="626">
        <v>801.4266</v>
      </c>
      <c r="M279" s="626">
        <v>3376.2092000000002</v>
      </c>
      <c r="N279" s="626">
        <v>267.02806</v>
      </c>
      <c r="O279" s="626">
        <v>725.92883999999992</v>
      </c>
      <c r="P279" s="626">
        <v>437.84928</v>
      </c>
      <c r="Q279" s="626">
        <v>343.6992</v>
      </c>
      <c r="R279" s="626">
        <v>1982.88</v>
      </c>
      <c r="S279" s="626">
        <v>1321.92</v>
      </c>
      <c r="T279" s="626">
        <v>2313.36</v>
      </c>
      <c r="U279" s="626">
        <v>2004.912</v>
      </c>
      <c r="V279" s="626">
        <v>3084.48</v>
      </c>
      <c r="W279" s="626">
        <v>2714.3424</v>
      </c>
      <c r="X279" s="626">
        <v>2961.1007999999997</v>
      </c>
      <c r="Y279" s="626">
        <v>2467.584</v>
      </c>
      <c r="Z279" s="626">
        <v>482.6743444</v>
      </c>
      <c r="AA279" s="626">
        <v>438.7948586</v>
      </c>
      <c r="AB279" s="626">
        <v>2356.6055251000002</v>
      </c>
      <c r="AC279" s="626">
        <v>2079.3578162</v>
      </c>
      <c r="AD279" s="626">
        <v>1822.23</v>
      </c>
      <c r="AE279" s="626">
        <v>1608.336</v>
      </c>
      <c r="AF279" s="626">
        <v>1641.3698995</v>
      </c>
      <c r="AG279" s="626">
        <v>1159.0303738</v>
      </c>
      <c r="AH279" s="625">
        <v>1.1368586979903865</v>
      </c>
      <c r="AI279" s="625">
        <v>0.23737468637903122</v>
      </c>
      <c r="AJ279" s="625">
        <v>0.36784329990250847</v>
      </c>
      <c r="AK279" s="625">
        <v>1.2739316239316239</v>
      </c>
      <c r="AL279" s="625">
        <v>1.5</v>
      </c>
      <c r="AM279" s="625">
        <v>1.1538461538461537</v>
      </c>
      <c r="AN279" s="625">
        <v>1.1363636363636365</v>
      </c>
      <c r="AO279" s="625">
        <v>1.2</v>
      </c>
      <c r="AP279" s="625">
        <v>1.0999999999999999</v>
      </c>
      <c r="AQ279" s="625">
        <v>1.1333333333333338</v>
      </c>
      <c r="AR279" s="625">
        <v>1.1329908675799087</v>
      </c>
      <c r="AS279" s="625">
        <v>1.4161577959311642</v>
      </c>
    </row>
    <row r="280">
      <c r="B280" s="623">
        <v>1300000</v>
      </c>
      <c r="C280" s="603" t="s">
        <v>77</v>
      </c>
      <c r="D280" s="0" t="s">
        <v>65</v>
      </c>
      <c r="E280" s="0" t="s">
        <v>71</v>
      </c>
      <c r="F280" s="625">
        <v>4.7969317412213339</v>
      </c>
      <c r="G280" s="625">
        <v>1.2086951146541911</v>
      </c>
      <c r="H280" s="624">
        <v>5.4006563283706708</v>
      </c>
      <c r="I280" s="624">
        <v>13.26356001452195</v>
      </c>
      <c r="J280" s="626">
        <v>1300</v>
      </c>
      <c r="K280" s="626">
        <v>1123.8741510999998</v>
      </c>
      <c r="L280" s="626">
        <v>631.61180110000009</v>
      </c>
      <c r="M280" s="626">
        <v>2666.6856833</v>
      </c>
      <c r="N280" s="626">
        <v>205.4062</v>
      </c>
      <c r="O280" s="626">
        <v>565.4588807</v>
      </c>
      <c r="P280" s="626">
        <v>380.8005248</v>
      </c>
      <c r="Q280" s="626">
        <v>299.242052</v>
      </c>
      <c r="R280" s="626">
        <v>1694.7266370000002</v>
      </c>
      <c r="S280" s="626">
        <v>1162.5370522</v>
      </c>
      <c r="T280" s="626">
        <v>2015.9458451</v>
      </c>
      <c r="U280" s="626">
        <v>1748.7607573</v>
      </c>
      <c r="V280" s="626">
        <v>2584.3702848999997</v>
      </c>
      <c r="W280" s="626">
        <v>2282.4417512</v>
      </c>
      <c r="X280" s="626">
        <v>2637.3229613999997</v>
      </c>
      <c r="Y280" s="626">
        <v>2206.5005625999997</v>
      </c>
      <c r="Z280" s="626">
        <v>420.1082375</v>
      </c>
      <c r="AA280" s="626">
        <v>380.7604779</v>
      </c>
      <c r="AB280" s="626">
        <v>2028.8239001</v>
      </c>
      <c r="AC280" s="626">
        <v>1788.8760752</v>
      </c>
      <c r="AD280" s="626">
        <v>1548.2534336</v>
      </c>
      <c r="AE280" s="626">
        <v>1362.4827742</v>
      </c>
      <c r="AF280" s="626">
        <v>1510.2037073</v>
      </c>
      <c r="AG280" s="626">
        <v>1069.1734918</v>
      </c>
      <c r="AH280" s="625">
        <v>1.1567131415272258</v>
      </c>
      <c r="AI280" s="625">
        <v>0.23685273637364315</v>
      </c>
      <c r="AJ280" s="625">
        <v>0.36325576804890486</v>
      </c>
      <c r="AK280" s="625">
        <v>1.2725501719706218</v>
      </c>
      <c r="AL280" s="625">
        <v>1.4577829014313086</v>
      </c>
      <c r="AM280" s="625">
        <v>1.1527853862920179</v>
      </c>
      <c r="AN280" s="625">
        <v>1.1322831277350045</v>
      </c>
      <c r="AO280" s="625">
        <v>1.1952514339469207</v>
      </c>
      <c r="AP280" s="625">
        <v>1.1033399260096626</v>
      </c>
      <c r="AQ280" s="625">
        <v>1.1341332852603934</v>
      </c>
      <c r="AR280" s="625">
        <v>1.1363471619147385</v>
      </c>
      <c r="AS280" s="625">
        <v>1.4124963991783763</v>
      </c>
    </row>
    <row r="281">
      <c r="B281" s="623">
        <v>1300000</v>
      </c>
      <c r="C281" s="603" t="s">
        <v>78</v>
      </c>
      <c r="D281" s="0" t="s">
        <v>65</v>
      </c>
      <c r="E281" s="0" t="s">
        <v>71</v>
      </c>
      <c r="F281" s="625">
        <v>5.5164715024045323</v>
      </c>
      <c r="G281" s="625">
        <v>1.3899993818523195</v>
      </c>
      <c r="H281" s="624">
        <v>6.2107547776262706</v>
      </c>
      <c r="I281" s="624">
        <v>15.253094016700239</v>
      </c>
      <c r="J281" s="626">
        <v>1560</v>
      </c>
      <c r="K281" s="626">
        <v>1348.6489813</v>
      </c>
      <c r="L281" s="626">
        <v>757.9341614</v>
      </c>
      <c r="M281" s="626">
        <v>3200.0228199999997</v>
      </c>
      <c r="N281" s="626">
        <v>246.48744</v>
      </c>
      <c r="O281" s="626">
        <v>678.5506568</v>
      </c>
      <c r="P281" s="626">
        <v>418.8805773</v>
      </c>
      <c r="Q281" s="626">
        <v>329.1662572</v>
      </c>
      <c r="R281" s="626">
        <v>1864.1993007</v>
      </c>
      <c r="S281" s="626">
        <v>1278.7907574</v>
      </c>
      <c r="T281" s="626">
        <v>2217.5404297</v>
      </c>
      <c r="U281" s="626">
        <v>1923.636833</v>
      </c>
      <c r="V281" s="626">
        <v>2842.8073133999997</v>
      </c>
      <c r="W281" s="626">
        <v>2510.6859263</v>
      </c>
      <c r="X281" s="626">
        <v>2901.0552576</v>
      </c>
      <c r="Y281" s="626">
        <v>2427.1506188</v>
      </c>
      <c r="Z281" s="626">
        <v>462.1190613</v>
      </c>
      <c r="AA281" s="626">
        <v>418.8365257</v>
      </c>
      <c r="AB281" s="626">
        <v>2231.7062901</v>
      </c>
      <c r="AC281" s="626">
        <v>1967.7636827000001</v>
      </c>
      <c r="AD281" s="626">
        <v>1703.078777</v>
      </c>
      <c r="AE281" s="626">
        <v>1498.7310516</v>
      </c>
      <c r="AF281" s="626">
        <v>1661.224078</v>
      </c>
      <c r="AG281" s="626">
        <v>1176.090841</v>
      </c>
      <c r="AH281" s="625">
        <v>1.156713141527226</v>
      </c>
      <c r="AI281" s="625">
        <v>0.23685273637364315</v>
      </c>
      <c r="AJ281" s="625">
        <v>0.3632557680489048</v>
      </c>
      <c r="AK281" s="625">
        <v>1.2725501719706218</v>
      </c>
      <c r="AL281" s="625">
        <v>1.4577829014313084</v>
      </c>
      <c r="AM281" s="625">
        <v>1.1527853862920179</v>
      </c>
      <c r="AN281" s="625">
        <v>1.1322831277350045</v>
      </c>
      <c r="AO281" s="625">
        <v>1.1952514339469209</v>
      </c>
      <c r="AP281" s="625">
        <v>1.1033399260096626</v>
      </c>
      <c r="AQ281" s="625">
        <v>1.1341332852603934</v>
      </c>
      <c r="AR281" s="625">
        <v>1.1363471619147387</v>
      </c>
      <c r="AS281" s="625">
        <v>1.4124963991783763</v>
      </c>
    </row>
    <row r="282">
      <c r="B282" s="623">
        <v>1300000</v>
      </c>
      <c r="C282" s="603" t="s">
        <v>79</v>
      </c>
      <c r="D282" s="0" t="s">
        <v>65</v>
      </c>
      <c r="E282" s="0" t="s">
        <v>71</v>
      </c>
      <c r="F282" s="625">
        <v>6.2360112635877343</v>
      </c>
      <c r="G282" s="625">
        <v>1.5713036490504486</v>
      </c>
      <c r="H282" s="624">
        <v>7.0208532268818722</v>
      </c>
      <c r="I282" s="624">
        <v>17.242628018878534</v>
      </c>
      <c r="J282" s="626">
        <v>1690</v>
      </c>
      <c r="K282" s="626">
        <v>1461.0363964</v>
      </c>
      <c r="L282" s="626">
        <v>821.0953415</v>
      </c>
      <c r="M282" s="626">
        <v>3466.6913883</v>
      </c>
      <c r="N282" s="626">
        <v>267.02806</v>
      </c>
      <c r="O282" s="626">
        <v>735.0965449</v>
      </c>
      <c r="P282" s="626">
        <v>456.96062969999997</v>
      </c>
      <c r="Q282" s="626">
        <v>359.09046240000004</v>
      </c>
      <c r="R282" s="626">
        <v>2033.6719644</v>
      </c>
      <c r="S282" s="626">
        <v>1395.0444625999999</v>
      </c>
      <c r="T282" s="626">
        <v>2419.1350142</v>
      </c>
      <c r="U282" s="626">
        <v>2098.5129088</v>
      </c>
      <c r="V282" s="626">
        <v>3101.2443419</v>
      </c>
      <c r="W282" s="626">
        <v>2738.9301014000002</v>
      </c>
      <c r="X282" s="626">
        <v>3164.7875537</v>
      </c>
      <c r="Y282" s="626">
        <v>2647.8006751000003</v>
      </c>
      <c r="Z282" s="626">
        <v>504.1298851</v>
      </c>
      <c r="AA282" s="626">
        <v>456.9125735</v>
      </c>
      <c r="AB282" s="626">
        <v>2434.5886801</v>
      </c>
      <c r="AC282" s="626">
        <v>2146.6512902</v>
      </c>
      <c r="AD282" s="626">
        <v>1857.9041203000002</v>
      </c>
      <c r="AE282" s="626">
        <v>1634.979329</v>
      </c>
      <c r="AF282" s="626">
        <v>1812.2444487</v>
      </c>
      <c r="AG282" s="626">
        <v>1283.0081902000002</v>
      </c>
      <c r="AH282" s="625">
        <v>1.1567131415272258</v>
      </c>
      <c r="AI282" s="625">
        <v>0.23685273637364313</v>
      </c>
      <c r="AJ282" s="625">
        <v>0.36325576804890486</v>
      </c>
      <c r="AK282" s="625">
        <v>1.2725501719706218</v>
      </c>
      <c r="AL282" s="625">
        <v>1.4577829014313084</v>
      </c>
      <c r="AM282" s="625">
        <v>1.1527853862920181</v>
      </c>
      <c r="AN282" s="625">
        <v>1.1322831277350043</v>
      </c>
      <c r="AO282" s="625">
        <v>1.1952514339469207</v>
      </c>
      <c r="AP282" s="625">
        <v>1.1033399260096626</v>
      </c>
      <c r="AQ282" s="625">
        <v>1.1341332852603931</v>
      </c>
      <c r="AR282" s="625">
        <v>1.1363471619147387</v>
      </c>
      <c r="AS282" s="625">
        <v>1.4124963991783763</v>
      </c>
    </row>
    <row r="283">
      <c r="B283" s="623">
        <v>1428221</v>
      </c>
      <c r="C283" s="603" t="s">
        <v>77</v>
      </c>
      <c r="D283" s="0" t="s">
        <v>65</v>
      </c>
      <c r="E283" s="0" t="s">
        <v>71</v>
      </c>
      <c r="F283" s="625">
        <v>5.0777914951768546</v>
      </c>
      <c r="G283" s="625">
        <v>1.3249540085361968</v>
      </c>
      <c r="H283" s="624">
        <v>5.2152841454189423</v>
      </c>
      <c r="I283" s="624">
        <v>12.528088256839338</v>
      </c>
      <c r="J283" s="626">
        <v>1428.221</v>
      </c>
      <c r="K283" s="626">
        <v>1177.0225185</v>
      </c>
      <c r="L283" s="626">
        <v>677.5823754</v>
      </c>
      <c r="M283" s="626">
        <v>2878.1642956</v>
      </c>
      <c r="N283" s="626">
        <v>205.4062</v>
      </c>
      <c r="O283" s="626">
        <v>586.8860095</v>
      </c>
      <c r="P283" s="626">
        <v>429.19065850000004</v>
      </c>
      <c r="Q283" s="626">
        <v>338.21288660000005</v>
      </c>
      <c r="R283" s="626">
        <v>1823.3324123</v>
      </c>
      <c r="S283" s="626">
        <v>1347.6889424</v>
      </c>
      <c r="T283" s="626">
        <v>2283.7692672000003</v>
      </c>
      <c r="U283" s="626">
        <v>1985.7592194000001</v>
      </c>
      <c r="V283" s="626">
        <v>2626.8177706</v>
      </c>
      <c r="W283" s="626">
        <v>2344.6980636</v>
      </c>
      <c r="X283" s="626">
        <v>3153.0599133</v>
      </c>
      <c r="Y283" s="626">
        <v>2662.8110343999997</v>
      </c>
      <c r="Z283" s="626">
        <v>474.4338868</v>
      </c>
      <c r="AA283" s="626">
        <v>426.63471830000003</v>
      </c>
      <c r="AB283" s="626">
        <v>2226.2780493</v>
      </c>
      <c r="AC283" s="626">
        <v>1959.2638422</v>
      </c>
      <c r="AD283" s="626">
        <v>1638.5806727</v>
      </c>
      <c r="AE283" s="626">
        <v>1429.9439569</v>
      </c>
      <c r="AF283" s="626">
        <v>1942.8598204999998</v>
      </c>
      <c r="AG283" s="626">
        <v>1383.0865959999999</v>
      </c>
      <c r="AH283" s="625">
        <v>1.2134185858785853</v>
      </c>
      <c r="AI283" s="625">
        <v>0.23542171529655226</v>
      </c>
      <c r="AJ283" s="625">
        <v>0.34999334909219965</v>
      </c>
      <c r="AK283" s="625">
        <v>1.2689955811086267</v>
      </c>
      <c r="AL283" s="625">
        <v>1.3529326796726353</v>
      </c>
      <c r="AM283" s="625">
        <v>1.150073606514638</v>
      </c>
      <c r="AN283" s="625">
        <v>1.1203224037287429</v>
      </c>
      <c r="AO283" s="625">
        <v>1.1841095265729047</v>
      </c>
      <c r="AP283" s="625">
        <v>1.1120376905098832</v>
      </c>
      <c r="AQ283" s="625">
        <v>1.1362829248757911</v>
      </c>
      <c r="AR283" s="625">
        <v>1.1459055193912671</v>
      </c>
      <c r="AS283" s="625">
        <v>1.4047275319460562</v>
      </c>
    </row>
    <row r="284">
      <c r="B284" s="623">
        <v>1428221</v>
      </c>
      <c r="C284" s="603" t="s">
        <v>78</v>
      </c>
      <c r="D284" s="0" t="s">
        <v>65</v>
      </c>
      <c r="E284" s="0" t="s">
        <v>71</v>
      </c>
      <c r="F284" s="625">
        <v>5.8394602194533816</v>
      </c>
      <c r="G284" s="625">
        <v>1.5236971098166261</v>
      </c>
      <c r="H284" s="624">
        <v>5.9975767672317826</v>
      </c>
      <c r="I284" s="624">
        <v>14.407301495365235</v>
      </c>
      <c r="J284" s="626">
        <v>1713.8652</v>
      </c>
      <c r="K284" s="626">
        <v>1412.4270223</v>
      </c>
      <c r="L284" s="626">
        <v>813.0988504</v>
      </c>
      <c r="M284" s="626">
        <v>3453.7971546999997</v>
      </c>
      <c r="N284" s="626">
        <v>246.48744</v>
      </c>
      <c r="O284" s="626">
        <v>704.2632114</v>
      </c>
      <c r="P284" s="626">
        <v>472.1097244</v>
      </c>
      <c r="Q284" s="626">
        <v>372.0341752</v>
      </c>
      <c r="R284" s="626">
        <v>2005.6656535</v>
      </c>
      <c r="S284" s="626">
        <v>1482.4578367000001</v>
      </c>
      <c r="T284" s="626">
        <v>2512.1461938999996</v>
      </c>
      <c r="U284" s="626">
        <v>2184.3351414</v>
      </c>
      <c r="V284" s="626">
        <v>2889.4995477</v>
      </c>
      <c r="W284" s="626">
        <v>2579.16787</v>
      </c>
      <c r="X284" s="626">
        <v>3468.3659046999996</v>
      </c>
      <c r="Y284" s="626">
        <v>2929.0921379</v>
      </c>
      <c r="Z284" s="626">
        <v>521.8772755</v>
      </c>
      <c r="AA284" s="626">
        <v>469.2981901</v>
      </c>
      <c r="AB284" s="626">
        <v>2448.9058542</v>
      </c>
      <c r="AC284" s="626">
        <v>2155.1902265</v>
      </c>
      <c r="AD284" s="626">
        <v>1802.4387399</v>
      </c>
      <c r="AE284" s="626">
        <v>1572.9383526000001</v>
      </c>
      <c r="AF284" s="626">
        <v>2137.1458025</v>
      </c>
      <c r="AG284" s="626">
        <v>1521.3952556</v>
      </c>
      <c r="AH284" s="625">
        <v>1.2134185858785853</v>
      </c>
      <c r="AI284" s="625">
        <v>0.23542171529655223</v>
      </c>
      <c r="AJ284" s="625">
        <v>0.34999334909219959</v>
      </c>
      <c r="AK284" s="625">
        <v>1.2689955811086264</v>
      </c>
      <c r="AL284" s="625">
        <v>1.3529326796726353</v>
      </c>
      <c r="AM284" s="625">
        <v>1.1500736065146382</v>
      </c>
      <c r="AN284" s="625">
        <v>1.1203224037287429</v>
      </c>
      <c r="AO284" s="625">
        <v>1.1841095265729047</v>
      </c>
      <c r="AP284" s="625">
        <v>1.1120376905098832</v>
      </c>
      <c r="AQ284" s="625">
        <v>1.1362829248757911</v>
      </c>
      <c r="AR284" s="625">
        <v>1.1459055193912671</v>
      </c>
      <c r="AS284" s="625">
        <v>1.4047275319460562</v>
      </c>
    </row>
    <row r="285">
      <c r="B285" s="623">
        <v>1428221</v>
      </c>
      <c r="C285" s="603" t="s">
        <v>79</v>
      </c>
      <c r="D285" s="0" t="s">
        <v>65</v>
      </c>
      <c r="E285" s="0" t="s">
        <v>71</v>
      </c>
      <c r="F285" s="625">
        <v>6.6011289437299112</v>
      </c>
      <c r="G285" s="625">
        <v>1.7224402110970558</v>
      </c>
      <c r="H285" s="624">
        <v>6.7798693890446247</v>
      </c>
      <c r="I285" s="624">
        <v>16.286514733891138</v>
      </c>
      <c r="J285" s="626">
        <v>1856.6873</v>
      </c>
      <c r="K285" s="626">
        <v>1530.1292741</v>
      </c>
      <c r="L285" s="626">
        <v>880.857088</v>
      </c>
      <c r="M285" s="626">
        <v>3741.6135843</v>
      </c>
      <c r="N285" s="626">
        <v>267.02806</v>
      </c>
      <c r="O285" s="626">
        <v>762.9518123</v>
      </c>
      <c r="P285" s="626">
        <v>515.0287902</v>
      </c>
      <c r="Q285" s="626">
        <v>405.85546389999996</v>
      </c>
      <c r="R285" s="626">
        <v>2187.9988947</v>
      </c>
      <c r="S285" s="626">
        <v>1617.2267309000001</v>
      </c>
      <c r="T285" s="626">
        <v>2740.5231206</v>
      </c>
      <c r="U285" s="626">
        <v>2382.9110633</v>
      </c>
      <c r="V285" s="626">
        <v>3152.1813248</v>
      </c>
      <c r="W285" s="626">
        <v>2813.6376763</v>
      </c>
      <c r="X285" s="626">
        <v>3783.6718960000003</v>
      </c>
      <c r="Y285" s="626">
        <v>3195.3732413</v>
      </c>
      <c r="Z285" s="626">
        <v>569.3206641</v>
      </c>
      <c r="AA285" s="626">
        <v>511.9616619</v>
      </c>
      <c r="AB285" s="626">
        <v>2671.5336591</v>
      </c>
      <c r="AC285" s="626">
        <v>2351.1166107</v>
      </c>
      <c r="AD285" s="626">
        <v>1966.2968071999999</v>
      </c>
      <c r="AE285" s="626">
        <v>1715.9327483000002</v>
      </c>
      <c r="AF285" s="626">
        <v>2331.4317845</v>
      </c>
      <c r="AG285" s="626">
        <v>1659.7039152</v>
      </c>
      <c r="AH285" s="625">
        <v>1.2134185858785853</v>
      </c>
      <c r="AI285" s="625">
        <v>0.23542171529655226</v>
      </c>
      <c r="AJ285" s="625">
        <v>0.34999334909219965</v>
      </c>
      <c r="AK285" s="625">
        <v>1.2689955811086267</v>
      </c>
      <c r="AL285" s="625">
        <v>1.3529326796726353</v>
      </c>
      <c r="AM285" s="625">
        <v>1.150073606514638</v>
      </c>
      <c r="AN285" s="625">
        <v>1.1203224037287429</v>
      </c>
      <c r="AO285" s="625">
        <v>1.1841095265729047</v>
      </c>
      <c r="AP285" s="625">
        <v>1.1120376905098832</v>
      </c>
      <c r="AQ285" s="625">
        <v>1.1362829248757913</v>
      </c>
      <c r="AR285" s="625">
        <v>1.1459055193912671</v>
      </c>
      <c r="AS285" s="625">
        <v>1.4047275319460559</v>
      </c>
    </row>
    <row r="286">
      <c r="B286" s="623">
        <v>1500000</v>
      </c>
      <c r="C286" s="603" t="s">
        <v>77</v>
      </c>
      <c r="D286" s="0" t="s">
        <v>65</v>
      </c>
      <c r="E286" s="0" t="s">
        <v>71</v>
      </c>
      <c r="F286" s="625">
        <v>5.2198674832010941</v>
      </c>
      <c r="G286" s="625">
        <v>1.3900365390417808</v>
      </c>
      <c r="H286" s="624">
        <v>5.127867459244154</v>
      </c>
      <c r="I286" s="624">
        <v>12.184990320093673</v>
      </c>
      <c r="J286" s="626">
        <v>1500</v>
      </c>
      <c r="K286" s="626">
        <v>1206.7753411</v>
      </c>
      <c r="L286" s="626">
        <v>703.3170198</v>
      </c>
      <c r="M286" s="626">
        <v>2996.5514811</v>
      </c>
      <c r="N286" s="626">
        <v>205.4062</v>
      </c>
      <c r="O286" s="626">
        <v>598.881064</v>
      </c>
      <c r="P286" s="626">
        <v>456.2797891</v>
      </c>
      <c r="Q286" s="626">
        <v>360.02902850000004</v>
      </c>
      <c r="R286" s="626">
        <v>1895.3268120999999</v>
      </c>
      <c r="S286" s="626">
        <v>1451.3382474</v>
      </c>
      <c r="T286" s="626">
        <v>2433.6986656999998</v>
      </c>
      <c r="U286" s="626">
        <v>2118.4325929</v>
      </c>
      <c r="V286" s="626">
        <v>2650.5801659</v>
      </c>
      <c r="W286" s="626">
        <v>2379.5495766</v>
      </c>
      <c r="X286" s="626">
        <v>3441.7730155000004</v>
      </c>
      <c r="Y286" s="626">
        <v>2918.2567833</v>
      </c>
      <c r="Z286" s="626">
        <v>504.8457599</v>
      </c>
      <c r="AA286" s="626">
        <v>452.31543430000005</v>
      </c>
      <c r="AB286" s="626">
        <v>2336.8142436000003</v>
      </c>
      <c r="AC286" s="626">
        <v>2054.6480892</v>
      </c>
      <c r="AD286" s="626">
        <v>1689.1464839999999</v>
      </c>
      <c r="AE286" s="626">
        <v>1467.7091922</v>
      </c>
      <c r="AF286" s="626">
        <v>2185.0636962000003</v>
      </c>
      <c r="AG286" s="626">
        <v>1558.8173164</v>
      </c>
      <c r="AH286" s="625">
        <v>1.2429819775523276</v>
      </c>
      <c r="AI286" s="625">
        <v>0.23470880586492648</v>
      </c>
      <c r="AJ286" s="625">
        <v>0.34298329393982224</v>
      </c>
      <c r="AK286" s="625">
        <v>1.2673416669323021</v>
      </c>
      <c r="AL286" s="625">
        <v>1.3059166707217675</v>
      </c>
      <c r="AM286" s="625">
        <v>1.1488204410694558</v>
      </c>
      <c r="AN286" s="625">
        <v>1.1138999548129411</v>
      </c>
      <c r="AO286" s="625">
        <v>1.1793934773804702</v>
      </c>
      <c r="AP286" s="625">
        <v>1.1161364868939359</v>
      </c>
      <c r="AQ286" s="625">
        <v>1.1373306484315164</v>
      </c>
      <c r="AR286" s="625">
        <v>1.1508727293642391</v>
      </c>
      <c r="AS286" s="625">
        <v>1.4017445618159139</v>
      </c>
    </row>
    <row r="287">
      <c r="B287" s="623">
        <v>1500000</v>
      </c>
      <c r="C287" s="603" t="s">
        <v>78</v>
      </c>
      <c r="D287" s="0" t="s">
        <v>65</v>
      </c>
      <c r="E287" s="0" t="s">
        <v>71</v>
      </c>
      <c r="F287" s="625">
        <v>6.0028476056812581</v>
      </c>
      <c r="G287" s="625">
        <v>1.5985420198980476</v>
      </c>
      <c r="H287" s="624">
        <v>5.8970475781307758</v>
      </c>
      <c r="I287" s="624">
        <v>14.012738868107721</v>
      </c>
      <c r="J287" s="626">
        <v>1800</v>
      </c>
      <c r="K287" s="626">
        <v>1448.1304094</v>
      </c>
      <c r="L287" s="626">
        <v>843.9804238</v>
      </c>
      <c r="M287" s="626">
        <v>3595.8617773</v>
      </c>
      <c r="N287" s="626">
        <v>246.48744</v>
      </c>
      <c r="O287" s="626">
        <v>718.6572768</v>
      </c>
      <c r="P287" s="626">
        <v>501.907768</v>
      </c>
      <c r="Q287" s="626">
        <v>396.0319313</v>
      </c>
      <c r="R287" s="626">
        <v>2084.8594933</v>
      </c>
      <c r="S287" s="626">
        <v>1596.4720720999999</v>
      </c>
      <c r="T287" s="626">
        <v>2677.0685323000002</v>
      </c>
      <c r="U287" s="626">
        <v>2330.2758520999996</v>
      </c>
      <c r="V287" s="626">
        <v>2915.6381825000003</v>
      </c>
      <c r="W287" s="626">
        <v>2617.5045343</v>
      </c>
      <c r="X287" s="626">
        <v>3785.9503171</v>
      </c>
      <c r="Y287" s="626">
        <v>3210.0824616</v>
      </c>
      <c r="Z287" s="626">
        <v>555.33033580000006</v>
      </c>
      <c r="AA287" s="626">
        <v>497.5469778</v>
      </c>
      <c r="AB287" s="626">
        <v>2570.495668</v>
      </c>
      <c r="AC287" s="626">
        <v>2260.1128982</v>
      </c>
      <c r="AD287" s="626">
        <v>1858.0611322999998</v>
      </c>
      <c r="AE287" s="626">
        <v>1614.4801114</v>
      </c>
      <c r="AF287" s="626">
        <v>2403.5700658</v>
      </c>
      <c r="AG287" s="626">
        <v>1714.6990481</v>
      </c>
      <c r="AH287" s="625">
        <v>1.2429819775523276</v>
      </c>
      <c r="AI287" s="625">
        <v>0.23470880586492646</v>
      </c>
      <c r="AJ287" s="625">
        <v>0.34298329393982224</v>
      </c>
      <c r="AK287" s="625">
        <v>1.2673416669323021</v>
      </c>
      <c r="AL287" s="625">
        <v>1.3059166707217673</v>
      </c>
      <c r="AM287" s="625">
        <v>1.1488204410694554</v>
      </c>
      <c r="AN287" s="625">
        <v>1.1138999548129411</v>
      </c>
      <c r="AO287" s="625">
        <v>1.1793934773804702</v>
      </c>
      <c r="AP287" s="625">
        <v>1.1161364868939356</v>
      </c>
      <c r="AQ287" s="625">
        <v>1.1373306484315164</v>
      </c>
      <c r="AR287" s="625">
        <v>1.1508727293642389</v>
      </c>
      <c r="AS287" s="625">
        <v>1.4017445618159139</v>
      </c>
    </row>
    <row r="288" s="348" customFormat="1">
      <c r="B288" s="623">
        <v>1500000</v>
      </c>
      <c r="C288" s="348" t="s">
        <v>79</v>
      </c>
      <c r="D288" s="348" t="s">
        <v>65</v>
      </c>
      <c r="E288" s="348" t="s">
        <v>71</v>
      </c>
      <c r="F288" s="625">
        <v>6.785827728161423</v>
      </c>
      <c r="G288" s="625">
        <v>1.807047500754315</v>
      </c>
      <c r="H288" s="624">
        <v>6.6662276970174</v>
      </c>
      <c r="I288" s="624">
        <v>15.840487416121775</v>
      </c>
      <c r="J288" s="626">
        <v>1950</v>
      </c>
      <c r="K288" s="626">
        <v>1568.8079435</v>
      </c>
      <c r="L288" s="626">
        <v>914.3121258</v>
      </c>
      <c r="M288" s="626">
        <v>3895.5169254</v>
      </c>
      <c r="N288" s="626">
        <v>267.02806</v>
      </c>
      <c r="O288" s="626">
        <v>778.54538320000006</v>
      </c>
      <c r="P288" s="626">
        <v>547.5357469</v>
      </c>
      <c r="Q288" s="626">
        <v>432.0348342</v>
      </c>
      <c r="R288" s="626">
        <v>2274.3921745000002</v>
      </c>
      <c r="S288" s="626">
        <v>1741.6058969</v>
      </c>
      <c r="T288" s="626">
        <v>2920.4383988</v>
      </c>
      <c r="U288" s="626">
        <v>2542.1191114</v>
      </c>
      <c r="V288" s="626">
        <v>3180.6961991</v>
      </c>
      <c r="W288" s="626">
        <v>2855.459492</v>
      </c>
      <c r="X288" s="626">
        <v>4130.1276186000005</v>
      </c>
      <c r="Y288" s="626">
        <v>3501.9081398999997</v>
      </c>
      <c r="Z288" s="626">
        <v>605.8149118</v>
      </c>
      <c r="AA288" s="626">
        <v>542.7785212</v>
      </c>
      <c r="AB288" s="626">
        <v>2804.1770923999998</v>
      </c>
      <c r="AC288" s="626">
        <v>2465.5777071</v>
      </c>
      <c r="AD288" s="626">
        <v>2026.9757807</v>
      </c>
      <c r="AE288" s="626">
        <v>1761.2510307</v>
      </c>
      <c r="AF288" s="626">
        <v>2622.0764354</v>
      </c>
      <c r="AG288" s="626">
        <v>1870.5807797</v>
      </c>
      <c r="AH288" s="625">
        <v>1.2429819775523274</v>
      </c>
      <c r="AI288" s="625">
        <v>0.23470880586492648</v>
      </c>
      <c r="AJ288" s="625">
        <v>0.34298329393982219</v>
      </c>
      <c r="AK288" s="625">
        <v>1.2673416669323021</v>
      </c>
      <c r="AL288" s="625">
        <v>1.3059166707217675</v>
      </c>
      <c r="AM288" s="625">
        <v>1.1488204410694556</v>
      </c>
      <c r="AN288" s="625">
        <v>1.1138999548129411</v>
      </c>
      <c r="AO288" s="625">
        <v>1.1793934773804704</v>
      </c>
      <c r="AP288" s="625">
        <v>1.1161364868939356</v>
      </c>
      <c r="AQ288" s="625">
        <v>1.1373306484315162</v>
      </c>
      <c r="AR288" s="625">
        <v>1.1508727293642389</v>
      </c>
      <c r="AS288" s="625">
        <v>1.4017445618159137</v>
      </c>
    </row>
    <row r="289">
      <c r="B289" s="623">
        <v>1800000</v>
      </c>
      <c r="C289" s="603" t="s">
        <v>77</v>
      </c>
      <c r="D289" s="0" t="s">
        <v>65</v>
      </c>
      <c r="E289" s="0" t="s">
        <v>71</v>
      </c>
      <c r="F289" s="625">
        <v>5.7207370234948245</v>
      </c>
      <c r="G289" s="625">
        <v>1.6620486756231647</v>
      </c>
      <c r="H289" s="624">
        <v>4.84908627312601</v>
      </c>
      <c r="I289" s="624">
        <v>11.10644492320972</v>
      </c>
      <c r="J289" s="626">
        <v>1800</v>
      </c>
      <c r="K289" s="626">
        <v>1331.1271262</v>
      </c>
      <c r="L289" s="626">
        <v>810.87484790000008</v>
      </c>
      <c r="M289" s="626">
        <v>3491.3501776999997</v>
      </c>
      <c r="N289" s="626">
        <v>205.4062</v>
      </c>
      <c r="O289" s="626">
        <v>649.0143389</v>
      </c>
      <c r="P289" s="626">
        <v>569.49868559999993</v>
      </c>
      <c r="Q289" s="626">
        <v>451.20949320000005</v>
      </c>
      <c r="R289" s="626">
        <v>2196.2270749</v>
      </c>
      <c r="S289" s="626">
        <v>1884.5400402</v>
      </c>
      <c r="T289" s="626">
        <v>3060.3278966000003</v>
      </c>
      <c r="U289" s="626">
        <v>2672.9403462</v>
      </c>
      <c r="V289" s="626">
        <v>2749.8949874</v>
      </c>
      <c r="W289" s="626">
        <v>2525.2113148</v>
      </c>
      <c r="X289" s="626">
        <v>4648.4480966</v>
      </c>
      <c r="Y289" s="626">
        <v>3985.8911143</v>
      </c>
      <c r="Z289" s="626">
        <v>631.9520433</v>
      </c>
      <c r="AA289" s="626">
        <v>559.6478689999999</v>
      </c>
      <c r="AB289" s="626">
        <v>2798.799759</v>
      </c>
      <c r="AC289" s="626">
        <v>2453.3061103</v>
      </c>
      <c r="AD289" s="626">
        <v>1900.4860595</v>
      </c>
      <c r="AE289" s="626">
        <v>1625.5488192</v>
      </c>
      <c r="AF289" s="626">
        <v>3197.3536795</v>
      </c>
      <c r="AG289" s="626">
        <v>2293.2830534</v>
      </c>
      <c r="AH289" s="625">
        <v>1.3522374869749581</v>
      </c>
      <c r="AI289" s="625">
        <v>0.23225251166525782</v>
      </c>
      <c r="AJ289" s="625">
        <v>0.31648946360941621</v>
      </c>
      <c r="AK289" s="625">
        <v>1.2621602475718943</v>
      </c>
      <c r="AL289" s="625">
        <v>1.165391569308726</v>
      </c>
      <c r="AM289" s="625">
        <v>1.1449293662349909</v>
      </c>
      <c r="AN289" s="625">
        <v>1.0889761863643004</v>
      </c>
      <c r="AO289" s="625">
        <v>1.1662255599381068</v>
      </c>
      <c r="AP289" s="625">
        <v>1.12919583610739</v>
      </c>
      <c r="AQ289" s="625">
        <v>1.1408277781555873</v>
      </c>
      <c r="AR289" s="625">
        <v>1.1691350250283408</v>
      </c>
      <c r="AS289" s="625">
        <v>1.3942254859571224</v>
      </c>
    </row>
    <row r="290">
      <c r="B290" s="623">
        <v>1800000</v>
      </c>
      <c r="C290" s="603" t="s">
        <v>78</v>
      </c>
      <c r="D290" s="0" t="s">
        <v>65</v>
      </c>
      <c r="E290" s="0" t="s">
        <v>71</v>
      </c>
      <c r="F290" s="625">
        <v>6.5788475770190473</v>
      </c>
      <c r="G290" s="625">
        <v>1.9113559769666393</v>
      </c>
      <c r="H290" s="624">
        <v>5.57644921409491</v>
      </c>
      <c r="I290" s="624">
        <v>12.772411661691175</v>
      </c>
      <c r="J290" s="626">
        <v>2160</v>
      </c>
      <c r="K290" s="626">
        <v>1597.3525515000001</v>
      </c>
      <c r="L290" s="626">
        <v>973.0498174</v>
      </c>
      <c r="M290" s="626">
        <v>4189.6202132</v>
      </c>
      <c r="N290" s="626">
        <v>246.48744</v>
      </c>
      <c r="O290" s="626">
        <v>778.81720669999993</v>
      </c>
      <c r="P290" s="626">
        <v>626.4485542</v>
      </c>
      <c r="Q290" s="626">
        <v>496.3304425</v>
      </c>
      <c r="R290" s="626">
        <v>2415.8497823000002</v>
      </c>
      <c r="S290" s="626">
        <v>2072.9940441999997</v>
      </c>
      <c r="T290" s="626">
        <v>3366.3606861999997</v>
      </c>
      <c r="U290" s="626">
        <v>2940.2343808</v>
      </c>
      <c r="V290" s="626">
        <v>3024.8844861</v>
      </c>
      <c r="W290" s="626">
        <v>2777.7324463</v>
      </c>
      <c r="X290" s="626">
        <v>5113.2929063</v>
      </c>
      <c r="Y290" s="626">
        <v>4384.4802257</v>
      </c>
      <c r="Z290" s="626">
        <v>695.1472476</v>
      </c>
      <c r="AA290" s="626">
        <v>615.6126559</v>
      </c>
      <c r="AB290" s="626">
        <v>3078.6797349</v>
      </c>
      <c r="AC290" s="626">
        <v>2698.6367214</v>
      </c>
      <c r="AD290" s="626">
        <v>2090.5346654</v>
      </c>
      <c r="AE290" s="626">
        <v>1788.1037010999999</v>
      </c>
      <c r="AF290" s="626">
        <v>3517.0890474999997</v>
      </c>
      <c r="AG290" s="626">
        <v>2522.6113587000004</v>
      </c>
      <c r="AH290" s="625">
        <v>1.3522374869749581</v>
      </c>
      <c r="AI290" s="625">
        <v>0.23225251166525782</v>
      </c>
      <c r="AJ290" s="625">
        <v>0.31648946360941621</v>
      </c>
      <c r="AK290" s="625">
        <v>1.2621602475718943</v>
      </c>
      <c r="AL290" s="625">
        <v>1.1653915693087262</v>
      </c>
      <c r="AM290" s="625">
        <v>1.1449293662349906</v>
      </c>
      <c r="AN290" s="625">
        <v>1.0889761863643006</v>
      </c>
      <c r="AO290" s="625">
        <v>1.1662255599381071</v>
      </c>
      <c r="AP290" s="625">
        <v>1.12919583610739</v>
      </c>
      <c r="AQ290" s="625">
        <v>1.1408277781555873</v>
      </c>
      <c r="AR290" s="625">
        <v>1.1691350250283408</v>
      </c>
      <c r="AS290" s="625">
        <v>1.3942254859571224</v>
      </c>
    </row>
    <row r="291">
      <c r="B291" s="623">
        <v>1800000</v>
      </c>
      <c r="C291" s="603" t="s">
        <v>79</v>
      </c>
      <c r="D291" s="0" t="s">
        <v>65</v>
      </c>
      <c r="E291" s="0" t="s">
        <v>71</v>
      </c>
      <c r="F291" s="625">
        <v>7.4369581305432719</v>
      </c>
      <c r="G291" s="625">
        <v>2.1606632783101145</v>
      </c>
      <c r="H291" s="624">
        <v>6.3038121550638131</v>
      </c>
      <c r="I291" s="624">
        <v>14.438378400172637</v>
      </c>
      <c r="J291" s="626">
        <v>2340</v>
      </c>
      <c r="K291" s="626">
        <v>1730.4652641</v>
      </c>
      <c r="L291" s="626">
        <v>1054.1373022</v>
      </c>
      <c r="M291" s="626">
        <v>4538.755231</v>
      </c>
      <c r="N291" s="626">
        <v>267.02806</v>
      </c>
      <c r="O291" s="626">
        <v>843.71864060000007</v>
      </c>
      <c r="P291" s="626">
        <v>683.3984227</v>
      </c>
      <c r="Q291" s="626">
        <v>541.4513918</v>
      </c>
      <c r="R291" s="626">
        <v>2635.4724898</v>
      </c>
      <c r="S291" s="626">
        <v>2261.4480482</v>
      </c>
      <c r="T291" s="626">
        <v>3672.3934759</v>
      </c>
      <c r="U291" s="626">
        <v>3207.5284153999996</v>
      </c>
      <c r="V291" s="626">
        <v>3299.8739849</v>
      </c>
      <c r="W291" s="626">
        <v>3030.2535778</v>
      </c>
      <c r="X291" s="626">
        <v>5578.137716</v>
      </c>
      <c r="Y291" s="626">
        <v>4783.0693372</v>
      </c>
      <c r="Z291" s="626">
        <v>758.34245200000009</v>
      </c>
      <c r="AA291" s="626">
        <v>671.5774427</v>
      </c>
      <c r="AB291" s="626">
        <v>3358.5597108</v>
      </c>
      <c r="AC291" s="626">
        <v>2943.9673324</v>
      </c>
      <c r="AD291" s="626">
        <v>2280.5832713</v>
      </c>
      <c r="AE291" s="626">
        <v>1950.6585831</v>
      </c>
      <c r="AF291" s="626">
        <v>3836.8244155</v>
      </c>
      <c r="AG291" s="626">
        <v>2751.9396641000003</v>
      </c>
      <c r="AH291" s="625">
        <v>1.3522374869749581</v>
      </c>
      <c r="AI291" s="625">
        <v>0.23225251166525779</v>
      </c>
      <c r="AJ291" s="625">
        <v>0.31648946360941621</v>
      </c>
      <c r="AK291" s="625">
        <v>1.2621602475718943</v>
      </c>
      <c r="AL291" s="625">
        <v>1.165391569308726</v>
      </c>
      <c r="AM291" s="625">
        <v>1.1449293662349909</v>
      </c>
      <c r="AN291" s="625">
        <v>1.0889761863643004</v>
      </c>
      <c r="AO291" s="625">
        <v>1.1662255599381071</v>
      </c>
      <c r="AP291" s="625">
        <v>1.12919583610739</v>
      </c>
      <c r="AQ291" s="625">
        <v>1.1408277781555873</v>
      </c>
      <c r="AR291" s="625">
        <v>1.1691350250283406</v>
      </c>
      <c r="AS291" s="625">
        <v>1.3942254859571224</v>
      </c>
    </row>
    <row r="292">
      <c r="B292" s="623">
        <v>2034240</v>
      </c>
      <c r="C292" s="603" t="s">
        <v>77</v>
      </c>
      <c r="D292" s="0" t="s">
        <v>65</v>
      </c>
      <c r="E292" s="0" t="s">
        <v>71</v>
      </c>
      <c r="F292" s="625">
        <v>6.0317562467850019</v>
      </c>
      <c r="G292" s="625">
        <v>1.8744357518659098</v>
      </c>
      <c r="H292" s="624">
        <v>4.6959055387660511</v>
      </c>
      <c r="I292" s="624">
        <v>10.523747970774288</v>
      </c>
      <c r="J292" s="626">
        <v>2034.24</v>
      </c>
      <c r="K292" s="626">
        <v>1428.221</v>
      </c>
      <c r="L292" s="626">
        <v>894.856</v>
      </c>
      <c r="M292" s="626">
        <v>3877.689</v>
      </c>
      <c r="N292" s="626">
        <v>205.4062</v>
      </c>
      <c r="O292" s="626">
        <v>688.1584</v>
      </c>
      <c r="P292" s="626">
        <v>657.9</v>
      </c>
      <c r="Q292" s="626">
        <v>522.4032</v>
      </c>
      <c r="R292" s="626">
        <v>2431.17</v>
      </c>
      <c r="S292" s="626">
        <v>2222.784</v>
      </c>
      <c r="T292" s="626">
        <v>3549.6</v>
      </c>
      <c r="U292" s="626">
        <v>3105.9</v>
      </c>
      <c r="V292" s="626">
        <v>2827.44</v>
      </c>
      <c r="W292" s="626">
        <v>2638.944</v>
      </c>
      <c r="X292" s="626">
        <v>5590.62</v>
      </c>
      <c r="Y292" s="626">
        <v>4819.5</v>
      </c>
      <c r="Z292" s="626">
        <v>731.1966294</v>
      </c>
      <c r="AA292" s="626">
        <v>643.4530339</v>
      </c>
      <c r="AB292" s="626">
        <v>3159.5180494</v>
      </c>
      <c r="AC292" s="626">
        <v>2764.5782932</v>
      </c>
      <c r="AD292" s="626">
        <v>2065.5</v>
      </c>
      <c r="AE292" s="626">
        <v>1748.79</v>
      </c>
      <c r="AF292" s="626">
        <v>3987.7496985999996</v>
      </c>
      <c r="AG292" s="626">
        <v>2866.7539008</v>
      </c>
      <c r="AH292" s="625">
        <v>1.4243173850545539</v>
      </c>
      <c r="AI292" s="625">
        <v>0.23077044084762857</v>
      </c>
      <c r="AJ292" s="625">
        <v>0.29848680187584725</v>
      </c>
      <c r="AK292" s="625">
        <v>1.2593720712277412</v>
      </c>
      <c r="AL292" s="625">
        <v>1.09375</v>
      </c>
      <c r="AM292" s="625">
        <v>1.1428571428571428</v>
      </c>
      <c r="AN292" s="625">
        <v>1.0714285714285712</v>
      </c>
      <c r="AO292" s="625">
        <v>1.16</v>
      </c>
      <c r="AP292" s="625">
        <v>1.1363636363636362</v>
      </c>
      <c r="AQ292" s="625">
        <v>1.142857142857143</v>
      </c>
      <c r="AR292" s="625">
        <v>1.1811023622047243</v>
      </c>
      <c r="AS292" s="625">
        <v>1.3910331463918984</v>
      </c>
    </row>
    <row r="293">
      <c r="B293" s="623">
        <v>2034240</v>
      </c>
      <c r="C293" s="603" t="s">
        <v>78</v>
      </c>
      <c r="D293" s="0" t="s">
        <v>65</v>
      </c>
      <c r="E293" s="0" t="s">
        <v>71</v>
      </c>
      <c r="F293" s="625">
        <v>6.936519683802751</v>
      </c>
      <c r="G293" s="625">
        <v>2.1556011146457958</v>
      </c>
      <c r="H293" s="624">
        <v>5.4002913695809571</v>
      </c>
      <c r="I293" s="624">
        <v>12.102310166390428</v>
      </c>
      <c r="J293" s="626">
        <v>2441.088</v>
      </c>
      <c r="K293" s="626">
        <v>1713.8652</v>
      </c>
      <c r="L293" s="626">
        <v>1073.8272</v>
      </c>
      <c r="M293" s="626">
        <v>4653.2267999999995</v>
      </c>
      <c r="N293" s="626">
        <v>246.48744</v>
      </c>
      <c r="O293" s="626">
        <v>825.79008</v>
      </c>
      <c r="P293" s="626">
        <v>723.69</v>
      </c>
      <c r="Q293" s="626">
        <v>574.64352</v>
      </c>
      <c r="R293" s="626">
        <v>2674.287</v>
      </c>
      <c r="S293" s="626">
        <v>2445.0624</v>
      </c>
      <c r="T293" s="626">
        <v>3904.56</v>
      </c>
      <c r="U293" s="626">
        <v>3416.49</v>
      </c>
      <c r="V293" s="626">
        <v>3110.184</v>
      </c>
      <c r="W293" s="626">
        <v>2902.8384</v>
      </c>
      <c r="X293" s="626">
        <v>6149.682</v>
      </c>
      <c r="Y293" s="626">
        <v>5301.45</v>
      </c>
      <c r="Z293" s="626">
        <v>804.31629240000007</v>
      </c>
      <c r="AA293" s="626">
        <v>707.7983373</v>
      </c>
      <c r="AB293" s="626">
        <v>3475.4698543</v>
      </c>
      <c r="AC293" s="626">
        <v>3041.0361225</v>
      </c>
      <c r="AD293" s="626">
        <v>2272.05</v>
      </c>
      <c r="AE293" s="626">
        <v>1923.669</v>
      </c>
      <c r="AF293" s="626">
        <v>4386.5246683999994</v>
      </c>
      <c r="AG293" s="626">
        <v>3153.4292909</v>
      </c>
      <c r="AH293" s="625">
        <v>1.4243173850545539</v>
      </c>
      <c r="AI293" s="625">
        <v>0.23077044084762857</v>
      </c>
      <c r="AJ293" s="625">
        <v>0.29848680187584725</v>
      </c>
      <c r="AK293" s="625">
        <v>1.2593720712277414</v>
      </c>
      <c r="AL293" s="625">
        <v>1.09375</v>
      </c>
      <c r="AM293" s="625">
        <v>1.1428571428571428</v>
      </c>
      <c r="AN293" s="625">
        <v>1.0714285714285712</v>
      </c>
      <c r="AO293" s="625">
        <v>1.16</v>
      </c>
      <c r="AP293" s="625">
        <v>1.1363636363636362</v>
      </c>
      <c r="AQ293" s="625">
        <v>1.1428571428571432</v>
      </c>
      <c r="AR293" s="625">
        <v>1.1811023622047243</v>
      </c>
      <c r="AS293" s="625">
        <v>1.3910331463918984</v>
      </c>
    </row>
    <row r="294">
      <c r="B294" s="623">
        <v>2034240</v>
      </c>
      <c r="C294" s="603" t="s">
        <v>79</v>
      </c>
      <c r="D294" s="0" t="s">
        <v>65</v>
      </c>
      <c r="E294" s="0" t="s">
        <v>71</v>
      </c>
      <c r="F294" s="625">
        <v>7.8412831208205027</v>
      </c>
      <c r="G294" s="625">
        <v>2.4367664774256825</v>
      </c>
      <c r="H294" s="624">
        <v>6.1046772003958658</v>
      </c>
      <c r="I294" s="624">
        <v>13.680872362006573</v>
      </c>
      <c r="J294" s="626">
        <v>2644.512</v>
      </c>
      <c r="K294" s="626">
        <v>1856.6873</v>
      </c>
      <c r="L294" s="626">
        <v>1163.3128000000002</v>
      </c>
      <c r="M294" s="626">
        <v>5040.9957</v>
      </c>
      <c r="N294" s="626">
        <v>267.02806</v>
      </c>
      <c r="O294" s="626">
        <v>894.60592000000008</v>
      </c>
      <c r="P294" s="626">
        <v>789.48</v>
      </c>
      <c r="Q294" s="626">
        <v>626.88384</v>
      </c>
      <c r="R294" s="626">
        <v>2917.404</v>
      </c>
      <c r="S294" s="626">
        <v>2667.3408</v>
      </c>
      <c r="T294" s="626">
        <v>4259.52</v>
      </c>
      <c r="U294" s="626">
        <v>3727.08</v>
      </c>
      <c r="V294" s="626">
        <v>3392.928</v>
      </c>
      <c r="W294" s="626">
        <v>3166.7327999999998</v>
      </c>
      <c r="X294" s="626">
        <v>6708.744</v>
      </c>
      <c r="Y294" s="626">
        <v>5783.4</v>
      </c>
      <c r="Z294" s="626">
        <v>877.4359553</v>
      </c>
      <c r="AA294" s="626">
        <v>772.1436407</v>
      </c>
      <c r="AB294" s="626">
        <v>3791.4216592000002</v>
      </c>
      <c r="AC294" s="626">
        <v>3317.4939518</v>
      </c>
      <c r="AD294" s="626">
        <v>2478.6</v>
      </c>
      <c r="AE294" s="626">
        <v>2098.548</v>
      </c>
      <c r="AF294" s="626">
        <v>4785.2996383</v>
      </c>
      <c r="AG294" s="626">
        <v>3440.104681</v>
      </c>
      <c r="AH294" s="625">
        <v>1.4243173850545539</v>
      </c>
      <c r="AI294" s="625">
        <v>0.23077044084762857</v>
      </c>
      <c r="AJ294" s="625">
        <v>0.29848680187584725</v>
      </c>
      <c r="AK294" s="625">
        <v>1.2593720712277414</v>
      </c>
      <c r="AL294" s="625">
        <v>1.09375</v>
      </c>
      <c r="AM294" s="625">
        <v>1.1428571428571428</v>
      </c>
      <c r="AN294" s="625">
        <v>1.0714285714285712</v>
      </c>
      <c r="AO294" s="625">
        <v>1.16</v>
      </c>
      <c r="AP294" s="625">
        <v>1.1363636363636365</v>
      </c>
      <c r="AQ294" s="625">
        <v>1.1428571428571432</v>
      </c>
      <c r="AR294" s="625">
        <v>1.1811023622047243</v>
      </c>
      <c r="AS294" s="625">
        <v>1.3910331463918984</v>
      </c>
    </row>
    <row r="295">
      <c r="B295" s="623">
        <v>2200000</v>
      </c>
      <c r="C295" s="603" t="s">
        <v>77</v>
      </c>
      <c r="D295" s="0" t="s">
        <v>65</v>
      </c>
      <c r="E295" s="0" t="s">
        <v>71</v>
      </c>
      <c r="F295" s="625">
        <v>6.5232537669729256</v>
      </c>
      <c r="G295" s="625">
        <v>2.0271741063517585</v>
      </c>
      <c r="H295" s="624">
        <v>4.6959055387660493</v>
      </c>
      <c r="I295" s="624">
        <v>10.523747970774288</v>
      </c>
      <c r="J295" s="626">
        <v>2200</v>
      </c>
      <c r="K295" s="626">
        <v>1544.5995556</v>
      </c>
      <c r="L295" s="626">
        <v>967.7733207</v>
      </c>
      <c r="M295" s="626">
        <v>4193.6623997</v>
      </c>
      <c r="N295" s="626">
        <v>222.1437195</v>
      </c>
      <c r="O295" s="626">
        <v>744.2329715</v>
      </c>
      <c r="P295" s="626">
        <v>711.50896649999993</v>
      </c>
      <c r="Q295" s="626">
        <v>564.9712128</v>
      </c>
      <c r="R295" s="626">
        <v>2629.273832</v>
      </c>
      <c r="S295" s="626">
        <v>2403.9075035</v>
      </c>
      <c r="T295" s="626">
        <v>3838.8390750000003</v>
      </c>
      <c r="U295" s="626">
        <v>3358.9841907</v>
      </c>
      <c r="V295" s="626">
        <v>3057.8338839</v>
      </c>
      <c r="W295" s="626">
        <v>2853.9782916</v>
      </c>
      <c r="X295" s="626">
        <v>6046.1715432</v>
      </c>
      <c r="Y295" s="626">
        <v>5212.2168476</v>
      </c>
      <c r="Z295" s="626">
        <v>790.7781701</v>
      </c>
      <c r="AA295" s="626">
        <v>695.88478969999994</v>
      </c>
      <c r="AB295" s="626">
        <v>3416.9713056</v>
      </c>
      <c r="AC295" s="626">
        <v>2989.8498923999996</v>
      </c>
      <c r="AD295" s="626">
        <v>2233.8072204</v>
      </c>
      <c r="AE295" s="626">
        <v>1891.2901133</v>
      </c>
      <c r="AF295" s="626">
        <v>4312.6913918</v>
      </c>
      <c r="AG295" s="626">
        <v>3100.3512769999998</v>
      </c>
      <c r="AH295" s="625">
        <v>1.4243173850545541</v>
      </c>
      <c r="AI295" s="625">
        <v>0.23077044084762857</v>
      </c>
      <c r="AJ295" s="625">
        <v>0.29848680187584725</v>
      </c>
      <c r="AK295" s="625">
        <v>1.2593720712277414</v>
      </c>
      <c r="AL295" s="625">
        <v>1.0937500000000002</v>
      </c>
      <c r="AM295" s="625">
        <v>1.1428571428571428</v>
      </c>
      <c r="AN295" s="625">
        <v>1.0714285714285712</v>
      </c>
      <c r="AO295" s="625">
        <v>1.1600000000000001</v>
      </c>
      <c r="AP295" s="625">
        <v>1.1363636363636365</v>
      </c>
      <c r="AQ295" s="625">
        <v>1.1428571428571432</v>
      </c>
      <c r="AR295" s="625">
        <v>1.1811023622047245</v>
      </c>
      <c r="AS295" s="625">
        <v>1.3910331463918986</v>
      </c>
    </row>
    <row r="296">
      <c r="B296" s="623">
        <v>2200000</v>
      </c>
      <c r="C296" s="603" t="s">
        <v>78</v>
      </c>
      <c r="D296" s="0" t="s">
        <v>65</v>
      </c>
      <c r="E296" s="0" t="s">
        <v>71</v>
      </c>
      <c r="F296" s="625">
        <v>7.5017418320188636</v>
      </c>
      <c r="G296" s="625">
        <v>2.3312502223045217</v>
      </c>
      <c r="H296" s="624">
        <v>5.4002913695809562</v>
      </c>
      <c r="I296" s="624">
        <v>12.102310166390428</v>
      </c>
      <c r="J296" s="626">
        <v>2640</v>
      </c>
      <c r="K296" s="626">
        <v>1853.5194667</v>
      </c>
      <c r="L296" s="626">
        <v>1161.3279849</v>
      </c>
      <c r="M296" s="626">
        <v>5032.3948797</v>
      </c>
      <c r="N296" s="626">
        <v>266.5724634</v>
      </c>
      <c r="O296" s="626">
        <v>893.0795658</v>
      </c>
      <c r="P296" s="626">
        <v>782.65986309999994</v>
      </c>
      <c r="Q296" s="626">
        <v>621.4683341</v>
      </c>
      <c r="R296" s="626">
        <v>2892.2012151999998</v>
      </c>
      <c r="S296" s="626">
        <v>2644.2982539</v>
      </c>
      <c r="T296" s="626">
        <v>4222.7229824999995</v>
      </c>
      <c r="U296" s="626">
        <v>3694.8826097</v>
      </c>
      <c r="V296" s="626">
        <v>3363.6172723</v>
      </c>
      <c r="W296" s="626">
        <v>3139.3761208</v>
      </c>
      <c r="X296" s="626">
        <v>6650.7886975</v>
      </c>
      <c r="Y296" s="626">
        <v>5733.4385323</v>
      </c>
      <c r="Z296" s="626">
        <v>869.8559871</v>
      </c>
      <c r="AA296" s="626">
        <v>765.47326870000006</v>
      </c>
      <c r="AB296" s="626">
        <v>3758.6684361000002</v>
      </c>
      <c r="AC296" s="626">
        <v>3288.8348816</v>
      </c>
      <c r="AD296" s="626">
        <v>2457.1879424</v>
      </c>
      <c r="AE296" s="626">
        <v>2080.4191246</v>
      </c>
      <c r="AF296" s="626">
        <v>4743.9605310000006</v>
      </c>
      <c r="AG296" s="626">
        <v>3410.3864046999997</v>
      </c>
      <c r="AH296" s="625">
        <v>1.4243173850545541</v>
      </c>
      <c r="AI296" s="625">
        <v>0.23077044084762854</v>
      </c>
      <c r="AJ296" s="625">
        <v>0.29848680187584725</v>
      </c>
      <c r="AK296" s="625">
        <v>1.2593720712277414</v>
      </c>
      <c r="AL296" s="625">
        <v>1.09375</v>
      </c>
      <c r="AM296" s="625">
        <v>1.1428571428571428</v>
      </c>
      <c r="AN296" s="625">
        <v>1.0714285714285714</v>
      </c>
      <c r="AO296" s="625">
        <v>1.16</v>
      </c>
      <c r="AP296" s="625">
        <v>1.1363636363636362</v>
      </c>
      <c r="AQ296" s="625">
        <v>1.1428571428571432</v>
      </c>
      <c r="AR296" s="625">
        <v>1.1811023622047245</v>
      </c>
      <c r="AS296" s="625">
        <v>1.3910331463918986</v>
      </c>
    </row>
    <row r="297">
      <c r="B297" s="623">
        <v>2200000</v>
      </c>
      <c r="C297" s="603" t="s">
        <v>79</v>
      </c>
      <c r="D297" s="0" t="s">
        <v>65</v>
      </c>
      <c r="E297" s="0" t="s">
        <v>71</v>
      </c>
      <c r="F297" s="625">
        <v>8.4802298970648042</v>
      </c>
      <c r="G297" s="625">
        <v>2.6353263382572862</v>
      </c>
      <c r="H297" s="624">
        <v>6.1046772003958649</v>
      </c>
      <c r="I297" s="624">
        <v>13.680872362006573</v>
      </c>
      <c r="J297" s="626">
        <v>2860</v>
      </c>
      <c r="K297" s="626">
        <v>2007.9794223</v>
      </c>
      <c r="L297" s="626">
        <v>1258.105317</v>
      </c>
      <c r="M297" s="626">
        <v>5451.7611196</v>
      </c>
      <c r="N297" s="626">
        <v>288.7868354</v>
      </c>
      <c r="O297" s="626">
        <v>967.502863</v>
      </c>
      <c r="P297" s="626">
        <v>853.8107598</v>
      </c>
      <c r="Q297" s="626">
        <v>677.9654554</v>
      </c>
      <c r="R297" s="626">
        <v>3155.1285984</v>
      </c>
      <c r="S297" s="626">
        <v>2884.6890042</v>
      </c>
      <c r="T297" s="626">
        <v>4606.60689</v>
      </c>
      <c r="U297" s="626">
        <v>4030.7810288</v>
      </c>
      <c r="V297" s="626">
        <v>3669.4006607</v>
      </c>
      <c r="W297" s="626">
        <v>3424.7739500000002</v>
      </c>
      <c r="X297" s="626">
        <v>7255.4058518</v>
      </c>
      <c r="Y297" s="626">
        <v>6254.6602171</v>
      </c>
      <c r="Z297" s="626">
        <v>948.9338041</v>
      </c>
      <c r="AA297" s="626">
        <v>835.0617476</v>
      </c>
      <c r="AB297" s="626">
        <v>4100.3655667</v>
      </c>
      <c r="AC297" s="626">
        <v>3587.8198708</v>
      </c>
      <c r="AD297" s="626">
        <v>2680.5686645</v>
      </c>
      <c r="AE297" s="626">
        <v>2269.5481359</v>
      </c>
      <c r="AF297" s="626">
        <v>5175.2296701</v>
      </c>
      <c r="AG297" s="626">
        <v>3720.4215323999997</v>
      </c>
      <c r="AH297" s="625">
        <v>1.4243173850545539</v>
      </c>
      <c r="AI297" s="625">
        <v>0.23077044084762857</v>
      </c>
      <c r="AJ297" s="625">
        <v>0.29848680187584725</v>
      </c>
      <c r="AK297" s="625">
        <v>1.2593720712277414</v>
      </c>
      <c r="AL297" s="625">
        <v>1.09375</v>
      </c>
      <c r="AM297" s="625">
        <v>1.1428571428571428</v>
      </c>
      <c r="AN297" s="625">
        <v>1.0714285714285712</v>
      </c>
      <c r="AO297" s="625">
        <v>1.16</v>
      </c>
      <c r="AP297" s="625">
        <v>1.1363636363636362</v>
      </c>
      <c r="AQ297" s="625">
        <v>1.1428571428571432</v>
      </c>
      <c r="AR297" s="625">
        <v>1.1811023622047245</v>
      </c>
      <c r="AS297" s="625">
        <v>1.3910331463918981</v>
      </c>
    </row>
    <row r="298">
      <c r="B298" s="623">
        <v>600001</v>
      </c>
      <c r="C298" s="603" t="s">
        <v>77</v>
      </c>
      <c r="D298" s="0" t="s">
        <v>65</v>
      </c>
      <c r="E298" s="0" t="s">
        <v>70</v>
      </c>
      <c r="F298" s="625">
        <v>3.3835163121460252</v>
      </c>
      <c r="G298" s="625">
        <v>0.52548681705619282</v>
      </c>
      <c r="H298" s="624">
        <v>6.1182980175597717</v>
      </c>
      <c r="I298" s="624">
        <v>19.353355672906805</v>
      </c>
      <c r="J298" s="626">
        <v>600.001</v>
      </c>
      <c r="K298" s="626">
        <v>858.4606922</v>
      </c>
      <c r="L298" s="626">
        <v>358.2406927</v>
      </c>
      <c r="M298" s="626">
        <v>1175.7521359999998</v>
      </c>
      <c r="N298" s="626">
        <v>184.2486551</v>
      </c>
      <c r="O298" s="626">
        <v>381.6353122</v>
      </c>
      <c r="P298" s="626">
        <v>201.5013076</v>
      </c>
      <c r="Q298" s="626">
        <v>130.3165152</v>
      </c>
      <c r="R298" s="626">
        <v>930.5442329</v>
      </c>
      <c r="S298" s="626">
        <v>638.0624557000001</v>
      </c>
      <c r="T298" s="626">
        <v>909.5545134</v>
      </c>
      <c r="U298" s="626">
        <v>652.0187091</v>
      </c>
      <c r="V298" s="626">
        <v>1567.2323923</v>
      </c>
      <c r="W298" s="626">
        <v>1099.0549477</v>
      </c>
      <c r="X298" s="626">
        <v>992.5805151</v>
      </c>
      <c r="Y298" s="626">
        <v>610.5860821</v>
      </c>
      <c r="Z298" s="626">
        <v>193.2570285</v>
      </c>
      <c r="AA298" s="626">
        <v>135.52558919999999</v>
      </c>
      <c r="AB298" s="626">
        <v>937.03951560000007</v>
      </c>
      <c r="AC298" s="626">
        <v>615.5269597</v>
      </c>
      <c r="AD298" s="626">
        <v>825.59563520000006</v>
      </c>
      <c r="AE298" s="626">
        <v>582.2374425</v>
      </c>
      <c r="AF298" s="626">
        <v>713.6437476</v>
      </c>
      <c r="AG298" s="626">
        <v>397.1890376</v>
      </c>
      <c r="AH298" s="625">
        <v>0.69892658501900129</v>
      </c>
      <c r="AI298" s="625">
        <v>0.30469065866147471</v>
      </c>
      <c r="AJ298" s="625">
        <v>0.48278722964362553</v>
      </c>
      <c r="AK298" s="625">
        <v>1.5462453644339014</v>
      </c>
      <c r="AL298" s="625">
        <v>1.4583905141819755</v>
      </c>
      <c r="AM298" s="625">
        <v>1.394982230956672</v>
      </c>
      <c r="AN298" s="625">
        <v>1.4259818360890426</v>
      </c>
      <c r="AO298" s="625">
        <v>1.6256192931415092</v>
      </c>
      <c r="AP298" s="625">
        <v>1.4259818360890426</v>
      </c>
      <c r="AQ298" s="625">
        <v>1.5223370818363748</v>
      </c>
      <c r="AR298" s="625">
        <v>1.4179707021784296</v>
      </c>
      <c r="AS298" s="625">
        <v>1.796735760623547</v>
      </c>
    </row>
    <row r="299">
      <c r="B299" s="623">
        <v>600001</v>
      </c>
      <c r="C299" s="603" t="s">
        <v>78</v>
      </c>
      <c r="D299" s="0" t="s">
        <v>65</v>
      </c>
      <c r="E299" s="0" t="s">
        <v>70</v>
      </c>
      <c r="F299" s="625">
        <v>3.8910437589679283</v>
      </c>
      <c r="G299" s="625">
        <v>0.6043098396146217</v>
      </c>
      <c r="H299" s="624">
        <v>7.0360427201937368</v>
      </c>
      <c r="I299" s="624">
        <v>22.256359023842826</v>
      </c>
      <c r="J299" s="626">
        <v>720.00119999999993</v>
      </c>
      <c r="K299" s="626">
        <v>1030.1528307</v>
      </c>
      <c r="L299" s="626">
        <v>429.8888313</v>
      </c>
      <c r="M299" s="626">
        <v>1410.9025632</v>
      </c>
      <c r="N299" s="626">
        <v>221.0983861</v>
      </c>
      <c r="O299" s="626">
        <v>457.9623746</v>
      </c>
      <c r="P299" s="626">
        <v>221.6514383</v>
      </c>
      <c r="Q299" s="626">
        <v>143.3481668</v>
      </c>
      <c r="R299" s="626">
        <v>1023.5986561999999</v>
      </c>
      <c r="S299" s="626">
        <v>701.8687013</v>
      </c>
      <c r="T299" s="626">
        <v>1000.5099647</v>
      </c>
      <c r="U299" s="626">
        <v>717.22057999999993</v>
      </c>
      <c r="V299" s="626">
        <v>1723.9556315</v>
      </c>
      <c r="W299" s="626">
        <v>1208.9604425</v>
      </c>
      <c r="X299" s="626">
        <v>1091.8385666</v>
      </c>
      <c r="Y299" s="626">
        <v>671.6446903</v>
      </c>
      <c r="Z299" s="626">
        <v>212.5827314</v>
      </c>
      <c r="AA299" s="626">
        <v>149.0781481</v>
      </c>
      <c r="AB299" s="626">
        <v>1030.7434672</v>
      </c>
      <c r="AC299" s="626">
        <v>677.0796557</v>
      </c>
      <c r="AD299" s="626">
        <v>908.15519869999991</v>
      </c>
      <c r="AE299" s="626">
        <v>640.46118680000006</v>
      </c>
      <c r="AF299" s="626">
        <v>785.0081224</v>
      </c>
      <c r="AG299" s="626">
        <v>436.9079414</v>
      </c>
      <c r="AH299" s="625">
        <v>0.69892658501900129</v>
      </c>
      <c r="AI299" s="625">
        <v>0.30469065866147471</v>
      </c>
      <c r="AJ299" s="625">
        <v>0.48278722964362558</v>
      </c>
      <c r="AK299" s="625">
        <v>1.5462453644339016</v>
      </c>
      <c r="AL299" s="625">
        <v>1.4583905141819757</v>
      </c>
      <c r="AM299" s="625">
        <v>1.3949822309566717</v>
      </c>
      <c r="AN299" s="625">
        <v>1.4259818360890426</v>
      </c>
      <c r="AO299" s="625">
        <v>1.625619293141509</v>
      </c>
      <c r="AP299" s="625">
        <v>1.4259818360890424</v>
      </c>
      <c r="AQ299" s="625">
        <v>1.5223370818363746</v>
      </c>
      <c r="AR299" s="625">
        <v>1.4179707021784296</v>
      </c>
      <c r="AS299" s="625">
        <v>1.796735760623547</v>
      </c>
    </row>
    <row r="300">
      <c r="B300" s="623">
        <v>600001</v>
      </c>
      <c r="C300" s="603" t="s">
        <v>79</v>
      </c>
      <c r="D300" s="0" t="s">
        <v>65</v>
      </c>
      <c r="E300" s="0" t="s">
        <v>70</v>
      </c>
      <c r="F300" s="625">
        <v>4.3985712057898327</v>
      </c>
      <c r="G300" s="625">
        <v>0.68313286217305069</v>
      </c>
      <c r="H300" s="624">
        <v>7.9537874228277028</v>
      </c>
      <c r="I300" s="624">
        <v>25.159362374778848</v>
      </c>
      <c r="J300" s="626">
        <v>780.0013</v>
      </c>
      <c r="K300" s="626">
        <v>1115.9988999</v>
      </c>
      <c r="L300" s="626">
        <v>465.7129006</v>
      </c>
      <c r="M300" s="626">
        <v>1528.4777768000001</v>
      </c>
      <c r="N300" s="626">
        <v>239.52325159999998</v>
      </c>
      <c r="O300" s="626">
        <v>496.1259059</v>
      </c>
      <c r="P300" s="626">
        <v>241.8015691</v>
      </c>
      <c r="Q300" s="626">
        <v>156.3798183</v>
      </c>
      <c r="R300" s="626">
        <v>1116.6530795</v>
      </c>
      <c r="S300" s="626">
        <v>765.6749469</v>
      </c>
      <c r="T300" s="626">
        <v>1091.4654161</v>
      </c>
      <c r="U300" s="626">
        <v>782.42245090000006</v>
      </c>
      <c r="V300" s="626">
        <v>1880.6788707</v>
      </c>
      <c r="W300" s="626">
        <v>1318.8659372</v>
      </c>
      <c r="X300" s="626">
        <v>1191.0966181000001</v>
      </c>
      <c r="Y300" s="626">
        <v>732.70329850000007</v>
      </c>
      <c r="Z300" s="626">
        <v>231.9084342</v>
      </c>
      <c r="AA300" s="626">
        <v>162.630707</v>
      </c>
      <c r="AB300" s="626">
        <v>1124.4474187</v>
      </c>
      <c r="AC300" s="626">
        <v>738.63235160000011</v>
      </c>
      <c r="AD300" s="626">
        <v>990.7147623</v>
      </c>
      <c r="AE300" s="626">
        <v>698.684931</v>
      </c>
      <c r="AF300" s="626">
        <v>856.3724972</v>
      </c>
      <c r="AG300" s="626">
        <v>476.6268452</v>
      </c>
      <c r="AH300" s="625">
        <v>0.69892658501900129</v>
      </c>
      <c r="AI300" s="625">
        <v>0.30469065866147466</v>
      </c>
      <c r="AJ300" s="625">
        <v>0.48278722964362553</v>
      </c>
      <c r="AK300" s="625">
        <v>1.5462453644339016</v>
      </c>
      <c r="AL300" s="625">
        <v>1.4583905141819755</v>
      </c>
      <c r="AM300" s="625">
        <v>1.3949822309566717</v>
      </c>
      <c r="AN300" s="625">
        <v>1.4259818360890424</v>
      </c>
      <c r="AO300" s="625">
        <v>1.625619293141509</v>
      </c>
      <c r="AP300" s="625">
        <v>1.4259818360890426</v>
      </c>
      <c r="AQ300" s="625">
        <v>1.5223370818363746</v>
      </c>
      <c r="AR300" s="625">
        <v>1.4179707021784296</v>
      </c>
      <c r="AS300" s="625">
        <v>1.796735760623547</v>
      </c>
    </row>
    <row r="301">
      <c r="B301" s="623">
        <v>668900</v>
      </c>
      <c r="C301" s="603" t="s">
        <v>77</v>
      </c>
      <c r="D301" s="0" t="s">
        <v>65</v>
      </c>
      <c r="E301" s="0" t="s">
        <v>70</v>
      </c>
      <c r="F301" s="625">
        <v>3.7720504819066591</v>
      </c>
      <c r="G301" s="625">
        <v>0.58582924349940646</v>
      </c>
      <c r="H301" s="624">
        <v>6.118298017559769</v>
      </c>
      <c r="I301" s="624">
        <v>17.834818765906746</v>
      </c>
      <c r="J301" s="626">
        <v>668.9</v>
      </c>
      <c r="K301" s="626">
        <v>957.039</v>
      </c>
      <c r="L301" s="626">
        <v>399.378</v>
      </c>
      <c r="M301" s="626">
        <v>1682.215</v>
      </c>
      <c r="N301" s="626">
        <v>205.4062</v>
      </c>
      <c r="O301" s="626">
        <v>546.0272</v>
      </c>
      <c r="P301" s="626">
        <v>224.64</v>
      </c>
      <c r="Q301" s="626">
        <v>186.4512</v>
      </c>
      <c r="R301" s="626">
        <v>1037.4</v>
      </c>
      <c r="S301" s="626">
        <v>912.912</v>
      </c>
      <c r="T301" s="626">
        <v>1014</v>
      </c>
      <c r="U301" s="626">
        <v>932.88</v>
      </c>
      <c r="V301" s="626">
        <v>1747.2</v>
      </c>
      <c r="W301" s="626">
        <v>1572.48</v>
      </c>
      <c r="X301" s="626">
        <v>1106.56</v>
      </c>
      <c r="Y301" s="626">
        <v>873.6</v>
      </c>
      <c r="Z301" s="626">
        <v>215.44901819999998</v>
      </c>
      <c r="AA301" s="626">
        <v>193.9041164</v>
      </c>
      <c r="AB301" s="626">
        <v>1044.6411456</v>
      </c>
      <c r="AC301" s="626">
        <v>880.66919279999991</v>
      </c>
      <c r="AD301" s="626">
        <v>920.4</v>
      </c>
      <c r="AE301" s="626">
        <v>833.04</v>
      </c>
      <c r="AF301" s="626">
        <v>795.59251199999994</v>
      </c>
      <c r="AG301" s="626">
        <v>568.28079359999992</v>
      </c>
      <c r="AH301" s="625">
        <v>0.69892658501900129</v>
      </c>
      <c r="AI301" s="625">
        <v>0.23741198360494942</v>
      </c>
      <c r="AJ301" s="625">
        <v>0.37618309124527138</v>
      </c>
      <c r="AK301" s="625">
        <v>1.2048192771084336</v>
      </c>
      <c r="AL301" s="625">
        <v>1.1363636363636365</v>
      </c>
      <c r="AM301" s="625">
        <v>1.0869565217391304</v>
      </c>
      <c r="AN301" s="625">
        <v>1.1111111111111112</v>
      </c>
      <c r="AO301" s="625">
        <v>1.2666666666666668</v>
      </c>
      <c r="AP301" s="625">
        <v>1.1111111111111112</v>
      </c>
      <c r="AQ301" s="625">
        <v>1.186190176954848</v>
      </c>
      <c r="AR301" s="625">
        <v>1.1048689138576779</v>
      </c>
      <c r="AS301" s="625">
        <v>1.3999989458735553</v>
      </c>
    </row>
    <row r="302">
      <c r="B302" s="623">
        <v>668900</v>
      </c>
      <c r="C302" s="603" t="s">
        <v>78</v>
      </c>
      <c r="D302" s="0" t="s">
        <v>65</v>
      </c>
      <c r="E302" s="0" t="s">
        <v>70</v>
      </c>
      <c r="F302" s="625">
        <v>4.3378580541926581</v>
      </c>
      <c r="G302" s="625">
        <v>0.67370363002431743</v>
      </c>
      <c r="H302" s="624">
        <v>7.0360427201937341</v>
      </c>
      <c r="I302" s="624">
        <v>20.510041580792755</v>
      </c>
      <c r="J302" s="626">
        <v>802.68</v>
      </c>
      <c r="K302" s="626">
        <v>1148.4468</v>
      </c>
      <c r="L302" s="626">
        <v>479.25359999999995</v>
      </c>
      <c r="M302" s="626">
        <v>2018.658</v>
      </c>
      <c r="N302" s="626">
        <v>246.48744</v>
      </c>
      <c r="O302" s="626">
        <v>655.23264000000006</v>
      </c>
      <c r="P302" s="626">
        <v>247.104</v>
      </c>
      <c r="Q302" s="626">
        <v>205.09632000000002</v>
      </c>
      <c r="R302" s="626">
        <v>1141.14</v>
      </c>
      <c r="S302" s="626">
        <v>1004.2031999999999</v>
      </c>
      <c r="T302" s="626">
        <v>1115.4</v>
      </c>
      <c r="U302" s="626">
        <v>1026.168</v>
      </c>
      <c r="V302" s="626">
        <v>1921.92</v>
      </c>
      <c r="W302" s="626">
        <v>1729.728</v>
      </c>
      <c r="X302" s="626">
        <v>1217.216</v>
      </c>
      <c r="Y302" s="626">
        <v>960.96</v>
      </c>
      <c r="Z302" s="626">
        <v>236.99392</v>
      </c>
      <c r="AA302" s="626">
        <v>213.29452799999999</v>
      </c>
      <c r="AB302" s="626">
        <v>1149.1052602</v>
      </c>
      <c r="AC302" s="626">
        <v>968.73611199999993</v>
      </c>
      <c r="AD302" s="626">
        <v>1012.44</v>
      </c>
      <c r="AE302" s="626">
        <v>916.344</v>
      </c>
      <c r="AF302" s="626">
        <v>875.1517632</v>
      </c>
      <c r="AG302" s="626">
        <v>625.108873</v>
      </c>
      <c r="AH302" s="625">
        <v>0.69892658501900129</v>
      </c>
      <c r="AI302" s="625">
        <v>0.23741198360494942</v>
      </c>
      <c r="AJ302" s="625">
        <v>0.37618309124527138</v>
      </c>
      <c r="AK302" s="625">
        <v>1.2048192771084336</v>
      </c>
      <c r="AL302" s="625">
        <v>1.1363636363636365</v>
      </c>
      <c r="AM302" s="625">
        <v>1.0869565217391306</v>
      </c>
      <c r="AN302" s="625">
        <v>1.1111111111111112</v>
      </c>
      <c r="AO302" s="625">
        <v>1.2666666666666671</v>
      </c>
      <c r="AP302" s="625">
        <v>1.1111111111111114</v>
      </c>
      <c r="AQ302" s="625">
        <v>1.186190176954848</v>
      </c>
      <c r="AR302" s="625">
        <v>1.1048689138576779</v>
      </c>
      <c r="AS302" s="625">
        <v>1.3999989458735556</v>
      </c>
    </row>
    <row r="303">
      <c r="B303" s="623">
        <v>668900</v>
      </c>
      <c r="C303" s="603" t="s">
        <v>79</v>
      </c>
      <c r="D303" s="0" t="s">
        <v>65</v>
      </c>
      <c r="E303" s="0" t="s">
        <v>70</v>
      </c>
      <c r="F303" s="625">
        <v>4.9036656264786567</v>
      </c>
      <c r="G303" s="625">
        <v>0.76157801654922841</v>
      </c>
      <c r="H303" s="624">
        <v>7.9537874228277</v>
      </c>
      <c r="I303" s="624">
        <v>23.185264395678772</v>
      </c>
      <c r="J303" s="626">
        <v>869.57</v>
      </c>
      <c r="K303" s="626">
        <v>1244.1507</v>
      </c>
      <c r="L303" s="626">
        <v>519.1914</v>
      </c>
      <c r="M303" s="626">
        <v>2186.8795</v>
      </c>
      <c r="N303" s="626">
        <v>267.02806</v>
      </c>
      <c r="O303" s="626">
        <v>709.83536</v>
      </c>
      <c r="P303" s="626">
        <v>269.568</v>
      </c>
      <c r="Q303" s="626">
        <v>223.74144</v>
      </c>
      <c r="R303" s="626">
        <v>1244.88</v>
      </c>
      <c r="S303" s="626">
        <v>1095.4943999999998</v>
      </c>
      <c r="T303" s="626">
        <v>1216.8</v>
      </c>
      <c r="U303" s="626">
        <v>1119.456</v>
      </c>
      <c r="V303" s="626">
        <v>2096.64</v>
      </c>
      <c r="W303" s="626">
        <v>1886.976</v>
      </c>
      <c r="X303" s="626">
        <v>1327.872</v>
      </c>
      <c r="Y303" s="626">
        <v>1048.32</v>
      </c>
      <c r="Z303" s="626">
        <v>258.5388218</v>
      </c>
      <c r="AA303" s="626">
        <v>232.6849397</v>
      </c>
      <c r="AB303" s="626">
        <v>1253.5693747</v>
      </c>
      <c r="AC303" s="626">
        <v>1056.8030313</v>
      </c>
      <c r="AD303" s="626">
        <v>1104.48</v>
      </c>
      <c r="AE303" s="626">
        <v>999.648</v>
      </c>
      <c r="AF303" s="626">
        <v>954.7110144</v>
      </c>
      <c r="AG303" s="626">
        <v>681.9369523</v>
      </c>
      <c r="AH303" s="625">
        <v>0.69892658501900129</v>
      </c>
      <c r="AI303" s="625">
        <v>0.23741198360494945</v>
      </c>
      <c r="AJ303" s="625">
        <v>0.37618309124527138</v>
      </c>
      <c r="AK303" s="625">
        <v>1.2048192771084336</v>
      </c>
      <c r="AL303" s="625">
        <v>1.1363636363636365</v>
      </c>
      <c r="AM303" s="625">
        <v>1.0869565217391304</v>
      </c>
      <c r="AN303" s="625">
        <v>1.1111111111111112</v>
      </c>
      <c r="AO303" s="625">
        <v>1.2666666666666668</v>
      </c>
      <c r="AP303" s="625">
        <v>1.1111111111111112</v>
      </c>
      <c r="AQ303" s="625">
        <v>1.1861901769548482</v>
      </c>
      <c r="AR303" s="625">
        <v>1.1048689138576779</v>
      </c>
      <c r="AS303" s="625">
        <v>1.3999989458735556</v>
      </c>
    </row>
    <row r="304">
      <c r="B304" s="623">
        <v>700000</v>
      </c>
      <c r="C304" s="603" t="s">
        <v>77</v>
      </c>
      <c r="D304" s="0" t="s">
        <v>65</v>
      </c>
      <c r="E304" s="0" t="s">
        <v>70</v>
      </c>
      <c r="F304" s="625">
        <v>3.8494183560747084</v>
      </c>
      <c r="G304" s="625">
        <v>0.61791428697140682</v>
      </c>
      <c r="H304" s="624">
        <v>6.0693516271755712</v>
      </c>
      <c r="I304" s="624">
        <v>17.48162266147185</v>
      </c>
      <c r="J304" s="626">
        <v>700</v>
      </c>
      <c r="K304" s="626">
        <v>964.9258523</v>
      </c>
      <c r="L304" s="626">
        <v>410.8433327</v>
      </c>
      <c r="M304" s="626">
        <v>1730.5295286</v>
      </c>
      <c r="N304" s="626">
        <v>205.4062</v>
      </c>
      <c r="O304" s="626">
        <v>546.6809707</v>
      </c>
      <c r="P304" s="626">
        <v>232.42365030000002</v>
      </c>
      <c r="Q304" s="626">
        <v>192.0269563</v>
      </c>
      <c r="R304" s="626">
        <v>1071.589404</v>
      </c>
      <c r="S304" s="626">
        <v>924.0173775</v>
      </c>
      <c r="T304" s="626">
        <v>1064.2543045999998</v>
      </c>
      <c r="U304" s="626">
        <v>973.57774829999994</v>
      </c>
      <c r="V304" s="626">
        <v>1793.3350993</v>
      </c>
      <c r="W304" s="626">
        <v>1611.2334834</v>
      </c>
      <c r="X304" s="626">
        <v>1180.9912936</v>
      </c>
      <c r="Y304" s="626">
        <v>938.1891391</v>
      </c>
      <c r="Z304" s="626">
        <v>225.7294159</v>
      </c>
      <c r="AA304" s="626">
        <v>203.3533682</v>
      </c>
      <c r="AB304" s="626">
        <v>1095.2177737</v>
      </c>
      <c r="AC304" s="626">
        <v>927.4647075</v>
      </c>
      <c r="AD304" s="626">
        <v>953.5596026</v>
      </c>
      <c r="AE304" s="626">
        <v>861.2153642</v>
      </c>
      <c r="AF304" s="626">
        <v>827.22777139999994</v>
      </c>
      <c r="AG304" s="626">
        <v>590.2771522</v>
      </c>
      <c r="AH304" s="625">
        <v>0.7254443420242731</v>
      </c>
      <c r="AI304" s="625">
        <v>0.23740902761911614</v>
      </c>
      <c r="AJ304" s="625">
        <v>0.37573321738330068</v>
      </c>
      <c r="AK304" s="625">
        <v>1.2103699127451424</v>
      </c>
      <c r="AL304" s="625">
        <v>1.1597069818015522</v>
      </c>
      <c r="AM304" s="625">
        <v>1.0931374576356041</v>
      </c>
      <c r="AN304" s="625">
        <v>1.113020004713924</v>
      </c>
      <c r="AO304" s="625">
        <v>1.2587987266249239</v>
      </c>
      <c r="AP304" s="625">
        <v>1.1100352941010681</v>
      </c>
      <c r="AQ304" s="625">
        <v>1.1808727220160205</v>
      </c>
      <c r="AR304" s="625">
        <v>1.1072254888209732</v>
      </c>
      <c r="AS304" s="625">
        <v>1.4014226510077712</v>
      </c>
    </row>
    <row r="305">
      <c r="B305" s="623">
        <v>700000</v>
      </c>
      <c r="C305" s="603" t="s">
        <v>78</v>
      </c>
      <c r="D305" s="0" t="s">
        <v>65</v>
      </c>
      <c r="E305" s="0" t="s">
        <v>70</v>
      </c>
      <c r="F305" s="625">
        <v>4.4268311094859145</v>
      </c>
      <c r="G305" s="625">
        <v>0.71060143001711784</v>
      </c>
      <c r="H305" s="624">
        <v>6.9797543712519063</v>
      </c>
      <c r="I305" s="624">
        <v>20.103866060692628</v>
      </c>
      <c r="J305" s="626">
        <v>840</v>
      </c>
      <c r="K305" s="626">
        <v>1157.9110227</v>
      </c>
      <c r="L305" s="626">
        <v>493.01199920000005</v>
      </c>
      <c r="M305" s="626">
        <v>2076.6354343000003</v>
      </c>
      <c r="N305" s="626">
        <v>246.48744</v>
      </c>
      <c r="O305" s="626">
        <v>656.0171648</v>
      </c>
      <c r="P305" s="626">
        <v>255.6660154</v>
      </c>
      <c r="Q305" s="626">
        <v>211.2296519</v>
      </c>
      <c r="R305" s="626">
        <v>1178.7483444</v>
      </c>
      <c r="S305" s="626">
        <v>1016.4191152</v>
      </c>
      <c r="T305" s="626">
        <v>1170.6797351</v>
      </c>
      <c r="U305" s="626">
        <v>1070.9355232</v>
      </c>
      <c r="V305" s="626">
        <v>1972.6686092999998</v>
      </c>
      <c r="W305" s="626">
        <v>1772.3568318</v>
      </c>
      <c r="X305" s="626">
        <v>1299.0904229999999</v>
      </c>
      <c r="Y305" s="626">
        <v>1032.008053</v>
      </c>
      <c r="Z305" s="626">
        <v>248.3023575</v>
      </c>
      <c r="AA305" s="626">
        <v>223.6887051</v>
      </c>
      <c r="AB305" s="626">
        <v>1204.7395511</v>
      </c>
      <c r="AC305" s="626">
        <v>1020.2111783</v>
      </c>
      <c r="AD305" s="626">
        <v>1048.9155629</v>
      </c>
      <c r="AE305" s="626">
        <v>947.3369007</v>
      </c>
      <c r="AF305" s="626">
        <v>909.95054859999993</v>
      </c>
      <c r="AG305" s="626">
        <v>649.3048674</v>
      </c>
      <c r="AH305" s="625">
        <v>0.7254443420242731</v>
      </c>
      <c r="AI305" s="625">
        <v>0.23740902761911614</v>
      </c>
      <c r="AJ305" s="625">
        <v>0.37573321738330068</v>
      </c>
      <c r="AK305" s="625">
        <v>1.2103699127451422</v>
      </c>
      <c r="AL305" s="625">
        <v>1.1597069818015522</v>
      </c>
      <c r="AM305" s="625">
        <v>1.0931374576356041</v>
      </c>
      <c r="AN305" s="625">
        <v>1.1130200047139238</v>
      </c>
      <c r="AO305" s="625">
        <v>1.2587987266249239</v>
      </c>
      <c r="AP305" s="625">
        <v>1.1100352941010683</v>
      </c>
      <c r="AQ305" s="625">
        <v>1.1808727220160202</v>
      </c>
      <c r="AR305" s="625">
        <v>1.1072254888209732</v>
      </c>
      <c r="AS305" s="625">
        <v>1.401422651007771</v>
      </c>
    </row>
    <row r="306">
      <c r="B306" s="623">
        <v>700000</v>
      </c>
      <c r="C306" s="603" t="s">
        <v>79</v>
      </c>
      <c r="D306" s="0" t="s">
        <v>65</v>
      </c>
      <c r="E306" s="0" t="s">
        <v>70</v>
      </c>
      <c r="F306" s="625">
        <v>5.0042438628971215</v>
      </c>
      <c r="G306" s="625">
        <v>0.803288573062829</v>
      </c>
      <c r="H306" s="624">
        <v>7.8901571153282424</v>
      </c>
      <c r="I306" s="624">
        <v>22.726109459913406</v>
      </c>
      <c r="J306" s="626">
        <v>910</v>
      </c>
      <c r="K306" s="626">
        <v>1254.4036079</v>
      </c>
      <c r="L306" s="626">
        <v>534.0963325</v>
      </c>
      <c r="M306" s="626">
        <v>2249.6883872000003</v>
      </c>
      <c r="N306" s="626">
        <v>267.02806</v>
      </c>
      <c r="O306" s="626">
        <v>710.6852619</v>
      </c>
      <c r="P306" s="626">
        <v>278.9083804</v>
      </c>
      <c r="Q306" s="626">
        <v>230.4323475</v>
      </c>
      <c r="R306" s="626">
        <v>1285.9072848</v>
      </c>
      <c r="S306" s="626">
        <v>1108.820853</v>
      </c>
      <c r="T306" s="626">
        <v>1277.1051656</v>
      </c>
      <c r="U306" s="626">
        <v>1168.293298</v>
      </c>
      <c r="V306" s="626">
        <v>2152.0021192</v>
      </c>
      <c r="W306" s="626">
        <v>1933.4801801</v>
      </c>
      <c r="X306" s="626">
        <v>1417.1895523</v>
      </c>
      <c r="Y306" s="626">
        <v>1125.8269669000001</v>
      </c>
      <c r="Z306" s="626">
        <v>270.8752991</v>
      </c>
      <c r="AA306" s="626">
        <v>244.02404190000001</v>
      </c>
      <c r="AB306" s="626">
        <v>1314.2613285</v>
      </c>
      <c r="AC306" s="626">
        <v>1112.957649</v>
      </c>
      <c r="AD306" s="626">
        <v>1144.2715232</v>
      </c>
      <c r="AE306" s="626">
        <v>1033.4584371</v>
      </c>
      <c r="AF306" s="626">
        <v>992.67332570000008</v>
      </c>
      <c r="AG306" s="626">
        <v>708.33258259999991</v>
      </c>
      <c r="AH306" s="625">
        <v>0.7254443420242731</v>
      </c>
      <c r="AI306" s="625">
        <v>0.23740902761911611</v>
      </c>
      <c r="AJ306" s="625">
        <v>0.37573321738330068</v>
      </c>
      <c r="AK306" s="625">
        <v>1.2103699127451422</v>
      </c>
      <c r="AL306" s="625">
        <v>1.159706981801552</v>
      </c>
      <c r="AM306" s="625">
        <v>1.0931374576356043</v>
      </c>
      <c r="AN306" s="625">
        <v>1.1130200047139238</v>
      </c>
      <c r="AO306" s="625">
        <v>1.2587987266249239</v>
      </c>
      <c r="AP306" s="625">
        <v>1.1100352941010681</v>
      </c>
      <c r="AQ306" s="625">
        <v>1.1808727220160202</v>
      </c>
      <c r="AR306" s="625">
        <v>1.1072254888209732</v>
      </c>
      <c r="AS306" s="625">
        <v>1.401422651007771</v>
      </c>
    </row>
    <row r="307">
      <c r="B307" s="623">
        <v>800000</v>
      </c>
      <c r="C307" s="603" t="s">
        <v>77</v>
      </c>
      <c r="D307" s="0" t="s">
        <v>65</v>
      </c>
      <c r="E307" s="0" t="s">
        <v>70</v>
      </c>
      <c r="F307" s="625">
        <v>4.0742416425125612</v>
      </c>
      <c r="G307" s="625">
        <v>0.72108162932510578</v>
      </c>
      <c r="H307" s="624">
        <v>5.9355226285484752</v>
      </c>
      <c r="I307" s="624">
        <v>16.504216172809805</v>
      </c>
      <c r="J307" s="626">
        <v>800</v>
      </c>
      <c r="K307" s="626">
        <v>990.2855059</v>
      </c>
      <c r="L307" s="626">
        <v>447.709354</v>
      </c>
      <c r="M307" s="626">
        <v>1885.8817106000001</v>
      </c>
      <c r="N307" s="626">
        <v>205.4062</v>
      </c>
      <c r="O307" s="626">
        <v>548.7831273</v>
      </c>
      <c r="P307" s="626">
        <v>257.4514649</v>
      </c>
      <c r="Q307" s="626">
        <v>209.9554331</v>
      </c>
      <c r="R307" s="626">
        <v>1181.5231788</v>
      </c>
      <c r="S307" s="626">
        <v>959.7259868</v>
      </c>
      <c r="T307" s="626">
        <v>1225.8437086</v>
      </c>
      <c r="U307" s="626">
        <v>1104.4386754999998</v>
      </c>
      <c r="V307" s="626">
        <v>1941.6794702000002</v>
      </c>
      <c r="W307" s="626">
        <v>1735.842755</v>
      </c>
      <c r="X307" s="626">
        <v>1420.3202119</v>
      </c>
      <c r="Y307" s="626">
        <v>1145.8712583000001</v>
      </c>
      <c r="Z307" s="626">
        <v>258.7853571</v>
      </c>
      <c r="AA307" s="626">
        <v>233.7368147</v>
      </c>
      <c r="AB307" s="626">
        <v>1257.8435877</v>
      </c>
      <c r="AC307" s="626">
        <v>1077.9326006000001</v>
      </c>
      <c r="AD307" s="626">
        <v>1060.1821192</v>
      </c>
      <c r="AE307" s="626">
        <v>951.8113907</v>
      </c>
      <c r="AF307" s="626">
        <v>928.9488628</v>
      </c>
      <c r="AG307" s="626">
        <v>661.00499320000006</v>
      </c>
      <c r="AH307" s="625">
        <v>0.80784783304140106</v>
      </c>
      <c r="AI307" s="625">
        <v>0.2374005493145871</v>
      </c>
      <c r="AJ307" s="625">
        <v>0.37429394199441829</v>
      </c>
      <c r="AK307" s="625">
        <v>1.226219589004925</v>
      </c>
      <c r="AL307" s="625">
        <v>1.2311047060452356</v>
      </c>
      <c r="AM307" s="625">
        <v>1.1099246484264818</v>
      </c>
      <c r="AN307" s="625">
        <v>1.1185802772992044</v>
      </c>
      <c r="AO307" s="625">
        <v>1.2395111594428045</v>
      </c>
      <c r="AP307" s="625">
        <v>1.1071655846689408</v>
      </c>
      <c r="AQ307" s="625">
        <v>1.1669037442278833</v>
      </c>
      <c r="AR307" s="625">
        <v>1.1138573561237577</v>
      </c>
      <c r="AS307" s="625">
        <v>1.4053583139750969</v>
      </c>
    </row>
    <row r="308">
      <c r="B308" s="623">
        <v>800000</v>
      </c>
      <c r="C308" s="603" t="s">
        <v>78</v>
      </c>
      <c r="D308" s="0" t="s">
        <v>65</v>
      </c>
      <c r="E308" s="0" t="s">
        <v>70</v>
      </c>
      <c r="F308" s="625">
        <v>4.6853778888894446</v>
      </c>
      <c r="G308" s="625">
        <v>0.82924387372387154</v>
      </c>
      <c r="H308" s="624">
        <v>6.8258510228307454</v>
      </c>
      <c r="I308" s="624">
        <v>18.979848598731273</v>
      </c>
      <c r="J308" s="626">
        <v>960</v>
      </c>
      <c r="K308" s="626">
        <v>1188.342607</v>
      </c>
      <c r="L308" s="626">
        <v>537.2512249</v>
      </c>
      <c r="M308" s="626">
        <v>2263.0580528</v>
      </c>
      <c r="N308" s="626">
        <v>246.48744</v>
      </c>
      <c r="O308" s="626">
        <v>658.5397527</v>
      </c>
      <c r="P308" s="626">
        <v>283.1966114</v>
      </c>
      <c r="Q308" s="626">
        <v>230.9509764</v>
      </c>
      <c r="R308" s="626">
        <v>1299.6754967</v>
      </c>
      <c r="S308" s="626">
        <v>1055.6985854</v>
      </c>
      <c r="T308" s="626">
        <v>1348.4280795</v>
      </c>
      <c r="U308" s="626">
        <v>1214.8825430000002</v>
      </c>
      <c r="V308" s="626">
        <v>2135.8474172</v>
      </c>
      <c r="W308" s="626">
        <v>1909.4270305</v>
      </c>
      <c r="X308" s="626">
        <v>1562.3522331000002</v>
      </c>
      <c r="Y308" s="626">
        <v>1260.4583840999999</v>
      </c>
      <c r="Z308" s="626">
        <v>284.66389289999995</v>
      </c>
      <c r="AA308" s="626">
        <v>257.1104962</v>
      </c>
      <c r="AB308" s="626">
        <v>1383.6279464</v>
      </c>
      <c r="AC308" s="626">
        <v>1185.7258606</v>
      </c>
      <c r="AD308" s="626">
        <v>1166.2003311</v>
      </c>
      <c r="AE308" s="626">
        <v>1046.9925298</v>
      </c>
      <c r="AF308" s="626">
        <v>1021.8437491</v>
      </c>
      <c r="AG308" s="626">
        <v>727.1054926</v>
      </c>
      <c r="AH308" s="625">
        <v>0.80784783304140118</v>
      </c>
      <c r="AI308" s="625">
        <v>0.23740054931458715</v>
      </c>
      <c r="AJ308" s="625">
        <v>0.37429394199441829</v>
      </c>
      <c r="AK308" s="625">
        <v>1.2262195890049248</v>
      </c>
      <c r="AL308" s="625">
        <v>1.2311047060452354</v>
      </c>
      <c r="AM308" s="625">
        <v>1.1099246484264818</v>
      </c>
      <c r="AN308" s="625">
        <v>1.1185802772992044</v>
      </c>
      <c r="AO308" s="625">
        <v>1.2395111594428045</v>
      </c>
      <c r="AP308" s="625">
        <v>1.1071655846689408</v>
      </c>
      <c r="AQ308" s="625">
        <v>1.1669037442278831</v>
      </c>
      <c r="AR308" s="625">
        <v>1.1138573561237575</v>
      </c>
      <c r="AS308" s="625">
        <v>1.4053583139750967</v>
      </c>
    </row>
    <row r="309">
      <c r="B309" s="623">
        <v>800000</v>
      </c>
      <c r="C309" s="603" t="s">
        <v>79</v>
      </c>
      <c r="D309" s="0" t="s">
        <v>65</v>
      </c>
      <c r="E309" s="0" t="s">
        <v>70</v>
      </c>
      <c r="F309" s="625">
        <v>5.296514135266329</v>
      </c>
      <c r="G309" s="625">
        <v>0.93740611812263752</v>
      </c>
      <c r="H309" s="624">
        <v>7.7161794171130182</v>
      </c>
      <c r="I309" s="624">
        <v>21.455481024652748</v>
      </c>
      <c r="J309" s="626">
        <v>1040</v>
      </c>
      <c r="K309" s="626">
        <v>1287.3711576</v>
      </c>
      <c r="L309" s="626">
        <v>582.0221603</v>
      </c>
      <c r="M309" s="626">
        <v>2451.6462238</v>
      </c>
      <c r="N309" s="626">
        <v>267.02806</v>
      </c>
      <c r="O309" s="626">
        <v>713.41806539999993</v>
      </c>
      <c r="P309" s="626">
        <v>308.9417579</v>
      </c>
      <c r="Q309" s="626">
        <v>251.9465197</v>
      </c>
      <c r="R309" s="626">
        <v>1417.8278146</v>
      </c>
      <c r="S309" s="626">
        <v>1151.6711841</v>
      </c>
      <c r="T309" s="626">
        <v>1471.0124503</v>
      </c>
      <c r="U309" s="626">
        <v>1325.3264106000001</v>
      </c>
      <c r="V309" s="626">
        <v>2330.0153642</v>
      </c>
      <c r="W309" s="626">
        <v>2083.011306</v>
      </c>
      <c r="X309" s="626">
        <v>1704.3842542999998</v>
      </c>
      <c r="Y309" s="626">
        <v>1375.0455098999998</v>
      </c>
      <c r="Z309" s="626">
        <v>310.5424286</v>
      </c>
      <c r="AA309" s="626">
        <v>280.4841777</v>
      </c>
      <c r="AB309" s="626">
        <v>1509.4123052</v>
      </c>
      <c r="AC309" s="626">
        <v>1293.5191207</v>
      </c>
      <c r="AD309" s="626">
        <v>1272.218543</v>
      </c>
      <c r="AE309" s="626">
        <v>1142.1736689</v>
      </c>
      <c r="AF309" s="626">
        <v>1114.7386354</v>
      </c>
      <c r="AG309" s="626">
        <v>793.20599190000007</v>
      </c>
      <c r="AH309" s="625">
        <v>0.80784783304140106</v>
      </c>
      <c r="AI309" s="625">
        <v>0.2374005493145871</v>
      </c>
      <c r="AJ309" s="625">
        <v>0.37429394199441834</v>
      </c>
      <c r="AK309" s="625">
        <v>1.226219589004925</v>
      </c>
      <c r="AL309" s="625">
        <v>1.2311047060452354</v>
      </c>
      <c r="AM309" s="625">
        <v>1.1099246484264818</v>
      </c>
      <c r="AN309" s="625">
        <v>1.1185802772992044</v>
      </c>
      <c r="AO309" s="625">
        <v>1.2395111594428045</v>
      </c>
      <c r="AP309" s="625">
        <v>1.107165584668941</v>
      </c>
      <c r="AQ309" s="625">
        <v>1.1669037442278833</v>
      </c>
      <c r="AR309" s="625">
        <v>1.1138573561237575</v>
      </c>
      <c r="AS309" s="625">
        <v>1.4053583139750969</v>
      </c>
    </row>
    <row r="310">
      <c r="B310" s="623">
        <v>957039</v>
      </c>
      <c r="C310" s="603" t="s">
        <v>77</v>
      </c>
      <c r="D310" s="0" t="s">
        <v>65</v>
      </c>
      <c r="E310" s="0" t="s">
        <v>70</v>
      </c>
      <c r="F310" s="625">
        <v>4.3675546182651486</v>
      </c>
      <c r="G310" s="625">
        <v>0.883094592083931</v>
      </c>
      <c r="H310" s="624">
        <v>5.7776537600117308</v>
      </c>
      <c r="I310" s="624">
        <v>15.328709082385155</v>
      </c>
      <c r="J310" s="626">
        <v>957.039</v>
      </c>
      <c r="K310" s="626">
        <v>1030.1100523</v>
      </c>
      <c r="L310" s="626">
        <v>505.60338540000004</v>
      </c>
      <c r="M310" s="626">
        <v>2129.8452238</v>
      </c>
      <c r="N310" s="626">
        <v>205.4062</v>
      </c>
      <c r="O310" s="626">
        <v>552.0843329</v>
      </c>
      <c r="P310" s="626">
        <v>296.7548946</v>
      </c>
      <c r="Q310" s="626">
        <v>238.1101338</v>
      </c>
      <c r="R310" s="626">
        <v>1354.1620795</v>
      </c>
      <c r="S310" s="626">
        <v>1015.8024297</v>
      </c>
      <c r="T310" s="626">
        <v>1479.6020927</v>
      </c>
      <c r="U310" s="626">
        <v>1309.9413669</v>
      </c>
      <c r="V310" s="626">
        <v>2174.6379868</v>
      </c>
      <c r="W310" s="626">
        <v>1931.5279088999998</v>
      </c>
      <c r="X310" s="626">
        <v>1796.159952</v>
      </c>
      <c r="Y310" s="626">
        <v>1472.0131815</v>
      </c>
      <c r="Z310" s="626">
        <v>310.6960767</v>
      </c>
      <c r="AA310" s="626">
        <v>281.4506753</v>
      </c>
      <c r="AB310" s="626">
        <v>1513.2295396</v>
      </c>
      <c r="AC310" s="626">
        <v>1314.2258751999998</v>
      </c>
      <c r="AD310" s="626">
        <v>1227.621053</v>
      </c>
      <c r="AE310" s="626">
        <v>1094.0824848</v>
      </c>
      <c r="AF310" s="626">
        <v>1088.6906475</v>
      </c>
      <c r="AG310" s="626">
        <v>772.0752876</v>
      </c>
      <c r="AH310" s="625">
        <v>0.92906481001578445</v>
      </c>
      <c r="AI310" s="625">
        <v>0.2373897313014941</v>
      </c>
      <c r="AJ310" s="625">
        <v>0.37205583958758104</v>
      </c>
      <c r="AK310" s="625">
        <v>1.2462925867620147</v>
      </c>
      <c r="AL310" s="625">
        <v>1.333095924875491</v>
      </c>
      <c r="AM310" s="625">
        <v>1.1295178014195777</v>
      </c>
      <c r="AN310" s="625">
        <v>1.1258641289954212</v>
      </c>
      <c r="AO310" s="625">
        <v>1.2202064319742678</v>
      </c>
      <c r="AP310" s="625">
        <v>1.1039095087565889</v>
      </c>
      <c r="AQ310" s="625">
        <v>1.1514227258270722</v>
      </c>
      <c r="AR310" s="625">
        <v>1.1220553021102528</v>
      </c>
      <c r="AS310" s="625">
        <v>1.4100835308129291</v>
      </c>
    </row>
    <row r="311">
      <c r="B311" s="623">
        <v>957039</v>
      </c>
      <c r="C311" s="603" t="s">
        <v>78</v>
      </c>
      <c r="D311" s="0" t="s">
        <v>65</v>
      </c>
      <c r="E311" s="0" t="s">
        <v>70</v>
      </c>
      <c r="F311" s="625">
        <v>5.0226878110049205</v>
      </c>
      <c r="G311" s="625">
        <v>1.0155587808965205</v>
      </c>
      <c r="H311" s="624">
        <v>6.64430182401349</v>
      </c>
      <c r="I311" s="624">
        <v>17.628015444742928</v>
      </c>
      <c r="J311" s="626">
        <v>1148.4468</v>
      </c>
      <c r="K311" s="626">
        <v>1236.1320627</v>
      </c>
      <c r="L311" s="626">
        <v>606.7240625</v>
      </c>
      <c r="M311" s="626">
        <v>2555.8142686</v>
      </c>
      <c r="N311" s="626">
        <v>246.48744</v>
      </c>
      <c r="O311" s="626">
        <v>662.5011995</v>
      </c>
      <c r="P311" s="626">
        <v>326.4303841</v>
      </c>
      <c r="Q311" s="626">
        <v>261.9211472</v>
      </c>
      <c r="R311" s="626">
        <v>1489.5782874000001</v>
      </c>
      <c r="S311" s="626">
        <v>1117.3826726</v>
      </c>
      <c r="T311" s="626">
        <v>1627.5623019999998</v>
      </c>
      <c r="U311" s="626">
        <v>1440.9355036</v>
      </c>
      <c r="V311" s="626">
        <v>2392.1017854</v>
      </c>
      <c r="W311" s="626">
        <v>2124.6806998</v>
      </c>
      <c r="X311" s="626">
        <v>1975.7759472</v>
      </c>
      <c r="Y311" s="626">
        <v>1619.2144996</v>
      </c>
      <c r="Z311" s="626">
        <v>341.76568430000003</v>
      </c>
      <c r="AA311" s="626">
        <v>309.5957428</v>
      </c>
      <c r="AB311" s="626">
        <v>1664.5524935</v>
      </c>
      <c r="AC311" s="626">
        <v>1445.6484627</v>
      </c>
      <c r="AD311" s="626">
        <v>1350.3831583</v>
      </c>
      <c r="AE311" s="626">
        <v>1203.4907331999998</v>
      </c>
      <c r="AF311" s="626">
        <v>1197.5597123</v>
      </c>
      <c r="AG311" s="626">
        <v>849.28281629999992</v>
      </c>
      <c r="AH311" s="625">
        <v>0.92906481001578445</v>
      </c>
      <c r="AI311" s="625">
        <v>0.2373897313014941</v>
      </c>
      <c r="AJ311" s="625">
        <v>0.37205583958758104</v>
      </c>
      <c r="AK311" s="625">
        <v>1.2462925867620147</v>
      </c>
      <c r="AL311" s="625">
        <v>1.333095924875491</v>
      </c>
      <c r="AM311" s="625">
        <v>1.1295178014195777</v>
      </c>
      <c r="AN311" s="625">
        <v>1.1258641289954212</v>
      </c>
      <c r="AO311" s="625">
        <v>1.2202064319742678</v>
      </c>
      <c r="AP311" s="625">
        <v>1.1039095087565889</v>
      </c>
      <c r="AQ311" s="625">
        <v>1.1514227258270724</v>
      </c>
      <c r="AR311" s="625">
        <v>1.1220553021102531</v>
      </c>
      <c r="AS311" s="625">
        <v>1.4100835308129291</v>
      </c>
    </row>
    <row r="312">
      <c r="B312" s="623">
        <v>957039</v>
      </c>
      <c r="C312" s="603" t="s">
        <v>79</v>
      </c>
      <c r="D312" s="0" t="s">
        <v>65</v>
      </c>
      <c r="E312" s="0" t="s">
        <v>70</v>
      </c>
      <c r="F312" s="625">
        <v>5.6778210037446932</v>
      </c>
      <c r="G312" s="625">
        <v>1.1480229697091104</v>
      </c>
      <c r="H312" s="624">
        <v>7.5109498880152508</v>
      </c>
      <c r="I312" s="624">
        <v>19.927321807100704</v>
      </c>
      <c r="J312" s="626">
        <v>1244.1507</v>
      </c>
      <c r="K312" s="626">
        <v>1339.1430679</v>
      </c>
      <c r="L312" s="626">
        <v>657.284401</v>
      </c>
      <c r="M312" s="626">
        <v>2768.7987909</v>
      </c>
      <c r="N312" s="626">
        <v>267.02806</v>
      </c>
      <c r="O312" s="626">
        <v>717.7096328</v>
      </c>
      <c r="P312" s="626">
        <v>356.1058735</v>
      </c>
      <c r="Q312" s="626">
        <v>285.7321606</v>
      </c>
      <c r="R312" s="626">
        <v>1624.9944954</v>
      </c>
      <c r="S312" s="626">
        <v>1218.9629155999999</v>
      </c>
      <c r="T312" s="626">
        <v>1775.5225113</v>
      </c>
      <c r="U312" s="626">
        <v>1571.9296403</v>
      </c>
      <c r="V312" s="626">
        <v>2609.5655841000003</v>
      </c>
      <c r="W312" s="626">
        <v>2317.8334906</v>
      </c>
      <c r="X312" s="626">
        <v>2155.3919424</v>
      </c>
      <c r="Y312" s="626">
        <v>1766.4158177</v>
      </c>
      <c r="Z312" s="626">
        <v>372.83529200000004</v>
      </c>
      <c r="AA312" s="626">
        <v>337.7408103</v>
      </c>
      <c r="AB312" s="626">
        <v>1815.8754475</v>
      </c>
      <c r="AC312" s="626">
        <v>1577.0710502</v>
      </c>
      <c r="AD312" s="626">
        <v>1473.1452636</v>
      </c>
      <c r="AE312" s="626">
        <v>1312.8989817</v>
      </c>
      <c r="AF312" s="626">
        <v>1306.428777</v>
      </c>
      <c r="AG312" s="626">
        <v>926.4903451</v>
      </c>
      <c r="AH312" s="625">
        <v>0.92906481001578434</v>
      </c>
      <c r="AI312" s="625">
        <v>0.2373897313014941</v>
      </c>
      <c r="AJ312" s="625">
        <v>0.37205583958758104</v>
      </c>
      <c r="AK312" s="625">
        <v>1.2462925867620147</v>
      </c>
      <c r="AL312" s="625">
        <v>1.333095924875491</v>
      </c>
      <c r="AM312" s="625">
        <v>1.1295178014195775</v>
      </c>
      <c r="AN312" s="625">
        <v>1.1258641289954212</v>
      </c>
      <c r="AO312" s="625">
        <v>1.220206431974268</v>
      </c>
      <c r="AP312" s="625">
        <v>1.1039095087565887</v>
      </c>
      <c r="AQ312" s="625">
        <v>1.1514227258270724</v>
      </c>
      <c r="AR312" s="625">
        <v>1.1220553021102531</v>
      </c>
      <c r="AS312" s="625">
        <v>1.4100835308129291</v>
      </c>
    </row>
    <row r="313">
      <c r="B313" s="623">
        <v>1000000</v>
      </c>
      <c r="C313" s="603" t="s">
        <v>77</v>
      </c>
      <c r="D313" s="0" t="s">
        <v>65</v>
      </c>
      <c r="E313" s="0" t="s">
        <v>70</v>
      </c>
      <c r="F313" s="625">
        <v>4.4375208732178182</v>
      </c>
      <c r="G313" s="625">
        <v>0.92741631403250357</v>
      </c>
      <c r="H313" s="624">
        <v>5.7424935831026644</v>
      </c>
      <c r="I313" s="624">
        <v>15.063509893489572</v>
      </c>
      <c r="J313" s="626">
        <v>1000</v>
      </c>
      <c r="K313" s="626">
        <v>1041.004813</v>
      </c>
      <c r="L313" s="626">
        <v>521.4413968</v>
      </c>
      <c r="M313" s="626">
        <v>2196.5860747</v>
      </c>
      <c r="N313" s="626">
        <v>205.4062</v>
      </c>
      <c r="O313" s="626">
        <v>552.9874404</v>
      </c>
      <c r="P313" s="626">
        <v>307.507094</v>
      </c>
      <c r="Q313" s="626">
        <v>245.8123868</v>
      </c>
      <c r="R313" s="626">
        <v>1401.3907285</v>
      </c>
      <c r="S313" s="626">
        <v>1031.1432053</v>
      </c>
      <c r="T313" s="626">
        <v>1549.0225166</v>
      </c>
      <c r="U313" s="626">
        <v>1366.1605298</v>
      </c>
      <c r="V313" s="626">
        <v>2238.3682119</v>
      </c>
      <c r="W313" s="626">
        <v>1985.0612979999999</v>
      </c>
      <c r="X313" s="626">
        <v>1898.9780486000002</v>
      </c>
      <c r="Y313" s="626">
        <v>1561.2354967</v>
      </c>
      <c r="Z313" s="626">
        <v>324.8972396</v>
      </c>
      <c r="AA313" s="626">
        <v>294.5037077</v>
      </c>
      <c r="AB313" s="626">
        <v>1583.0952155</v>
      </c>
      <c r="AC313" s="626">
        <v>1378.8683867</v>
      </c>
      <c r="AD313" s="626">
        <v>1273.4271523</v>
      </c>
      <c r="AE313" s="626">
        <v>1133.0034437</v>
      </c>
      <c r="AF313" s="626">
        <v>1132.3910456</v>
      </c>
      <c r="AG313" s="626">
        <v>802.4606753</v>
      </c>
      <c r="AH313" s="625">
        <v>0.96061035210637591</v>
      </c>
      <c r="AI313" s="625">
        <v>0.23738719044237258</v>
      </c>
      <c r="AJ313" s="625">
        <v>0.37144821925559873</v>
      </c>
      <c r="AK313" s="625">
        <v>1.2509829065134432</v>
      </c>
      <c r="AL313" s="625">
        <v>1.3590650855055595</v>
      </c>
      <c r="AM313" s="625">
        <v>1.1338510246534201</v>
      </c>
      <c r="AN313" s="625">
        <v>1.1276065954037831</v>
      </c>
      <c r="AO313" s="625">
        <v>1.2163303054489247</v>
      </c>
      <c r="AP313" s="625">
        <v>1.10320254404423</v>
      </c>
      <c r="AQ313" s="625">
        <v>1.1481119088025609</v>
      </c>
      <c r="AR313" s="625">
        <v>1.1239393484539013</v>
      </c>
      <c r="AS313" s="625">
        <v>1.4111483345944738</v>
      </c>
    </row>
    <row r="314">
      <c r="B314" s="623">
        <v>1000000</v>
      </c>
      <c r="C314" s="603" t="s">
        <v>78</v>
      </c>
      <c r="D314" s="0" t="s">
        <v>65</v>
      </c>
      <c r="E314" s="0" t="s">
        <v>70</v>
      </c>
      <c r="F314" s="625">
        <v>5.1031490042004908</v>
      </c>
      <c r="G314" s="625">
        <v>1.066528761137379</v>
      </c>
      <c r="H314" s="624">
        <v>6.6038676205680638</v>
      </c>
      <c r="I314" s="624">
        <v>17.323036377513006</v>
      </c>
      <c r="J314" s="626">
        <v>1200</v>
      </c>
      <c r="K314" s="626">
        <v>1249.2057756000002</v>
      </c>
      <c r="L314" s="626">
        <v>625.7296762</v>
      </c>
      <c r="M314" s="626">
        <v>2635.9032897</v>
      </c>
      <c r="N314" s="626">
        <v>246.48744</v>
      </c>
      <c r="O314" s="626">
        <v>663.5849285</v>
      </c>
      <c r="P314" s="626">
        <v>338.2578034</v>
      </c>
      <c r="Q314" s="626">
        <v>270.3936254</v>
      </c>
      <c r="R314" s="626">
        <v>1541.5298013</v>
      </c>
      <c r="S314" s="626">
        <v>1134.2575258</v>
      </c>
      <c r="T314" s="626">
        <v>1703.9247682</v>
      </c>
      <c r="U314" s="626">
        <v>1502.7765828</v>
      </c>
      <c r="V314" s="626">
        <v>2462.2050331</v>
      </c>
      <c r="W314" s="626">
        <v>2183.5674278</v>
      </c>
      <c r="X314" s="626">
        <v>2088.8758534</v>
      </c>
      <c r="Y314" s="626">
        <v>1717.3590464000001</v>
      </c>
      <c r="Z314" s="626">
        <v>357.38696350000004</v>
      </c>
      <c r="AA314" s="626">
        <v>323.9540785</v>
      </c>
      <c r="AB314" s="626">
        <v>1741.404737</v>
      </c>
      <c r="AC314" s="626">
        <v>1516.7552254000002</v>
      </c>
      <c r="AD314" s="626">
        <v>1400.7698675</v>
      </c>
      <c r="AE314" s="626">
        <v>1246.3037881</v>
      </c>
      <c r="AF314" s="626">
        <v>1245.6301502000001</v>
      </c>
      <c r="AG314" s="626">
        <v>882.7067429</v>
      </c>
      <c r="AH314" s="625">
        <v>0.960610352106376</v>
      </c>
      <c r="AI314" s="625">
        <v>0.23738719044237255</v>
      </c>
      <c r="AJ314" s="625">
        <v>0.37144821925559868</v>
      </c>
      <c r="AK314" s="625">
        <v>1.2509829065134432</v>
      </c>
      <c r="AL314" s="625">
        <v>1.3590650855055593</v>
      </c>
      <c r="AM314" s="625">
        <v>1.1338510246534201</v>
      </c>
      <c r="AN314" s="625">
        <v>1.1276065954037833</v>
      </c>
      <c r="AO314" s="625">
        <v>1.216330305448925</v>
      </c>
      <c r="AP314" s="625">
        <v>1.1032025440442297</v>
      </c>
      <c r="AQ314" s="625">
        <v>1.1481119088025609</v>
      </c>
      <c r="AR314" s="625">
        <v>1.1239393484539013</v>
      </c>
      <c r="AS314" s="625">
        <v>1.4111483345944735</v>
      </c>
    </row>
    <row r="315">
      <c r="B315" s="623">
        <v>1000000</v>
      </c>
      <c r="C315" s="603" t="s">
        <v>79</v>
      </c>
      <c r="D315" s="0" t="s">
        <v>65</v>
      </c>
      <c r="E315" s="0" t="s">
        <v>70</v>
      </c>
      <c r="F315" s="625">
        <v>5.7687771351831634</v>
      </c>
      <c r="G315" s="625">
        <v>1.2056412082422547</v>
      </c>
      <c r="H315" s="624">
        <v>7.465241658033464</v>
      </c>
      <c r="I315" s="624">
        <v>19.582562861536445</v>
      </c>
      <c r="J315" s="626">
        <v>1300</v>
      </c>
      <c r="K315" s="626">
        <v>1353.306257</v>
      </c>
      <c r="L315" s="626">
        <v>677.87381590000007</v>
      </c>
      <c r="M315" s="626">
        <v>2855.5618971000004</v>
      </c>
      <c r="N315" s="626">
        <v>267.02806</v>
      </c>
      <c r="O315" s="626">
        <v>718.8836725</v>
      </c>
      <c r="P315" s="626">
        <v>369.0085128</v>
      </c>
      <c r="Q315" s="626">
        <v>294.9748641</v>
      </c>
      <c r="R315" s="626">
        <v>1681.6688742</v>
      </c>
      <c r="S315" s="626">
        <v>1237.3718463999999</v>
      </c>
      <c r="T315" s="626">
        <v>1858.8270198999999</v>
      </c>
      <c r="U315" s="626">
        <v>1639.3926358</v>
      </c>
      <c r="V315" s="626">
        <v>2686.0418542999996</v>
      </c>
      <c r="W315" s="626">
        <v>2382.0735575999997</v>
      </c>
      <c r="X315" s="626">
        <v>2278.7736582999996</v>
      </c>
      <c r="Y315" s="626">
        <v>1873.4825959999998</v>
      </c>
      <c r="Z315" s="626">
        <v>389.8766875</v>
      </c>
      <c r="AA315" s="626">
        <v>353.40444929999995</v>
      </c>
      <c r="AB315" s="626">
        <v>1899.7142586</v>
      </c>
      <c r="AC315" s="626">
        <v>1654.6420641</v>
      </c>
      <c r="AD315" s="626">
        <v>1528.1125828</v>
      </c>
      <c r="AE315" s="626">
        <v>1359.6041325</v>
      </c>
      <c r="AF315" s="626">
        <v>1358.8692546999998</v>
      </c>
      <c r="AG315" s="626">
        <v>962.9528104</v>
      </c>
      <c r="AH315" s="625">
        <v>0.9606103521063758</v>
      </c>
      <c r="AI315" s="625">
        <v>0.23738719044237255</v>
      </c>
      <c r="AJ315" s="625">
        <v>0.37144821925559868</v>
      </c>
      <c r="AK315" s="625">
        <v>1.2509829065134432</v>
      </c>
      <c r="AL315" s="625">
        <v>1.3590650855055595</v>
      </c>
      <c r="AM315" s="625">
        <v>1.1338510246534204</v>
      </c>
      <c r="AN315" s="625">
        <v>1.1276065954037833</v>
      </c>
      <c r="AO315" s="625">
        <v>1.2163303054489247</v>
      </c>
      <c r="AP315" s="625">
        <v>1.10320254404423</v>
      </c>
      <c r="AQ315" s="625">
        <v>1.1481119088025609</v>
      </c>
      <c r="AR315" s="625">
        <v>1.1239393484539013</v>
      </c>
      <c r="AS315" s="625">
        <v>1.4111483345944735</v>
      </c>
    </row>
    <row r="316">
      <c r="B316" s="623">
        <v>1101400</v>
      </c>
      <c r="C316" s="603" t="s">
        <v>77</v>
      </c>
      <c r="D316" s="0" t="s">
        <v>65</v>
      </c>
      <c r="E316" s="0" t="s">
        <v>70</v>
      </c>
      <c r="F316" s="625">
        <v>4.5883277109566043</v>
      </c>
      <c r="G316" s="625">
        <v>1.0320279991791543</v>
      </c>
      <c r="H316" s="624">
        <v>5.6696812420121034</v>
      </c>
      <c r="I316" s="624">
        <v>14.510314557572562</v>
      </c>
      <c r="J316" s="626">
        <v>1101.4</v>
      </c>
      <c r="K316" s="626">
        <v>1066.7195018</v>
      </c>
      <c r="L316" s="626">
        <v>558.8235425</v>
      </c>
      <c r="M316" s="626">
        <v>2354.1131873</v>
      </c>
      <c r="N316" s="626">
        <v>205.4062</v>
      </c>
      <c r="O316" s="626">
        <v>555.11902709999993</v>
      </c>
      <c r="P316" s="626">
        <v>332.88529800000003</v>
      </c>
      <c r="Q316" s="626">
        <v>263.9918623</v>
      </c>
      <c r="R316" s="626">
        <v>1512.8635762</v>
      </c>
      <c r="S316" s="626">
        <v>1067.3517351</v>
      </c>
      <c r="T316" s="626">
        <v>1712.8741722</v>
      </c>
      <c r="U316" s="626">
        <v>1498.8535098999998</v>
      </c>
      <c r="V316" s="626">
        <v>2388.789404</v>
      </c>
      <c r="W316" s="626">
        <v>2111.4150993</v>
      </c>
      <c r="X316" s="626">
        <v>2141.6575717</v>
      </c>
      <c r="Y316" s="626">
        <v>1771.8251656</v>
      </c>
      <c r="Z316" s="626">
        <v>358.415964</v>
      </c>
      <c r="AA316" s="626">
        <v>325.31252240000003</v>
      </c>
      <c r="AB316" s="626">
        <v>1747.9977908</v>
      </c>
      <c r="AC316" s="626">
        <v>1531.4428303</v>
      </c>
      <c r="AD316" s="626">
        <v>1381.5423841</v>
      </c>
      <c r="AE316" s="626">
        <v>1224.8678146</v>
      </c>
      <c r="AF316" s="626">
        <v>1235.5362323</v>
      </c>
      <c r="AG316" s="626">
        <v>874.1787062</v>
      </c>
      <c r="AH316" s="625">
        <v>1.0325113566959707</v>
      </c>
      <c r="AI316" s="625">
        <v>0.23738176462885158</v>
      </c>
      <c r="AJ316" s="625">
        <v>0.37002190513985461</v>
      </c>
      <c r="AK316" s="625">
        <v>1.2609680282338223</v>
      </c>
      <c r="AL316" s="625">
        <v>1.4173992756175535</v>
      </c>
      <c r="AM316" s="625">
        <v>1.1427895793906584</v>
      </c>
      <c r="AN316" s="625">
        <v>1.1313689121209567</v>
      </c>
      <c r="AO316" s="625">
        <v>1.208729627148917</v>
      </c>
      <c r="AP316" s="625">
        <v>1.1017588910239302</v>
      </c>
      <c r="AQ316" s="625">
        <v>1.141405840423295</v>
      </c>
      <c r="AR316" s="625">
        <v>1.127911410254081</v>
      </c>
      <c r="AS316" s="625">
        <v>1.4133680259278503</v>
      </c>
    </row>
    <row r="317">
      <c r="B317" s="623">
        <v>1101400</v>
      </c>
      <c r="C317" s="603" t="s">
        <v>78</v>
      </c>
      <c r="D317" s="0" t="s">
        <v>65</v>
      </c>
      <c r="E317" s="0" t="s">
        <v>70</v>
      </c>
      <c r="F317" s="625">
        <v>5.2765768676000944</v>
      </c>
      <c r="G317" s="625">
        <v>1.1868321990560273</v>
      </c>
      <c r="H317" s="624">
        <v>6.5201334283139181</v>
      </c>
      <c r="I317" s="624">
        <v>16.686861741208446</v>
      </c>
      <c r="J317" s="626">
        <v>1321.68</v>
      </c>
      <c r="K317" s="626">
        <v>1280.0634021</v>
      </c>
      <c r="L317" s="626">
        <v>670.588251</v>
      </c>
      <c r="M317" s="626">
        <v>2824.9358248</v>
      </c>
      <c r="N317" s="626">
        <v>246.48744</v>
      </c>
      <c r="O317" s="626">
        <v>666.1428326</v>
      </c>
      <c r="P317" s="626">
        <v>366.1738278</v>
      </c>
      <c r="Q317" s="626">
        <v>290.39104849999995</v>
      </c>
      <c r="R317" s="626">
        <v>1664.1499338</v>
      </c>
      <c r="S317" s="626">
        <v>1174.0869086</v>
      </c>
      <c r="T317" s="626">
        <v>1884.1615894</v>
      </c>
      <c r="U317" s="626">
        <v>1648.7388609</v>
      </c>
      <c r="V317" s="626">
        <v>2627.6683444</v>
      </c>
      <c r="W317" s="626">
        <v>2322.5566093</v>
      </c>
      <c r="X317" s="626">
        <v>2355.8233289</v>
      </c>
      <c r="Y317" s="626">
        <v>1949.0076821</v>
      </c>
      <c r="Z317" s="626">
        <v>394.2575604</v>
      </c>
      <c r="AA317" s="626">
        <v>357.8437747</v>
      </c>
      <c r="AB317" s="626">
        <v>1922.7975699</v>
      </c>
      <c r="AC317" s="626">
        <v>1684.5871134</v>
      </c>
      <c r="AD317" s="626">
        <v>1519.6966225</v>
      </c>
      <c r="AE317" s="626">
        <v>1347.354596</v>
      </c>
      <c r="AF317" s="626">
        <v>1359.0898555</v>
      </c>
      <c r="AG317" s="626">
        <v>961.59657680000009</v>
      </c>
      <c r="AH317" s="625">
        <v>1.0325113566959707</v>
      </c>
      <c r="AI317" s="625">
        <v>0.23738176462885158</v>
      </c>
      <c r="AJ317" s="625">
        <v>0.37002190513985461</v>
      </c>
      <c r="AK317" s="625">
        <v>1.2609680282338225</v>
      </c>
      <c r="AL317" s="625">
        <v>1.4173992756175535</v>
      </c>
      <c r="AM317" s="625">
        <v>1.1427895793906584</v>
      </c>
      <c r="AN317" s="625">
        <v>1.1313689121209567</v>
      </c>
      <c r="AO317" s="625">
        <v>1.208729627148917</v>
      </c>
      <c r="AP317" s="625">
        <v>1.1017588910239302</v>
      </c>
      <c r="AQ317" s="625">
        <v>1.1414058404232947</v>
      </c>
      <c r="AR317" s="625">
        <v>1.1279114102540813</v>
      </c>
      <c r="AS317" s="625">
        <v>1.4133680259278503</v>
      </c>
    </row>
    <row r="318">
      <c r="B318" s="623">
        <v>1101400</v>
      </c>
      <c r="C318" s="603" t="s">
        <v>79</v>
      </c>
      <c r="D318" s="0" t="s">
        <v>65</v>
      </c>
      <c r="E318" s="0" t="s">
        <v>70</v>
      </c>
      <c r="F318" s="625">
        <v>5.9648260242435853</v>
      </c>
      <c r="G318" s="625">
        <v>1.3416363989329008</v>
      </c>
      <c r="H318" s="624">
        <v>7.3705856146157345</v>
      </c>
      <c r="I318" s="624">
        <v>18.863408924844332</v>
      </c>
      <c r="J318" s="626">
        <v>1431.82</v>
      </c>
      <c r="K318" s="626">
        <v>1386.7353523</v>
      </c>
      <c r="L318" s="626">
        <v>726.4706053000001</v>
      </c>
      <c r="M318" s="626">
        <v>3060.3471434999997</v>
      </c>
      <c r="N318" s="626">
        <v>267.02806</v>
      </c>
      <c r="O318" s="626">
        <v>721.6547353</v>
      </c>
      <c r="P318" s="626">
        <v>399.46235759999996</v>
      </c>
      <c r="Q318" s="626">
        <v>316.7902347</v>
      </c>
      <c r="R318" s="626">
        <v>1815.4362914</v>
      </c>
      <c r="S318" s="626">
        <v>1280.8220821</v>
      </c>
      <c r="T318" s="626">
        <v>2055.4490066</v>
      </c>
      <c r="U318" s="626">
        <v>1798.6242119</v>
      </c>
      <c r="V318" s="626">
        <v>2866.5472848</v>
      </c>
      <c r="W318" s="626">
        <v>2533.6981192000003</v>
      </c>
      <c r="X318" s="626">
        <v>2569.9890861</v>
      </c>
      <c r="Y318" s="626">
        <v>2126.1901987</v>
      </c>
      <c r="Z318" s="626">
        <v>430.0991568</v>
      </c>
      <c r="AA318" s="626">
        <v>390.3750269</v>
      </c>
      <c r="AB318" s="626">
        <v>2097.597349</v>
      </c>
      <c r="AC318" s="626">
        <v>1837.7313964</v>
      </c>
      <c r="AD318" s="626">
        <v>1657.8508609</v>
      </c>
      <c r="AE318" s="626">
        <v>1469.8413775</v>
      </c>
      <c r="AF318" s="626">
        <v>1482.6434787</v>
      </c>
      <c r="AG318" s="626">
        <v>1049.0144473999999</v>
      </c>
      <c r="AH318" s="625">
        <v>1.0325113566959707</v>
      </c>
      <c r="AI318" s="625">
        <v>0.23738176462885161</v>
      </c>
      <c r="AJ318" s="625">
        <v>0.37002190513985456</v>
      </c>
      <c r="AK318" s="625">
        <v>1.2609680282338223</v>
      </c>
      <c r="AL318" s="625">
        <v>1.4173992756175537</v>
      </c>
      <c r="AM318" s="625">
        <v>1.1427895793906584</v>
      </c>
      <c r="AN318" s="625">
        <v>1.1313689121209567</v>
      </c>
      <c r="AO318" s="625">
        <v>1.208729627148917</v>
      </c>
      <c r="AP318" s="625">
        <v>1.1017588910239302</v>
      </c>
      <c r="AQ318" s="625">
        <v>1.1414058404232947</v>
      </c>
      <c r="AR318" s="625">
        <v>1.1279114102540813</v>
      </c>
      <c r="AS318" s="625">
        <v>1.4133680259278503</v>
      </c>
    </row>
    <row r="319">
      <c r="B319" s="623">
        <v>1257800</v>
      </c>
      <c r="C319" s="603" t="s">
        <v>77</v>
      </c>
      <c r="D319" s="0" t="s">
        <v>65</v>
      </c>
      <c r="E319" s="0" t="s">
        <v>70</v>
      </c>
      <c r="F319" s="625">
        <v>4.7879788565497039</v>
      </c>
      <c r="G319" s="625">
        <v>1.1933817226203394</v>
      </c>
      <c r="H319" s="624">
        <v>5.5790825679422742</v>
      </c>
      <c r="I319" s="624">
        <v>13.814350839340532</v>
      </c>
      <c r="J319" s="626">
        <v>1257.8</v>
      </c>
      <c r="K319" s="626">
        <v>1106.382</v>
      </c>
      <c r="L319" s="626">
        <v>616.482</v>
      </c>
      <c r="M319" s="626">
        <v>2597.084</v>
      </c>
      <c r="N319" s="626">
        <v>205.4062</v>
      </c>
      <c r="O319" s="626">
        <v>558.40680000000009</v>
      </c>
      <c r="P319" s="626">
        <v>372.0288</v>
      </c>
      <c r="Q319" s="626">
        <v>292.032</v>
      </c>
      <c r="R319" s="626">
        <v>1684.8</v>
      </c>
      <c r="S319" s="626">
        <v>1123.2</v>
      </c>
      <c r="T319" s="626">
        <v>1965.6</v>
      </c>
      <c r="U319" s="626">
        <v>1703.52</v>
      </c>
      <c r="V319" s="626">
        <v>2620.8</v>
      </c>
      <c r="W319" s="626">
        <v>2306.304</v>
      </c>
      <c r="X319" s="626">
        <v>2515.968</v>
      </c>
      <c r="Y319" s="626">
        <v>2096.64</v>
      </c>
      <c r="Z319" s="626">
        <v>410.115456</v>
      </c>
      <c r="AA319" s="626">
        <v>372.8322328</v>
      </c>
      <c r="AB319" s="626">
        <v>2002.3445637999998</v>
      </c>
      <c r="AC319" s="626">
        <v>1766.7746151000001</v>
      </c>
      <c r="AD319" s="626">
        <v>1548.3</v>
      </c>
      <c r="AE319" s="626">
        <v>1366.56</v>
      </c>
      <c r="AF319" s="626">
        <v>1394.6280192</v>
      </c>
      <c r="AG319" s="626">
        <v>984.7970496</v>
      </c>
      <c r="AH319" s="625">
        <v>1.1368586979903868</v>
      </c>
      <c r="AI319" s="625">
        <v>0.23737468637903125</v>
      </c>
      <c r="AJ319" s="625">
        <v>0.36784329990250847</v>
      </c>
      <c r="AK319" s="625">
        <v>1.2739316239316239</v>
      </c>
      <c r="AL319" s="625">
        <v>1.5</v>
      </c>
      <c r="AM319" s="625">
        <v>1.1538461538461537</v>
      </c>
      <c r="AN319" s="625">
        <v>1.1363636363636362</v>
      </c>
      <c r="AO319" s="625">
        <v>1.1999999999999997</v>
      </c>
      <c r="AP319" s="625">
        <v>1.0999999999999999</v>
      </c>
      <c r="AQ319" s="625">
        <v>1.1333333333333335</v>
      </c>
      <c r="AR319" s="625">
        <v>1.1329908675799087</v>
      </c>
      <c r="AS319" s="625">
        <v>1.416157795931164</v>
      </c>
    </row>
    <row r="320">
      <c r="B320" s="623">
        <v>1257800</v>
      </c>
      <c r="C320" s="603" t="s">
        <v>78</v>
      </c>
      <c r="D320" s="0" t="s">
        <v>65</v>
      </c>
      <c r="E320" s="0" t="s">
        <v>70</v>
      </c>
      <c r="F320" s="625">
        <v>5.50617568503216</v>
      </c>
      <c r="G320" s="625">
        <v>1.3723889810133902</v>
      </c>
      <c r="H320" s="624">
        <v>6.4159449531336152</v>
      </c>
      <c r="I320" s="624">
        <v>15.886503465241612</v>
      </c>
      <c r="J320" s="626">
        <v>1509.36</v>
      </c>
      <c r="K320" s="626">
        <v>1327.6583999999998</v>
      </c>
      <c r="L320" s="626">
        <v>739.7784</v>
      </c>
      <c r="M320" s="626">
        <v>3116.5008</v>
      </c>
      <c r="N320" s="626">
        <v>246.48744</v>
      </c>
      <c r="O320" s="626">
        <v>670.08816</v>
      </c>
      <c r="P320" s="626">
        <v>409.23168</v>
      </c>
      <c r="Q320" s="626">
        <v>321.2352</v>
      </c>
      <c r="R320" s="626">
        <v>1853.28</v>
      </c>
      <c r="S320" s="626">
        <v>1235.52</v>
      </c>
      <c r="T320" s="626">
        <v>2162.16</v>
      </c>
      <c r="U320" s="626">
        <v>1873.872</v>
      </c>
      <c r="V320" s="626">
        <v>2882.88</v>
      </c>
      <c r="W320" s="626">
        <v>2536.9344</v>
      </c>
      <c r="X320" s="626">
        <v>2767.5647999999996</v>
      </c>
      <c r="Y320" s="626">
        <v>2306.304</v>
      </c>
      <c r="Z320" s="626">
        <v>451.1270016</v>
      </c>
      <c r="AA320" s="626">
        <v>410.115456</v>
      </c>
      <c r="AB320" s="626">
        <v>2202.5790202000003</v>
      </c>
      <c r="AC320" s="626">
        <v>1943.4520766</v>
      </c>
      <c r="AD320" s="626">
        <v>1703.13</v>
      </c>
      <c r="AE320" s="626">
        <v>1503.216</v>
      </c>
      <c r="AF320" s="626">
        <v>1534.0908211</v>
      </c>
      <c r="AG320" s="626">
        <v>1083.2767546</v>
      </c>
      <c r="AH320" s="625">
        <v>1.1368586979903868</v>
      </c>
      <c r="AI320" s="625">
        <v>0.23737468637903128</v>
      </c>
      <c r="AJ320" s="625">
        <v>0.36784329990250847</v>
      </c>
      <c r="AK320" s="625">
        <v>1.2739316239316241</v>
      </c>
      <c r="AL320" s="625">
        <v>1.5</v>
      </c>
      <c r="AM320" s="625">
        <v>1.153846153846154</v>
      </c>
      <c r="AN320" s="625">
        <v>1.1363636363636365</v>
      </c>
      <c r="AO320" s="625">
        <v>1.1999999999999997</v>
      </c>
      <c r="AP320" s="625">
        <v>1.0999999999999999</v>
      </c>
      <c r="AQ320" s="625">
        <v>1.1333333333333338</v>
      </c>
      <c r="AR320" s="625">
        <v>1.1329908675799087</v>
      </c>
      <c r="AS320" s="625">
        <v>1.4161577959311642</v>
      </c>
    </row>
    <row r="321">
      <c r="B321" s="623">
        <v>1257800</v>
      </c>
      <c r="C321" s="603" t="s">
        <v>79</v>
      </c>
      <c r="D321" s="0" t="s">
        <v>65</v>
      </c>
      <c r="E321" s="0" t="s">
        <v>70</v>
      </c>
      <c r="F321" s="625">
        <v>6.2243725135146155</v>
      </c>
      <c r="G321" s="625">
        <v>1.5513962394064413</v>
      </c>
      <c r="H321" s="624">
        <v>7.2528073383249572</v>
      </c>
      <c r="I321" s="624">
        <v>17.958656091142693</v>
      </c>
      <c r="J321" s="626">
        <v>1635.14</v>
      </c>
      <c r="K321" s="626">
        <v>1438.2966000000001</v>
      </c>
      <c r="L321" s="626">
        <v>801.4266</v>
      </c>
      <c r="M321" s="626">
        <v>3376.2092000000002</v>
      </c>
      <c r="N321" s="626">
        <v>267.02806</v>
      </c>
      <c r="O321" s="626">
        <v>725.92883999999992</v>
      </c>
      <c r="P321" s="626">
        <v>446.43456</v>
      </c>
      <c r="Q321" s="626">
        <v>350.4384</v>
      </c>
      <c r="R321" s="626">
        <v>2021.76</v>
      </c>
      <c r="S321" s="626">
        <v>1347.84</v>
      </c>
      <c r="T321" s="626">
        <v>2358.72</v>
      </c>
      <c r="U321" s="626">
        <v>2044.224</v>
      </c>
      <c r="V321" s="626">
        <v>3144.96</v>
      </c>
      <c r="W321" s="626">
        <v>2767.5647999999996</v>
      </c>
      <c r="X321" s="626">
        <v>3019.1616</v>
      </c>
      <c r="Y321" s="626">
        <v>2515.968</v>
      </c>
      <c r="Z321" s="626">
        <v>492.13854719999995</v>
      </c>
      <c r="AA321" s="626">
        <v>447.3986793</v>
      </c>
      <c r="AB321" s="626">
        <v>2402.8134765</v>
      </c>
      <c r="AC321" s="626">
        <v>2120.1295381</v>
      </c>
      <c r="AD321" s="626">
        <v>1857.96</v>
      </c>
      <c r="AE321" s="626">
        <v>1639.872</v>
      </c>
      <c r="AF321" s="626">
        <v>1673.553623</v>
      </c>
      <c r="AG321" s="626">
        <v>1181.7564595000001</v>
      </c>
      <c r="AH321" s="625">
        <v>1.1368586979903865</v>
      </c>
      <c r="AI321" s="625">
        <v>0.23737468637903122</v>
      </c>
      <c r="AJ321" s="625">
        <v>0.36784329990250847</v>
      </c>
      <c r="AK321" s="625">
        <v>1.2739316239316239</v>
      </c>
      <c r="AL321" s="625">
        <v>1.5</v>
      </c>
      <c r="AM321" s="625">
        <v>1.1538461538461537</v>
      </c>
      <c r="AN321" s="625">
        <v>1.1363636363636362</v>
      </c>
      <c r="AO321" s="625">
        <v>1.1999999999999997</v>
      </c>
      <c r="AP321" s="625">
        <v>1.0999999999999999</v>
      </c>
      <c r="AQ321" s="625">
        <v>1.1333333333333338</v>
      </c>
      <c r="AR321" s="625">
        <v>1.1329908675799087</v>
      </c>
      <c r="AS321" s="625">
        <v>1.4161577959311642</v>
      </c>
    </row>
    <row r="322">
      <c r="B322" s="623">
        <v>1300000</v>
      </c>
      <c r="C322" s="603" t="s">
        <v>77</v>
      </c>
      <c r="D322" s="0" t="s">
        <v>65</v>
      </c>
      <c r="E322" s="0" t="s">
        <v>70</v>
      </c>
      <c r="F322" s="625">
        <v>4.89098922634332</v>
      </c>
      <c r="G322" s="625">
        <v>1.232395018863097</v>
      </c>
      <c r="H322" s="624">
        <v>5.506551550495586</v>
      </c>
      <c r="I322" s="624">
        <v>13.523629818728262</v>
      </c>
      <c r="J322" s="626">
        <v>1300</v>
      </c>
      <c r="K322" s="626">
        <v>1123.8741510999998</v>
      </c>
      <c r="L322" s="626">
        <v>631.61180110000009</v>
      </c>
      <c r="M322" s="626">
        <v>2666.6856833</v>
      </c>
      <c r="N322" s="626">
        <v>205.4062</v>
      </c>
      <c r="O322" s="626">
        <v>565.4588807</v>
      </c>
      <c r="P322" s="626">
        <v>388.2672017</v>
      </c>
      <c r="Q322" s="626">
        <v>305.1095432</v>
      </c>
      <c r="R322" s="626">
        <v>1727.956571</v>
      </c>
      <c r="S322" s="626">
        <v>1185.3318963</v>
      </c>
      <c r="T322" s="626">
        <v>2055.4741950000002</v>
      </c>
      <c r="U322" s="626">
        <v>1783.0501839</v>
      </c>
      <c r="V322" s="626">
        <v>2635.044212</v>
      </c>
      <c r="W322" s="626">
        <v>2327.195511</v>
      </c>
      <c r="X322" s="626">
        <v>2689.0351763</v>
      </c>
      <c r="Y322" s="626">
        <v>2249.7652795000004</v>
      </c>
      <c r="Z322" s="626">
        <v>428.34565399999997</v>
      </c>
      <c r="AA322" s="626">
        <v>388.22636969999996</v>
      </c>
      <c r="AB322" s="626">
        <v>2068.6047608</v>
      </c>
      <c r="AC322" s="626">
        <v>1823.9520766</v>
      </c>
      <c r="AD322" s="626">
        <v>1578.6113441</v>
      </c>
      <c r="AE322" s="626">
        <v>1389.1981226999999</v>
      </c>
      <c r="AF322" s="626">
        <v>1539.8155447</v>
      </c>
      <c r="AG322" s="626">
        <v>1090.1376779</v>
      </c>
      <c r="AH322" s="625">
        <v>1.1567131415272258</v>
      </c>
      <c r="AI322" s="625">
        <v>0.23685273637364315</v>
      </c>
      <c r="AJ322" s="625">
        <v>0.36325576804890486</v>
      </c>
      <c r="AK322" s="625">
        <v>1.2725501719706216</v>
      </c>
      <c r="AL322" s="625">
        <v>1.4577829014313084</v>
      </c>
      <c r="AM322" s="625">
        <v>1.1527853862920179</v>
      </c>
      <c r="AN322" s="625">
        <v>1.1322831277350043</v>
      </c>
      <c r="AO322" s="625">
        <v>1.1952514339469209</v>
      </c>
      <c r="AP322" s="625">
        <v>1.1033399260096626</v>
      </c>
      <c r="AQ322" s="625">
        <v>1.1341332852603934</v>
      </c>
      <c r="AR322" s="625">
        <v>1.1363471619147387</v>
      </c>
      <c r="AS322" s="625">
        <v>1.4124963991783763</v>
      </c>
    </row>
    <row r="323">
      <c r="B323" s="623">
        <v>1300000</v>
      </c>
      <c r="C323" s="603" t="s">
        <v>78</v>
      </c>
      <c r="D323" s="0" t="s">
        <v>65</v>
      </c>
      <c r="E323" s="0" t="s">
        <v>70</v>
      </c>
      <c r="F323" s="625">
        <v>5.6246376102948181</v>
      </c>
      <c r="G323" s="625">
        <v>1.4172542716925614</v>
      </c>
      <c r="H323" s="624">
        <v>6.3325342830699238</v>
      </c>
      <c r="I323" s="624">
        <v>15.5521742915375</v>
      </c>
      <c r="J323" s="626">
        <v>1560</v>
      </c>
      <c r="K323" s="626">
        <v>1348.6489813</v>
      </c>
      <c r="L323" s="626">
        <v>757.9341614</v>
      </c>
      <c r="M323" s="626">
        <v>3200.0228199999997</v>
      </c>
      <c r="N323" s="626">
        <v>246.48744</v>
      </c>
      <c r="O323" s="626">
        <v>678.5506568</v>
      </c>
      <c r="P323" s="626">
        <v>427.0939219</v>
      </c>
      <c r="Q323" s="626">
        <v>335.6204976</v>
      </c>
      <c r="R323" s="626">
        <v>1900.7522281</v>
      </c>
      <c r="S323" s="626">
        <v>1303.8650859999998</v>
      </c>
      <c r="T323" s="626">
        <v>2261.0216145</v>
      </c>
      <c r="U323" s="626">
        <v>1961.3552023</v>
      </c>
      <c r="V323" s="626">
        <v>2898.5486332</v>
      </c>
      <c r="W323" s="626">
        <v>2559.9150621000003</v>
      </c>
      <c r="X323" s="626">
        <v>2957.938694</v>
      </c>
      <c r="Y323" s="626">
        <v>2474.7418073999997</v>
      </c>
      <c r="Z323" s="626">
        <v>471.1802194</v>
      </c>
      <c r="AA323" s="626">
        <v>427.04900660000004</v>
      </c>
      <c r="AB323" s="626">
        <v>2275.4652369</v>
      </c>
      <c r="AC323" s="626">
        <v>2006.3472843</v>
      </c>
      <c r="AD323" s="626">
        <v>1736.4724785</v>
      </c>
      <c r="AE323" s="626">
        <v>1528.117935</v>
      </c>
      <c r="AF323" s="626">
        <v>1693.7970991</v>
      </c>
      <c r="AG323" s="626">
        <v>1199.1514457</v>
      </c>
      <c r="AH323" s="625">
        <v>1.156713141527226</v>
      </c>
      <c r="AI323" s="625">
        <v>0.23685273637364315</v>
      </c>
      <c r="AJ323" s="625">
        <v>0.3632557680489048</v>
      </c>
      <c r="AK323" s="625">
        <v>1.2725501719706218</v>
      </c>
      <c r="AL323" s="625">
        <v>1.4577829014313084</v>
      </c>
      <c r="AM323" s="625">
        <v>1.1527853862920179</v>
      </c>
      <c r="AN323" s="625">
        <v>1.1322831277350043</v>
      </c>
      <c r="AO323" s="625">
        <v>1.1952514339469207</v>
      </c>
      <c r="AP323" s="625">
        <v>1.1033399260096626</v>
      </c>
      <c r="AQ323" s="625">
        <v>1.1341332852603931</v>
      </c>
      <c r="AR323" s="625">
        <v>1.1363471619147387</v>
      </c>
      <c r="AS323" s="625">
        <v>1.4124963991783766</v>
      </c>
    </row>
    <row r="324">
      <c r="B324" s="623">
        <v>1300000</v>
      </c>
      <c r="C324" s="603" t="s">
        <v>79</v>
      </c>
      <c r="D324" s="0" t="s">
        <v>65</v>
      </c>
      <c r="E324" s="0" t="s">
        <v>70</v>
      </c>
      <c r="F324" s="625">
        <v>6.3582859942463168</v>
      </c>
      <c r="G324" s="625">
        <v>1.6021135245220259</v>
      </c>
      <c r="H324" s="624">
        <v>7.1585170156442617</v>
      </c>
      <c r="I324" s="624">
        <v>17.580718764346742</v>
      </c>
      <c r="J324" s="626">
        <v>1690</v>
      </c>
      <c r="K324" s="626">
        <v>1461.0363964</v>
      </c>
      <c r="L324" s="626">
        <v>821.0953415</v>
      </c>
      <c r="M324" s="626">
        <v>3466.6913883</v>
      </c>
      <c r="N324" s="626">
        <v>267.02806</v>
      </c>
      <c r="O324" s="626">
        <v>735.0965449</v>
      </c>
      <c r="P324" s="626">
        <v>465.9206421</v>
      </c>
      <c r="Q324" s="626">
        <v>366.1314519</v>
      </c>
      <c r="R324" s="626">
        <v>2073.5478852</v>
      </c>
      <c r="S324" s="626">
        <v>1422.3982756</v>
      </c>
      <c r="T324" s="626">
        <v>2466.5690341</v>
      </c>
      <c r="U324" s="626">
        <v>2139.6602207</v>
      </c>
      <c r="V324" s="626">
        <v>3162.0530545</v>
      </c>
      <c r="W324" s="626">
        <v>2792.6346132</v>
      </c>
      <c r="X324" s="626">
        <v>3226.8422116</v>
      </c>
      <c r="Y324" s="626">
        <v>2699.7183354000003</v>
      </c>
      <c r="Z324" s="626">
        <v>514.0147848</v>
      </c>
      <c r="AA324" s="626">
        <v>465.8716436</v>
      </c>
      <c r="AB324" s="626">
        <v>2482.325713</v>
      </c>
      <c r="AC324" s="626">
        <v>2188.7424920000003</v>
      </c>
      <c r="AD324" s="626">
        <v>1894.3336129000002</v>
      </c>
      <c r="AE324" s="626">
        <v>1667.0377472999999</v>
      </c>
      <c r="AF324" s="626">
        <v>1847.7786536</v>
      </c>
      <c r="AG324" s="626">
        <v>1308.1652135000002</v>
      </c>
      <c r="AH324" s="625">
        <v>1.1567131415272258</v>
      </c>
      <c r="AI324" s="625">
        <v>0.23685273637364313</v>
      </c>
      <c r="AJ324" s="625">
        <v>0.36325576804890486</v>
      </c>
      <c r="AK324" s="625">
        <v>1.272550171970622</v>
      </c>
      <c r="AL324" s="625">
        <v>1.4577829014313084</v>
      </c>
      <c r="AM324" s="625">
        <v>1.1527853862920179</v>
      </c>
      <c r="AN324" s="625">
        <v>1.1322831277350045</v>
      </c>
      <c r="AO324" s="625">
        <v>1.1952514339469207</v>
      </c>
      <c r="AP324" s="625">
        <v>1.1033399260096628</v>
      </c>
      <c r="AQ324" s="625">
        <v>1.1341332852603931</v>
      </c>
      <c r="AR324" s="625">
        <v>1.1363471619147387</v>
      </c>
      <c r="AS324" s="625">
        <v>1.4124963991783763</v>
      </c>
    </row>
    <row r="325">
      <c r="B325" s="623">
        <v>1428221</v>
      </c>
      <c r="C325" s="603" t="s">
        <v>77</v>
      </c>
      <c r="D325" s="0" t="s">
        <v>65</v>
      </c>
      <c r="E325" s="0" t="s">
        <v>70</v>
      </c>
      <c r="F325" s="625">
        <v>5.1773560342979694</v>
      </c>
      <c r="G325" s="625">
        <v>1.3509334988996515</v>
      </c>
      <c r="H325" s="624">
        <v>5.31754461885853</v>
      </c>
      <c r="I325" s="624">
        <v>12.773737046189128</v>
      </c>
      <c r="J325" s="626">
        <v>1428.221</v>
      </c>
      <c r="K325" s="626">
        <v>1177.0225185</v>
      </c>
      <c r="L325" s="626">
        <v>677.5823754</v>
      </c>
      <c r="M325" s="626">
        <v>2878.1642956</v>
      </c>
      <c r="N325" s="626">
        <v>205.4062</v>
      </c>
      <c r="O325" s="626">
        <v>586.8860095</v>
      </c>
      <c r="P325" s="626">
        <v>437.6061616</v>
      </c>
      <c r="Q325" s="626">
        <v>344.84451179999996</v>
      </c>
      <c r="R325" s="626">
        <v>1859.0840282000002</v>
      </c>
      <c r="S325" s="626">
        <v>1374.1142157999998</v>
      </c>
      <c r="T325" s="626">
        <v>2328.5490567</v>
      </c>
      <c r="U325" s="626">
        <v>2024.6956747000002</v>
      </c>
      <c r="V325" s="626">
        <v>2678.3240014</v>
      </c>
      <c r="W325" s="626">
        <v>2390.6725354</v>
      </c>
      <c r="X325" s="626">
        <v>3214.8846175000003</v>
      </c>
      <c r="Y325" s="626">
        <v>2715.0230155000004</v>
      </c>
      <c r="Z325" s="626">
        <v>483.736512</v>
      </c>
      <c r="AA325" s="626">
        <v>435.0001049</v>
      </c>
      <c r="AB325" s="626">
        <v>2269.9305600000002</v>
      </c>
      <c r="AC325" s="626">
        <v>1997.6807803</v>
      </c>
      <c r="AD325" s="626">
        <v>1670.7097055</v>
      </c>
      <c r="AE325" s="626">
        <v>1457.9820737</v>
      </c>
      <c r="AF325" s="626">
        <v>1980.9551111</v>
      </c>
      <c r="AG325" s="626">
        <v>1410.2059410000002</v>
      </c>
      <c r="AH325" s="625">
        <v>1.2134185858785853</v>
      </c>
      <c r="AI325" s="625">
        <v>0.23542171529655226</v>
      </c>
      <c r="AJ325" s="625">
        <v>0.34999334909219965</v>
      </c>
      <c r="AK325" s="625">
        <v>1.2689955811086264</v>
      </c>
      <c r="AL325" s="625">
        <v>1.3529326796726353</v>
      </c>
      <c r="AM325" s="625">
        <v>1.1500736065146382</v>
      </c>
      <c r="AN325" s="625">
        <v>1.1203224037287431</v>
      </c>
      <c r="AO325" s="625">
        <v>1.1841095265729047</v>
      </c>
      <c r="AP325" s="625">
        <v>1.1120376905098832</v>
      </c>
      <c r="AQ325" s="625">
        <v>1.1362829248757913</v>
      </c>
      <c r="AR325" s="625">
        <v>1.1459055193912671</v>
      </c>
      <c r="AS325" s="625">
        <v>1.4047275319460559</v>
      </c>
    </row>
    <row r="326">
      <c r="B326" s="623">
        <v>1428221</v>
      </c>
      <c r="C326" s="603" t="s">
        <v>78</v>
      </c>
      <c r="D326" s="0" t="s">
        <v>65</v>
      </c>
      <c r="E326" s="0" t="s">
        <v>70</v>
      </c>
      <c r="F326" s="625">
        <v>5.9539594394426647</v>
      </c>
      <c r="G326" s="625">
        <v>1.5535735237345993</v>
      </c>
      <c r="H326" s="624">
        <v>6.1151763116873079</v>
      </c>
      <c r="I326" s="624">
        <v>14.689797603117496</v>
      </c>
      <c r="J326" s="626">
        <v>1713.8652</v>
      </c>
      <c r="K326" s="626">
        <v>1412.4270223</v>
      </c>
      <c r="L326" s="626">
        <v>813.0988504</v>
      </c>
      <c r="M326" s="626">
        <v>3453.7971546999997</v>
      </c>
      <c r="N326" s="626">
        <v>246.48744</v>
      </c>
      <c r="O326" s="626">
        <v>704.2632114</v>
      </c>
      <c r="P326" s="626">
        <v>481.36677779999997</v>
      </c>
      <c r="Q326" s="626">
        <v>379.328963</v>
      </c>
      <c r="R326" s="626">
        <v>2044.9924310000001</v>
      </c>
      <c r="S326" s="626">
        <v>1511.5256373999998</v>
      </c>
      <c r="T326" s="626">
        <v>2561.4039624</v>
      </c>
      <c r="U326" s="626">
        <v>2227.1652422</v>
      </c>
      <c r="V326" s="626">
        <v>2946.1564016</v>
      </c>
      <c r="W326" s="626">
        <v>2629.7397889999997</v>
      </c>
      <c r="X326" s="626">
        <v>3536.3730793</v>
      </c>
      <c r="Y326" s="626">
        <v>2986.5253171</v>
      </c>
      <c r="Z326" s="626">
        <v>532.1101632</v>
      </c>
      <c r="AA326" s="626">
        <v>478.5001154</v>
      </c>
      <c r="AB326" s="626">
        <v>2496.923616</v>
      </c>
      <c r="AC326" s="626">
        <v>2197.4488583999996</v>
      </c>
      <c r="AD326" s="626">
        <v>1837.780676</v>
      </c>
      <c r="AE326" s="626">
        <v>1603.7802811</v>
      </c>
      <c r="AF326" s="626">
        <v>2179.0506222</v>
      </c>
      <c r="AG326" s="626">
        <v>1551.2265351</v>
      </c>
      <c r="AH326" s="625">
        <v>1.2134185858785853</v>
      </c>
      <c r="AI326" s="625">
        <v>0.23542171529655223</v>
      </c>
      <c r="AJ326" s="625">
        <v>0.34999334909219959</v>
      </c>
      <c r="AK326" s="625">
        <v>1.2689955811086264</v>
      </c>
      <c r="AL326" s="625">
        <v>1.3529326796726351</v>
      </c>
      <c r="AM326" s="625">
        <v>1.1500736065146382</v>
      </c>
      <c r="AN326" s="625">
        <v>1.1203224037287429</v>
      </c>
      <c r="AO326" s="625">
        <v>1.1841095265729047</v>
      </c>
      <c r="AP326" s="625">
        <v>1.1120376905098832</v>
      </c>
      <c r="AQ326" s="625">
        <v>1.1362829248757913</v>
      </c>
      <c r="AR326" s="625">
        <v>1.1459055193912671</v>
      </c>
      <c r="AS326" s="625">
        <v>1.4047275319460559</v>
      </c>
    </row>
    <row r="327">
      <c r="B327" s="623">
        <v>1428221</v>
      </c>
      <c r="C327" s="603" t="s">
        <v>79</v>
      </c>
      <c r="D327" s="0" t="s">
        <v>65</v>
      </c>
      <c r="E327" s="0" t="s">
        <v>70</v>
      </c>
      <c r="F327" s="625">
        <v>6.7305628445873609</v>
      </c>
      <c r="G327" s="625">
        <v>1.7562135485695471</v>
      </c>
      <c r="H327" s="624">
        <v>6.912808004516088</v>
      </c>
      <c r="I327" s="624">
        <v>16.605858160045866</v>
      </c>
      <c r="J327" s="626">
        <v>1856.6873</v>
      </c>
      <c r="K327" s="626">
        <v>1530.1292741</v>
      </c>
      <c r="L327" s="626">
        <v>880.857088</v>
      </c>
      <c r="M327" s="626">
        <v>3741.6135843</v>
      </c>
      <c r="N327" s="626">
        <v>267.02806</v>
      </c>
      <c r="O327" s="626">
        <v>762.9518123</v>
      </c>
      <c r="P327" s="626">
        <v>525.127394</v>
      </c>
      <c r="Q327" s="626">
        <v>413.8134142</v>
      </c>
      <c r="R327" s="626">
        <v>2230.9008338000003</v>
      </c>
      <c r="S327" s="626">
        <v>1648.9370589999999</v>
      </c>
      <c r="T327" s="626">
        <v>2794.2588681</v>
      </c>
      <c r="U327" s="626">
        <v>2429.6348097</v>
      </c>
      <c r="V327" s="626">
        <v>3213.9888017000003</v>
      </c>
      <c r="W327" s="626">
        <v>2868.8070425</v>
      </c>
      <c r="X327" s="626">
        <v>3857.861541</v>
      </c>
      <c r="Y327" s="626">
        <v>3258.0276186</v>
      </c>
      <c r="Z327" s="626">
        <v>580.4838144</v>
      </c>
      <c r="AA327" s="626">
        <v>522.0001259</v>
      </c>
      <c r="AB327" s="626">
        <v>2723.916672</v>
      </c>
      <c r="AC327" s="626">
        <v>2397.2169364</v>
      </c>
      <c r="AD327" s="626">
        <v>2004.8516465</v>
      </c>
      <c r="AE327" s="626">
        <v>1749.5784885</v>
      </c>
      <c r="AF327" s="626">
        <v>2377.1461332999997</v>
      </c>
      <c r="AG327" s="626">
        <v>1692.2471292</v>
      </c>
      <c r="AH327" s="625">
        <v>1.2134185858785853</v>
      </c>
      <c r="AI327" s="625">
        <v>0.23542171529655226</v>
      </c>
      <c r="AJ327" s="625">
        <v>0.34999334909219965</v>
      </c>
      <c r="AK327" s="625">
        <v>1.2689955811086264</v>
      </c>
      <c r="AL327" s="625">
        <v>1.3529326796726351</v>
      </c>
      <c r="AM327" s="625">
        <v>1.150073606514638</v>
      </c>
      <c r="AN327" s="625">
        <v>1.1203224037287429</v>
      </c>
      <c r="AO327" s="625">
        <v>1.1841095265729047</v>
      </c>
      <c r="AP327" s="625">
        <v>1.1120376905098832</v>
      </c>
      <c r="AQ327" s="625">
        <v>1.1362829248757911</v>
      </c>
      <c r="AR327" s="625">
        <v>1.1459055193912671</v>
      </c>
      <c r="AS327" s="625">
        <v>1.4047275319460562</v>
      </c>
    </row>
    <row r="328">
      <c r="B328" s="623">
        <v>1500000</v>
      </c>
      <c r="C328" s="603" t="s">
        <v>77</v>
      </c>
      <c r="D328" s="0" t="s">
        <v>65</v>
      </c>
      <c r="E328" s="0" t="s">
        <v>70</v>
      </c>
      <c r="F328" s="625">
        <v>5.3222178260089592</v>
      </c>
      <c r="G328" s="625">
        <v>1.4172921574543647</v>
      </c>
      <c r="H328" s="624">
        <v>5.2284138800136475</v>
      </c>
      <c r="I328" s="624">
        <v>12.423911698919039</v>
      </c>
      <c r="J328" s="626">
        <v>1500</v>
      </c>
      <c r="K328" s="626">
        <v>1206.7753411</v>
      </c>
      <c r="L328" s="626">
        <v>703.3170198</v>
      </c>
      <c r="M328" s="626">
        <v>2996.5514811</v>
      </c>
      <c r="N328" s="626">
        <v>205.4062</v>
      </c>
      <c r="O328" s="626">
        <v>598.881064</v>
      </c>
      <c r="P328" s="626">
        <v>465.22645159999996</v>
      </c>
      <c r="Q328" s="626">
        <v>367.08842119999997</v>
      </c>
      <c r="R328" s="626">
        <v>1932.4900829</v>
      </c>
      <c r="S328" s="626">
        <v>1479.7958601</v>
      </c>
      <c r="T328" s="626">
        <v>2481.4182474000004</v>
      </c>
      <c r="U328" s="626">
        <v>2159.9704868</v>
      </c>
      <c r="V328" s="626">
        <v>2702.552326</v>
      </c>
      <c r="W328" s="626">
        <v>2426.2074115</v>
      </c>
      <c r="X328" s="626">
        <v>3509.2587609</v>
      </c>
      <c r="Y328" s="626">
        <v>2975.4775044999997</v>
      </c>
      <c r="Z328" s="626">
        <v>514.7446963</v>
      </c>
      <c r="AA328" s="626">
        <v>461.1843644</v>
      </c>
      <c r="AB328" s="626">
        <v>2382.6341308</v>
      </c>
      <c r="AC328" s="626">
        <v>2094.9353067</v>
      </c>
      <c r="AD328" s="626">
        <v>1722.2670031999999</v>
      </c>
      <c r="AE328" s="626">
        <v>1496.4878038000002</v>
      </c>
      <c r="AF328" s="626">
        <v>2227.9080824000002</v>
      </c>
      <c r="AG328" s="626">
        <v>1589.3823619</v>
      </c>
      <c r="AH328" s="625">
        <v>1.2429819775523276</v>
      </c>
      <c r="AI328" s="625">
        <v>0.23470880586492648</v>
      </c>
      <c r="AJ328" s="625">
        <v>0.34298329393982224</v>
      </c>
      <c r="AK328" s="625">
        <v>1.2673416669323023</v>
      </c>
      <c r="AL328" s="625">
        <v>1.3059166707217673</v>
      </c>
      <c r="AM328" s="625">
        <v>1.1488204410694556</v>
      </c>
      <c r="AN328" s="625">
        <v>1.1138999548129409</v>
      </c>
      <c r="AO328" s="625">
        <v>1.1793934773804702</v>
      </c>
      <c r="AP328" s="625">
        <v>1.1161364868939356</v>
      </c>
      <c r="AQ328" s="625">
        <v>1.1373306484315162</v>
      </c>
      <c r="AR328" s="625">
        <v>1.1508727293642389</v>
      </c>
      <c r="AS328" s="625">
        <v>1.4017445618159139</v>
      </c>
    </row>
    <row r="329">
      <c r="B329" s="623">
        <v>1500000</v>
      </c>
      <c r="C329" s="603" t="s">
        <v>78</v>
      </c>
      <c r="D329" s="0" t="s">
        <v>65</v>
      </c>
      <c r="E329" s="0" t="s">
        <v>70</v>
      </c>
      <c r="F329" s="625">
        <v>6.1205504999103022</v>
      </c>
      <c r="G329" s="625">
        <v>1.6298859810725193</v>
      </c>
      <c r="H329" s="624">
        <v>6.0126759620156935</v>
      </c>
      <c r="I329" s="624">
        <v>14.287498453756895</v>
      </c>
      <c r="J329" s="626">
        <v>1800</v>
      </c>
      <c r="K329" s="626">
        <v>1448.1304094</v>
      </c>
      <c r="L329" s="626">
        <v>843.9804238</v>
      </c>
      <c r="M329" s="626">
        <v>3595.8617773</v>
      </c>
      <c r="N329" s="626">
        <v>246.48744</v>
      </c>
      <c r="O329" s="626">
        <v>718.6572768</v>
      </c>
      <c r="P329" s="626">
        <v>511.7490968</v>
      </c>
      <c r="Q329" s="626">
        <v>403.7972633</v>
      </c>
      <c r="R329" s="626">
        <v>2125.7390912</v>
      </c>
      <c r="S329" s="626">
        <v>1627.7754461</v>
      </c>
      <c r="T329" s="626">
        <v>2729.5600721</v>
      </c>
      <c r="U329" s="626">
        <v>2375.9675355000004</v>
      </c>
      <c r="V329" s="626">
        <v>2972.8075586</v>
      </c>
      <c r="W329" s="626">
        <v>2668.8281526</v>
      </c>
      <c r="X329" s="626">
        <v>3860.1846370000003</v>
      </c>
      <c r="Y329" s="626">
        <v>3273.025255</v>
      </c>
      <c r="Z329" s="626">
        <v>566.219166</v>
      </c>
      <c r="AA329" s="626">
        <v>507.30280089999997</v>
      </c>
      <c r="AB329" s="626">
        <v>2620.8975438</v>
      </c>
      <c r="AC329" s="626">
        <v>2304.4288373</v>
      </c>
      <c r="AD329" s="626">
        <v>1894.4937036</v>
      </c>
      <c r="AE329" s="626">
        <v>1646.1365842</v>
      </c>
      <c r="AF329" s="626">
        <v>2450.6988906</v>
      </c>
      <c r="AG329" s="626">
        <v>1748.320598</v>
      </c>
      <c r="AH329" s="625">
        <v>1.2429819775523276</v>
      </c>
      <c r="AI329" s="625">
        <v>0.23470880586492646</v>
      </c>
      <c r="AJ329" s="625">
        <v>0.34298329393982224</v>
      </c>
      <c r="AK329" s="625">
        <v>1.2673416669323023</v>
      </c>
      <c r="AL329" s="625">
        <v>1.3059166707217673</v>
      </c>
      <c r="AM329" s="625">
        <v>1.1488204410694556</v>
      </c>
      <c r="AN329" s="625">
        <v>1.1138999548129409</v>
      </c>
      <c r="AO329" s="625">
        <v>1.1793934773804704</v>
      </c>
      <c r="AP329" s="625">
        <v>1.1161364868939359</v>
      </c>
      <c r="AQ329" s="625">
        <v>1.1373306484315164</v>
      </c>
      <c r="AR329" s="625">
        <v>1.1508727293642389</v>
      </c>
      <c r="AS329" s="625">
        <v>1.4017445618159139</v>
      </c>
    </row>
    <row r="330">
      <c r="B330" s="623">
        <v>1500000</v>
      </c>
      <c r="C330" s="603" t="s">
        <v>79</v>
      </c>
      <c r="D330" s="0" t="s">
        <v>65</v>
      </c>
      <c r="E330" s="0" t="s">
        <v>70</v>
      </c>
      <c r="F330" s="625">
        <v>6.918883173811647</v>
      </c>
      <c r="G330" s="625">
        <v>1.8424798046906741</v>
      </c>
      <c r="H330" s="624">
        <v>6.7969380440177414</v>
      </c>
      <c r="I330" s="624">
        <v>16.15108520859475</v>
      </c>
      <c r="J330" s="626">
        <v>1950</v>
      </c>
      <c r="K330" s="626">
        <v>1568.8079435</v>
      </c>
      <c r="L330" s="626">
        <v>914.3121258</v>
      </c>
      <c r="M330" s="626">
        <v>3895.5169254</v>
      </c>
      <c r="N330" s="626">
        <v>267.02806</v>
      </c>
      <c r="O330" s="626">
        <v>778.54538320000006</v>
      </c>
      <c r="P330" s="626">
        <v>558.271742</v>
      </c>
      <c r="Q330" s="626">
        <v>440.5061054</v>
      </c>
      <c r="R330" s="626">
        <v>2318.9880995</v>
      </c>
      <c r="S330" s="626">
        <v>1775.7550320999999</v>
      </c>
      <c r="T330" s="626">
        <v>2977.7018969</v>
      </c>
      <c r="U330" s="626">
        <v>2591.9645842</v>
      </c>
      <c r="V330" s="626">
        <v>3243.0627912</v>
      </c>
      <c r="W330" s="626">
        <v>2911.4488938000004</v>
      </c>
      <c r="X330" s="626">
        <v>4211.1105131</v>
      </c>
      <c r="Y330" s="626">
        <v>3570.5730054</v>
      </c>
      <c r="Z330" s="626">
        <v>617.6936356</v>
      </c>
      <c r="AA330" s="626">
        <v>553.4212373</v>
      </c>
      <c r="AB330" s="626">
        <v>2859.1609569</v>
      </c>
      <c r="AC330" s="626">
        <v>2513.922368</v>
      </c>
      <c r="AD330" s="626">
        <v>2066.7204039</v>
      </c>
      <c r="AE330" s="626">
        <v>1795.7853645999999</v>
      </c>
      <c r="AF330" s="626">
        <v>2673.4896988</v>
      </c>
      <c r="AG330" s="626">
        <v>1907.2588342</v>
      </c>
      <c r="AH330" s="625">
        <v>1.2429819775523274</v>
      </c>
      <c r="AI330" s="625">
        <v>0.23470880586492648</v>
      </c>
      <c r="AJ330" s="625">
        <v>0.34298329393982219</v>
      </c>
      <c r="AK330" s="625">
        <v>1.2673416669323021</v>
      </c>
      <c r="AL330" s="625">
        <v>1.3059166707217675</v>
      </c>
      <c r="AM330" s="625">
        <v>1.1488204410694556</v>
      </c>
      <c r="AN330" s="625">
        <v>1.1138999548129409</v>
      </c>
      <c r="AO330" s="625">
        <v>1.1793934773804704</v>
      </c>
      <c r="AP330" s="625">
        <v>1.1161364868939359</v>
      </c>
      <c r="AQ330" s="625">
        <v>1.1373306484315164</v>
      </c>
      <c r="AR330" s="625">
        <v>1.1508727293642389</v>
      </c>
      <c r="AS330" s="625">
        <v>1.4017445618159139</v>
      </c>
    </row>
    <row r="331">
      <c r="B331" s="623">
        <v>1800000</v>
      </c>
      <c r="C331" s="603" t="s">
        <v>77</v>
      </c>
      <c r="D331" s="0" t="s">
        <v>65</v>
      </c>
      <c r="E331" s="0" t="s">
        <v>70</v>
      </c>
      <c r="F331" s="625">
        <v>5.8329083376809976</v>
      </c>
      <c r="G331" s="625">
        <v>1.6946378653412662</v>
      </c>
      <c r="H331" s="624">
        <v>4.94416639612848</v>
      </c>
      <c r="I331" s="624">
        <v>11.324218353076576</v>
      </c>
      <c r="J331" s="626">
        <v>1800</v>
      </c>
      <c r="K331" s="626">
        <v>1331.1271262</v>
      </c>
      <c r="L331" s="626">
        <v>810.87484790000008</v>
      </c>
      <c r="M331" s="626">
        <v>3491.3501776999997</v>
      </c>
      <c r="N331" s="626">
        <v>205.4062</v>
      </c>
      <c r="O331" s="626">
        <v>649.0143389</v>
      </c>
      <c r="P331" s="626">
        <v>580.6653265</v>
      </c>
      <c r="Q331" s="626">
        <v>460.0567381</v>
      </c>
      <c r="R331" s="626">
        <v>2239.2903508</v>
      </c>
      <c r="S331" s="626">
        <v>1921.4918057</v>
      </c>
      <c r="T331" s="626">
        <v>3120.3343259</v>
      </c>
      <c r="U331" s="626">
        <v>2725.3509412</v>
      </c>
      <c r="V331" s="626">
        <v>2803.8144969</v>
      </c>
      <c r="W331" s="626">
        <v>2574.7252622</v>
      </c>
      <c r="X331" s="626">
        <v>4739.5941378</v>
      </c>
      <c r="Y331" s="626">
        <v>4064.045842</v>
      </c>
      <c r="Z331" s="626">
        <v>644.3432598</v>
      </c>
      <c r="AA331" s="626">
        <v>570.6213566</v>
      </c>
      <c r="AB331" s="626">
        <v>2853.6781856</v>
      </c>
      <c r="AC331" s="626">
        <v>2501.4101517</v>
      </c>
      <c r="AD331" s="626">
        <v>1937.7504920000001</v>
      </c>
      <c r="AE331" s="626">
        <v>1657.4223255</v>
      </c>
      <c r="AF331" s="626">
        <v>3260.0468889000003</v>
      </c>
      <c r="AG331" s="626">
        <v>2338.2493878</v>
      </c>
      <c r="AH331" s="625">
        <v>1.3522374869749581</v>
      </c>
      <c r="AI331" s="625">
        <v>0.23225251166525782</v>
      </c>
      <c r="AJ331" s="625">
        <v>0.31648946360941621</v>
      </c>
      <c r="AK331" s="625">
        <v>1.2621602475718943</v>
      </c>
      <c r="AL331" s="625">
        <v>1.165391569308726</v>
      </c>
      <c r="AM331" s="625">
        <v>1.1449293662349906</v>
      </c>
      <c r="AN331" s="625">
        <v>1.0889761863643006</v>
      </c>
      <c r="AO331" s="625">
        <v>1.1662255599381071</v>
      </c>
      <c r="AP331" s="625">
        <v>1.1291958361073902</v>
      </c>
      <c r="AQ331" s="625">
        <v>1.1408277781555873</v>
      </c>
      <c r="AR331" s="625">
        <v>1.1691350250283406</v>
      </c>
      <c r="AS331" s="625">
        <v>1.3942254859571224</v>
      </c>
    </row>
    <row r="332">
      <c r="B332" s="623">
        <v>1800000</v>
      </c>
      <c r="C332" s="603" t="s">
        <v>78</v>
      </c>
      <c r="D332" s="0" t="s">
        <v>65</v>
      </c>
      <c r="E332" s="0" t="s">
        <v>70</v>
      </c>
      <c r="F332" s="625">
        <v>6.7078445883331472</v>
      </c>
      <c r="G332" s="625">
        <v>1.9488335451424559</v>
      </c>
      <c r="H332" s="624">
        <v>5.6857913555477522</v>
      </c>
      <c r="I332" s="624">
        <v>13.022851106038063</v>
      </c>
      <c r="J332" s="626">
        <v>2160</v>
      </c>
      <c r="K332" s="626">
        <v>1597.3525515000001</v>
      </c>
      <c r="L332" s="626">
        <v>973.0498174</v>
      </c>
      <c r="M332" s="626">
        <v>4189.6202132</v>
      </c>
      <c r="N332" s="626">
        <v>246.48744</v>
      </c>
      <c r="O332" s="626">
        <v>778.81720669999993</v>
      </c>
      <c r="P332" s="626">
        <v>638.73185919999992</v>
      </c>
      <c r="Q332" s="626">
        <v>506.062412</v>
      </c>
      <c r="R332" s="626">
        <v>2463.2193859</v>
      </c>
      <c r="S332" s="626">
        <v>2113.6409862</v>
      </c>
      <c r="T332" s="626">
        <v>3432.3677585</v>
      </c>
      <c r="U332" s="626">
        <v>2997.8860353</v>
      </c>
      <c r="V332" s="626">
        <v>3084.1959466</v>
      </c>
      <c r="W332" s="626">
        <v>2832.1977884</v>
      </c>
      <c r="X332" s="626">
        <v>5213.5535515</v>
      </c>
      <c r="Y332" s="626">
        <v>4470.4504263000008</v>
      </c>
      <c r="Z332" s="626">
        <v>708.7775858</v>
      </c>
      <c r="AA332" s="626">
        <v>627.68349219999993</v>
      </c>
      <c r="AB332" s="626">
        <v>3139.0460042</v>
      </c>
      <c r="AC332" s="626">
        <v>2751.5511669</v>
      </c>
      <c r="AD332" s="626">
        <v>2131.5255411999997</v>
      </c>
      <c r="AE332" s="626">
        <v>1823.164558</v>
      </c>
      <c r="AF332" s="626">
        <v>3586.0515778</v>
      </c>
      <c r="AG332" s="626">
        <v>2572.0743265</v>
      </c>
      <c r="AH332" s="625">
        <v>1.3522374869749581</v>
      </c>
      <c r="AI332" s="625">
        <v>0.23225251166525782</v>
      </c>
      <c r="AJ332" s="625">
        <v>0.31648946360941621</v>
      </c>
      <c r="AK332" s="625">
        <v>1.2621602475718943</v>
      </c>
      <c r="AL332" s="625">
        <v>1.1653915693087262</v>
      </c>
      <c r="AM332" s="625">
        <v>1.1449293662349906</v>
      </c>
      <c r="AN332" s="625">
        <v>1.0889761863643006</v>
      </c>
      <c r="AO332" s="625">
        <v>1.1662255599381071</v>
      </c>
      <c r="AP332" s="625">
        <v>1.1291958361073902</v>
      </c>
      <c r="AQ332" s="625">
        <v>1.1408277781555871</v>
      </c>
      <c r="AR332" s="625">
        <v>1.1691350250283406</v>
      </c>
      <c r="AS332" s="625">
        <v>1.3942254859571222</v>
      </c>
    </row>
    <row r="333">
      <c r="B333" s="623">
        <v>1800000</v>
      </c>
      <c r="C333" s="603" t="s">
        <v>79</v>
      </c>
      <c r="D333" s="0" t="s">
        <v>65</v>
      </c>
      <c r="E333" s="0" t="s">
        <v>70</v>
      </c>
      <c r="F333" s="625">
        <v>7.5827808389852969</v>
      </c>
      <c r="G333" s="625">
        <v>2.2030292249436458</v>
      </c>
      <c r="H333" s="624">
        <v>6.4274163149670249</v>
      </c>
      <c r="I333" s="624">
        <v>14.72148385899955</v>
      </c>
      <c r="J333" s="626">
        <v>2340</v>
      </c>
      <c r="K333" s="626">
        <v>1730.4652641</v>
      </c>
      <c r="L333" s="626">
        <v>1054.1373022</v>
      </c>
      <c r="M333" s="626">
        <v>4538.755231</v>
      </c>
      <c r="N333" s="626">
        <v>267.02806</v>
      </c>
      <c r="O333" s="626">
        <v>843.71864060000007</v>
      </c>
      <c r="P333" s="626">
        <v>696.7983918</v>
      </c>
      <c r="Q333" s="626">
        <v>552.0680858</v>
      </c>
      <c r="R333" s="626">
        <v>2687.148421</v>
      </c>
      <c r="S333" s="626">
        <v>2305.7901668</v>
      </c>
      <c r="T333" s="626">
        <v>3744.4011911</v>
      </c>
      <c r="U333" s="626">
        <v>3270.4211295</v>
      </c>
      <c r="V333" s="626">
        <v>3364.5773963</v>
      </c>
      <c r="W333" s="626">
        <v>3089.6703146</v>
      </c>
      <c r="X333" s="626">
        <v>5687.5129653</v>
      </c>
      <c r="Y333" s="626">
        <v>4876.8550104999995</v>
      </c>
      <c r="Z333" s="626">
        <v>773.2119118</v>
      </c>
      <c r="AA333" s="626">
        <v>684.74562789999993</v>
      </c>
      <c r="AB333" s="626">
        <v>3424.4138228</v>
      </c>
      <c r="AC333" s="626">
        <v>3001.6921820000002</v>
      </c>
      <c r="AD333" s="626">
        <v>2325.3005904</v>
      </c>
      <c r="AE333" s="626">
        <v>1988.9067906</v>
      </c>
      <c r="AF333" s="626">
        <v>3912.0562667</v>
      </c>
      <c r="AG333" s="626">
        <v>2805.8992653</v>
      </c>
      <c r="AH333" s="625">
        <v>1.3522374869749581</v>
      </c>
      <c r="AI333" s="625">
        <v>0.23225251166525779</v>
      </c>
      <c r="AJ333" s="625">
        <v>0.31648946360941621</v>
      </c>
      <c r="AK333" s="625">
        <v>1.2621602475718945</v>
      </c>
      <c r="AL333" s="625">
        <v>1.1653915693087262</v>
      </c>
      <c r="AM333" s="625">
        <v>1.1449293662349909</v>
      </c>
      <c r="AN333" s="625">
        <v>1.0889761863643006</v>
      </c>
      <c r="AO333" s="625">
        <v>1.1662255599381071</v>
      </c>
      <c r="AP333" s="625">
        <v>1.1291958361073902</v>
      </c>
      <c r="AQ333" s="625">
        <v>1.1408277781555873</v>
      </c>
      <c r="AR333" s="625">
        <v>1.1691350250283408</v>
      </c>
      <c r="AS333" s="625">
        <v>1.3942254859571224</v>
      </c>
    </row>
    <row r="334">
      <c r="B334" s="623">
        <v>2034240</v>
      </c>
      <c r="C334" s="603" t="s">
        <v>77</v>
      </c>
      <c r="D334" s="0" t="s">
        <v>65</v>
      </c>
      <c r="E334" s="0" t="s">
        <v>70</v>
      </c>
      <c r="F334" s="625">
        <v>6.15002597711412</v>
      </c>
      <c r="G334" s="625">
        <v>1.911189394059359</v>
      </c>
      <c r="H334" s="624">
        <v>4.7879821179575419</v>
      </c>
      <c r="I334" s="624">
        <v>10.730095970201234</v>
      </c>
      <c r="J334" s="626">
        <v>2034.24</v>
      </c>
      <c r="K334" s="626">
        <v>1428.221</v>
      </c>
      <c r="L334" s="626">
        <v>894.856</v>
      </c>
      <c r="M334" s="626">
        <v>3877.689</v>
      </c>
      <c r="N334" s="626">
        <v>205.4062</v>
      </c>
      <c r="O334" s="626">
        <v>688.1584</v>
      </c>
      <c r="P334" s="626">
        <v>670.8</v>
      </c>
      <c r="Q334" s="626">
        <v>532.6464</v>
      </c>
      <c r="R334" s="626">
        <v>2478.84</v>
      </c>
      <c r="S334" s="626">
        <v>2266.368</v>
      </c>
      <c r="T334" s="626">
        <v>3619.2</v>
      </c>
      <c r="U334" s="626">
        <v>3166.8</v>
      </c>
      <c r="V334" s="626">
        <v>2882.88</v>
      </c>
      <c r="W334" s="626">
        <v>2690.688</v>
      </c>
      <c r="X334" s="626">
        <v>5700.24</v>
      </c>
      <c r="Y334" s="626">
        <v>4914</v>
      </c>
      <c r="Z334" s="626">
        <v>745.53381819999993</v>
      </c>
      <c r="AA334" s="626">
        <v>656.06976009999994</v>
      </c>
      <c r="AB334" s="626">
        <v>3221.4693837</v>
      </c>
      <c r="AC334" s="626">
        <v>2818.7857107</v>
      </c>
      <c r="AD334" s="626">
        <v>2106</v>
      </c>
      <c r="AE334" s="626">
        <v>1783.08</v>
      </c>
      <c r="AF334" s="626">
        <v>4065.9408691</v>
      </c>
      <c r="AG334" s="626">
        <v>2922.9647615999997</v>
      </c>
      <c r="AH334" s="625">
        <v>1.4243173850545539</v>
      </c>
      <c r="AI334" s="625">
        <v>0.23077044084762857</v>
      </c>
      <c r="AJ334" s="625">
        <v>0.29848680187584725</v>
      </c>
      <c r="AK334" s="625">
        <v>1.2593720712277412</v>
      </c>
      <c r="AL334" s="625">
        <v>1.09375</v>
      </c>
      <c r="AM334" s="625">
        <v>1.1428571428571428</v>
      </c>
      <c r="AN334" s="625">
        <v>1.0714285714285712</v>
      </c>
      <c r="AO334" s="625">
        <v>1.16</v>
      </c>
      <c r="AP334" s="625">
        <v>1.1363636363636365</v>
      </c>
      <c r="AQ334" s="625">
        <v>1.1428571428571432</v>
      </c>
      <c r="AR334" s="625">
        <v>1.1811023622047243</v>
      </c>
      <c r="AS334" s="625">
        <v>1.3910331463918984</v>
      </c>
    </row>
    <row r="335">
      <c r="B335" s="623">
        <v>2034240</v>
      </c>
      <c r="C335" s="603" t="s">
        <v>78</v>
      </c>
      <c r="D335" s="0" t="s">
        <v>65</v>
      </c>
      <c r="E335" s="0" t="s">
        <v>70</v>
      </c>
      <c r="F335" s="625">
        <v>7.072529873681237</v>
      </c>
      <c r="G335" s="625">
        <v>2.1978678031682626</v>
      </c>
      <c r="H335" s="624">
        <v>5.5061794356511724</v>
      </c>
      <c r="I335" s="624">
        <v>12.339610365731419</v>
      </c>
      <c r="J335" s="626">
        <v>2441.088</v>
      </c>
      <c r="K335" s="626">
        <v>1713.8652</v>
      </c>
      <c r="L335" s="626">
        <v>1073.8272</v>
      </c>
      <c r="M335" s="626">
        <v>4653.2267999999995</v>
      </c>
      <c r="N335" s="626">
        <v>246.48744</v>
      </c>
      <c r="O335" s="626">
        <v>825.79008</v>
      </c>
      <c r="P335" s="626">
        <v>737.88</v>
      </c>
      <c r="Q335" s="626">
        <v>585.91104000000007</v>
      </c>
      <c r="R335" s="626">
        <v>2726.724</v>
      </c>
      <c r="S335" s="626">
        <v>2493.0047999999997</v>
      </c>
      <c r="T335" s="626">
        <v>3981.12</v>
      </c>
      <c r="U335" s="626">
        <v>3483.48</v>
      </c>
      <c r="V335" s="626">
        <v>3171.168</v>
      </c>
      <c r="W335" s="626">
        <v>2959.7567999999997</v>
      </c>
      <c r="X335" s="626">
        <v>6270.264</v>
      </c>
      <c r="Y335" s="626">
        <v>5405.4</v>
      </c>
      <c r="Z335" s="626">
        <v>820.0872001</v>
      </c>
      <c r="AA335" s="626">
        <v>721.6767361</v>
      </c>
      <c r="AB335" s="626">
        <v>3543.6163220000003</v>
      </c>
      <c r="AC335" s="626">
        <v>3100.6642818</v>
      </c>
      <c r="AD335" s="626">
        <v>2316.6</v>
      </c>
      <c r="AE335" s="626">
        <v>1961.388</v>
      </c>
      <c r="AF335" s="626">
        <v>4472.534956</v>
      </c>
      <c r="AG335" s="626">
        <v>3215.2612378</v>
      </c>
      <c r="AH335" s="625">
        <v>1.4243173850545539</v>
      </c>
      <c r="AI335" s="625">
        <v>0.23077044084762857</v>
      </c>
      <c r="AJ335" s="625">
        <v>0.29848680187584725</v>
      </c>
      <c r="AK335" s="625">
        <v>1.2593720712277414</v>
      </c>
      <c r="AL335" s="625">
        <v>1.09375</v>
      </c>
      <c r="AM335" s="625">
        <v>1.1428571428571428</v>
      </c>
      <c r="AN335" s="625">
        <v>1.0714285714285714</v>
      </c>
      <c r="AO335" s="625">
        <v>1.16</v>
      </c>
      <c r="AP335" s="625">
        <v>1.1363636363636365</v>
      </c>
      <c r="AQ335" s="625">
        <v>1.1428571428571432</v>
      </c>
      <c r="AR335" s="625">
        <v>1.1811023622047245</v>
      </c>
      <c r="AS335" s="625">
        <v>1.3910331463918986</v>
      </c>
    </row>
    <row r="336">
      <c r="B336" s="623">
        <v>2034240</v>
      </c>
      <c r="C336" s="603" t="s">
        <v>79</v>
      </c>
      <c r="D336" s="0" t="s">
        <v>65</v>
      </c>
      <c r="E336" s="0" t="s">
        <v>70</v>
      </c>
      <c r="F336" s="625">
        <v>7.995033770248356</v>
      </c>
      <c r="G336" s="625">
        <v>2.4845462122771669</v>
      </c>
      <c r="H336" s="624">
        <v>6.2243767533448047</v>
      </c>
      <c r="I336" s="624">
        <v>13.949124761261604</v>
      </c>
      <c r="J336" s="626">
        <v>2644.512</v>
      </c>
      <c r="K336" s="626">
        <v>1856.6873</v>
      </c>
      <c r="L336" s="626">
        <v>1163.3128000000002</v>
      </c>
      <c r="M336" s="626">
        <v>5040.9957</v>
      </c>
      <c r="N336" s="626">
        <v>267.02806</v>
      </c>
      <c r="O336" s="626">
        <v>894.60592000000008</v>
      </c>
      <c r="P336" s="626">
        <v>804.96</v>
      </c>
      <c r="Q336" s="626">
        <v>639.17568</v>
      </c>
      <c r="R336" s="626">
        <v>2974.608</v>
      </c>
      <c r="S336" s="626">
        <v>2719.6416</v>
      </c>
      <c r="T336" s="626">
        <v>4343.04</v>
      </c>
      <c r="U336" s="626">
        <v>3800.16</v>
      </c>
      <c r="V336" s="626">
        <v>3459.456</v>
      </c>
      <c r="W336" s="626">
        <v>3228.8256</v>
      </c>
      <c r="X336" s="626">
        <v>6840.288</v>
      </c>
      <c r="Y336" s="626">
        <v>5896.8</v>
      </c>
      <c r="Z336" s="626">
        <v>894.6405819</v>
      </c>
      <c r="AA336" s="626">
        <v>787.2837121</v>
      </c>
      <c r="AB336" s="626">
        <v>3865.7632604</v>
      </c>
      <c r="AC336" s="626">
        <v>3382.5428528999996</v>
      </c>
      <c r="AD336" s="626">
        <v>2527.2</v>
      </c>
      <c r="AE336" s="626">
        <v>2139.696</v>
      </c>
      <c r="AF336" s="626">
        <v>4879.1290429</v>
      </c>
      <c r="AG336" s="626">
        <v>3507.5577138999997</v>
      </c>
      <c r="AH336" s="625">
        <v>1.4243173850545539</v>
      </c>
      <c r="AI336" s="625">
        <v>0.23077044084762857</v>
      </c>
      <c r="AJ336" s="625">
        <v>0.29848680187584725</v>
      </c>
      <c r="AK336" s="625">
        <v>1.2593720712277412</v>
      </c>
      <c r="AL336" s="625">
        <v>1.09375</v>
      </c>
      <c r="AM336" s="625">
        <v>1.1428571428571428</v>
      </c>
      <c r="AN336" s="625">
        <v>1.0714285714285712</v>
      </c>
      <c r="AO336" s="625">
        <v>1.16</v>
      </c>
      <c r="AP336" s="625">
        <v>1.1363636363636362</v>
      </c>
      <c r="AQ336" s="625">
        <v>1.1428571428571432</v>
      </c>
      <c r="AR336" s="625">
        <v>1.1811023622047243</v>
      </c>
      <c r="AS336" s="625">
        <v>1.3910331463918984</v>
      </c>
    </row>
    <row r="337">
      <c r="B337" s="623">
        <v>2200000</v>
      </c>
      <c r="C337" s="603" t="s">
        <v>77</v>
      </c>
      <c r="D337" s="0" t="s">
        <v>65</v>
      </c>
      <c r="E337" s="0" t="s">
        <v>70</v>
      </c>
      <c r="F337" s="625">
        <v>6.6511607035802385</v>
      </c>
      <c r="G337" s="625">
        <v>2.0669226182410085</v>
      </c>
      <c r="H337" s="624">
        <v>4.787982117957541</v>
      </c>
      <c r="I337" s="624">
        <v>10.730095970201234</v>
      </c>
      <c r="J337" s="626">
        <v>2200</v>
      </c>
      <c r="K337" s="626">
        <v>1544.5995556</v>
      </c>
      <c r="L337" s="626">
        <v>967.7733207</v>
      </c>
      <c r="M337" s="626">
        <v>4193.6623997</v>
      </c>
      <c r="N337" s="626">
        <v>222.1437195</v>
      </c>
      <c r="O337" s="626">
        <v>744.2329715</v>
      </c>
      <c r="P337" s="626">
        <v>725.46012269999994</v>
      </c>
      <c r="Q337" s="626">
        <v>576.0490798</v>
      </c>
      <c r="R337" s="626">
        <v>2680.8282209</v>
      </c>
      <c r="S337" s="626">
        <v>2451.0429448</v>
      </c>
      <c r="T337" s="626">
        <v>3914.1104293999997</v>
      </c>
      <c r="U337" s="626">
        <v>3424.8466258</v>
      </c>
      <c r="V337" s="626">
        <v>3117.7914109999997</v>
      </c>
      <c r="W337" s="626">
        <v>2909.9386503</v>
      </c>
      <c r="X337" s="626">
        <v>6164.7239264</v>
      </c>
      <c r="Y337" s="626">
        <v>5314.4171779</v>
      </c>
      <c r="Z337" s="626">
        <v>806.2836244</v>
      </c>
      <c r="AA337" s="626">
        <v>709.5295895</v>
      </c>
      <c r="AB337" s="626">
        <v>3483.9707429</v>
      </c>
      <c r="AC337" s="626">
        <v>3048.4744001000004</v>
      </c>
      <c r="AD337" s="626">
        <v>2277.607362</v>
      </c>
      <c r="AE337" s="626">
        <v>1928.3742331</v>
      </c>
      <c r="AF337" s="626">
        <v>4397.2539681</v>
      </c>
      <c r="AG337" s="626">
        <v>3161.1424785000004</v>
      </c>
      <c r="AH337" s="625">
        <v>1.4243173850545541</v>
      </c>
      <c r="AI337" s="625">
        <v>0.23077044084762857</v>
      </c>
      <c r="AJ337" s="625">
        <v>0.29848680187584725</v>
      </c>
      <c r="AK337" s="625">
        <v>1.2593720712277414</v>
      </c>
      <c r="AL337" s="625">
        <v>1.09375</v>
      </c>
      <c r="AM337" s="625">
        <v>1.1428571428571428</v>
      </c>
      <c r="AN337" s="625">
        <v>1.0714285714285712</v>
      </c>
      <c r="AO337" s="625">
        <v>1.16</v>
      </c>
      <c r="AP337" s="625">
        <v>1.1363636363636365</v>
      </c>
      <c r="AQ337" s="625">
        <v>1.1428571428571432</v>
      </c>
      <c r="AR337" s="625">
        <v>1.1811023622047245</v>
      </c>
      <c r="AS337" s="625">
        <v>1.3910331463918984</v>
      </c>
    </row>
    <row r="338">
      <c r="B338" s="623">
        <v>2200000</v>
      </c>
      <c r="C338" s="603" t="s">
        <v>78</v>
      </c>
      <c r="D338" s="0" t="s">
        <v>65</v>
      </c>
      <c r="E338" s="0" t="s">
        <v>70</v>
      </c>
      <c r="F338" s="625">
        <v>7.6488348091172735</v>
      </c>
      <c r="G338" s="625">
        <v>2.3769610109771597</v>
      </c>
      <c r="H338" s="624">
        <v>5.5061794356511715</v>
      </c>
      <c r="I338" s="624">
        <v>12.339610365731419</v>
      </c>
      <c r="J338" s="626">
        <v>2640</v>
      </c>
      <c r="K338" s="626">
        <v>1853.5194667</v>
      </c>
      <c r="L338" s="626">
        <v>1161.3279849</v>
      </c>
      <c r="M338" s="626">
        <v>5032.3948797</v>
      </c>
      <c r="N338" s="626">
        <v>266.5724634</v>
      </c>
      <c r="O338" s="626">
        <v>893.0795658</v>
      </c>
      <c r="P338" s="626">
        <v>798.006135</v>
      </c>
      <c r="Q338" s="626">
        <v>633.6539877</v>
      </c>
      <c r="R338" s="626">
        <v>2948.9110428999998</v>
      </c>
      <c r="S338" s="626">
        <v>2696.1472393</v>
      </c>
      <c r="T338" s="626">
        <v>4305.5214724000007</v>
      </c>
      <c r="U338" s="626">
        <v>3767.3312883000003</v>
      </c>
      <c r="V338" s="626">
        <v>3429.5705521</v>
      </c>
      <c r="W338" s="626">
        <v>3200.9325153</v>
      </c>
      <c r="X338" s="626">
        <v>6781.1963190000006</v>
      </c>
      <c r="Y338" s="626">
        <v>5845.8588957</v>
      </c>
      <c r="Z338" s="626">
        <v>886.9119869</v>
      </c>
      <c r="AA338" s="626">
        <v>780.48254839999993</v>
      </c>
      <c r="AB338" s="626">
        <v>3832.3678172</v>
      </c>
      <c r="AC338" s="626">
        <v>3353.3218401000004</v>
      </c>
      <c r="AD338" s="626">
        <v>2505.3680982</v>
      </c>
      <c r="AE338" s="626">
        <v>2121.2116564000003</v>
      </c>
      <c r="AF338" s="626">
        <v>4836.9793649</v>
      </c>
      <c r="AG338" s="626">
        <v>3477.2567264</v>
      </c>
      <c r="AH338" s="625">
        <v>1.4243173850545541</v>
      </c>
      <c r="AI338" s="625">
        <v>0.23077044084762854</v>
      </c>
      <c r="AJ338" s="625">
        <v>0.29848680187584725</v>
      </c>
      <c r="AK338" s="625">
        <v>1.2593720712277414</v>
      </c>
      <c r="AL338" s="625">
        <v>1.0937500000000002</v>
      </c>
      <c r="AM338" s="625">
        <v>1.1428571428571426</v>
      </c>
      <c r="AN338" s="625">
        <v>1.0714285714285712</v>
      </c>
      <c r="AO338" s="625">
        <v>1.16</v>
      </c>
      <c r="AP338" s="625">
        <v>1.1363636363636362</v>
      </c>
      <c r="AQ338" s="625">
        <v>1.1428571428571432</v>
      </c>
      <c r="AR338" s="625">
        <v>1.1811023622047245</v>
      </c>
      <c r="AS338" s="625">
        <v>1.3910331463918984</v>
      </c>
    </row>
    <row r="339">
      <c r="B339" s="623">
        <v>2200000</v>
      </c>
      <c r="C339" s="603" t="s">
        <v>79</v>
      </c>
      <c r="D339" s="0" t="s">
        <v>65</v>
      </c>
      <c r="E339" s="0" t="s">
        <v>70</v>
      </c>
      <c r="F339" s="625">
        <v>8.64650891465431</v>
      </c>
      <c r="G339" s="625">
        <v>2.6869994037133114</v>
      </c>
      <c r="H339" s="624">
        <v>6.2243767533448038</v>
      </c>
      <c r="I339" s="624">
        <v>13.949124761261604</v>
      </c>
      <c r="J339" s="626">
        <v>2860</v>
      </c>
      <c r="K339" s="626">
        <v>2007.9794223</v>
      </c>
      <c r="L339" s="626">
        <v>1258.105317</v>
      </c>
      <c r="M339" s="626">
        <v>5451.7611196</v>
      </c>
      <c r="N339" s="626">
        <v>288.7868354</v>
      </c>
      <c r="O339" s="626">
        <v>967.502863</v>
      </c>
      <c r="P339" s="626">
        <v>870.5521472</v>
      </c>
      <c r="Q339" s="626">
        <v>691.2588957</v>
      </c>
      <c r="R339" s="626">
        <v>3216.9938650000004</v>
      </c>
      <c r="S339" s="626">
        <v>2941.2515337</v>
      </c>
      <c r="T339" s="626">
        <v>4696.9325153</v>
      </c>
      <c r="U339" s="626">
        <v>4109.8159509</v>
      </c>
      <c r="V339" s="626">
        <v>3741.3496933</v>
      </c>
      <c r="W339" s="626">
        <v>3491.9263804</v>
      </c>
      <c r="X339" s="626">
        <v>7397.6687117</v>
      </c>
      <c r="Y339" s="626">
        <v>6377.3006135</v>
      </c>
      <c r="Z339" s="626">
        <v>967.5403493</v>
      </c>
      <c r="AA339" s="626">
        <v>851.4355074</v>
      </c>
      <c r="AB339" s="626">
        <v>4180.7648915</v>
      </c>
      <c r="AC339" s="626">
        <v>3658.1692801</v>
      </c>
      <c r="AD339" s="626">
        <v>2733.1288344</v>
      </c>
      <c r="AE339" s="626">
        <v>2314.0490798</v>
      </c>
      <c r="AF339" s="626">
        <v>5276.7047617</v>
      </c>
      <c r="AG339" s="626">
        <v>3793.3709742</v>
      </c>
      <c r="AH339" s="625">
        <v>1.4243173850545539</v>
      </c>
      <c r="AI339" s="625">
        <v>0.23077044084762857</v>
      </c>
      <c r="AJ339" s="625">
        <v>0.29848680187584725</v>
      </c>
      <c r="AK339" s="625">
        <v>1.2593720712277412</v>
      </c>
      <c r="AL339" s="625">
        <v>1.09375</v>
      </c>
      <c r="AM339" s="625">
        <v>1.1428571428571428</v>
      </c>
      <c r="AN339" s="625">
        <v>1.0714285714285712</v>
      </c>
      <c r="AO339" s="625">
        <v>1.16</v>
      </c>
      <c r="AP339" s="625">
        <v>1.1363636363636365</v>
      </c>
      <c r="AQ339" s="625">
        <v>1.1428571428571432</v>
      </c>
      <c r="AR339" s="625">
        <v>1.1811023622047245</v>
      </c>
      <c r="AS339" s="625">
        <v>1.3910331463918984</v>
      </c>
    </row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</sheetData>
  <autoFilter ref="B3:AS3" xr:uid="{00000000-0009-0000-0000-000005000000}">
    <sortState ref="B4:AS339">
      <sortCondition ref="E3"/>
    </sortState>
  </autoFilter>
  <conditionalFormatting sqref="AH4:AS339">
    <cfRule type="cellIs" dxfId="0" priority="1" operator="lessThan">
      <formula>1.01</formula>
    </cfRule>
  </conditionalFormatting>
  <pageMargins left="0.7" right="0.7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4" tint="0.39997558519241921"/>
  </sheetPr>
  <dimension ref="A1:P73"/>
  <sheetViews>
    <sheetView topLeftCell="A35" zoomScale="89" zoomScaleNormal="89" workbookViewId="0">
      <selection activeCell="E63" sqref="E63"/>
    </sheetView>
  </sheetViews>
  <sheetFormatPr defaultRowHeight="14.4" x14ac:dyDescent="0.3"/>
  <cols>
    <col min="1" max="1" width="10.5546875" customWidth="1"/>
    <col min="2" max="2" width="11.109375" customWidth="1"/>
    <col min="3" max="3" width="41.88671875" customWidth="1" style="9"/>
    <col min="4" max="4" width="18.5546875" customWidth="1"/>
    <col min="5" max="6" width="22.33203125" customWidth="1" style="163"/>
    <col min="7" max="10" width="22.33203125" customWidth="1"/>
    <col min="13" max="13" width="10.88671875" customWidth="1"/>
    <col min="14" max="20" width="11.109375" customWidth="1"/>
    <col min="21" max="26" width="20.6640625" customWidth="1"/>
  </cols>
  <sheetData>
    <row r="1">
      <c r="B1" s="348"/>
      <c r="C1" s="9" t="s">
        <v>553</v>
      </c>
    </row>
    <row r="3">
      <c r="E3" s="645" t="s">
        <v>117</v>
      </c>
      <c r="F3" s="645"/>
      <c r="G3" s="644" t="s">
        <v>554</v>
      </c>
      <c r="H3" s="644"/>
      <c r="I3" s="644" t="s">
        <v>119</v>
      </c>
      <c r="J3" s="644"/>
      <c r="K3" s="644"/>
      <c r="L3" s="644"/>
      <c r="M3" s="644"/>
      <c r="N3" s="644"/>
      <c r="O3" s="644"/>
      <c r="P3" s="644"/>
    </row>
    <row r="4" ht="15">
      <c r="A4" s="348" t="s">
        <v>11</v>
      </c>
      <c r="B4" s="348" t="s">
        <v>550</v>
      </c>
      <c r="D4" s="247" t="s">
        <v>555</v>
      </c>
      <c r="E4" s="248" t="s">
        <v>556</v>
      </c>
      <c r="F4" s="248" t="s">
        <v>557</v>
      </c>
      <c r="G4" s="247" t="s">
        <v>556</v>
      </c>
      <c r="H4" s="247" t="s">
        <v>557</v>
      </c>
      <c r="I4" s="247" t="s">
        <v>556</v>
      </c>
      <c r="J4" s="247" t="s">
        <v>557</v>
      </c>
    </row>
    <row r="5">
      <c r="A5" s="348">
        <f>IF(Input!$F$18="Small",Assumptions!E5,IF(Input!$F$18="Medium",Assumptions!G5,IF(Input!$F$18="Large",Assumptions!I5,"")))</f>
        <v>1</v>
      </c>
      <c r="B5" s="348">
        <f>IF(Input!$F$18="Small",Assumptions!F5,IF(Input!$F$18="Medium",Assumptions!H5,IF(Input!$F$18="Large",Assumptions!J5,"")))</f>
        <v>1</v>
      </c>
      <c r="C5" s="56" t="s">
        <v>558</v>
      </c>
      <c r="D5" s="252"/>
      <c r="E5" s="293">
        <v>1</v>
      </c>
      <c r="F5" s="293">
        <v>1</v>
      </c>
      <c r="G5" s="252">
        <v>1</v>
      </c>
      <c r="H5" s="252">
        <v>1</v>
      </c>
      <c r="I5" s="252">
        <v>2</v>
      </c>
      <c r="J5" s="253">
        <v>2</v>
      </c>
    </row>
    <row r="6">
      <c r="A6" s="348">
        <f>IF(Input!$F$18="Small",Assumptions!E6,IF(Input!$F$18="Medium",Assumptions!G6,IF(Input!$F$18="Large",Assumptions!I6,"")))</f>
        <v>0.6</v>
      </c>
      <c r="B6" s="348">
        <f>IF(Input!$F$18="Small",Assumptions!F6,IF(Input!$F$18="Medium",Assumptions!H6,IF(Input!$F$18="Large",Assumptions!J6,"")))</f>
        <v>0.6</v>
      </c>
      <c r="C6" s="10" t="s">
        <v>559</v>
      </c>
      <c r="D6" s="9"/>
      <c r="E6" s="270">
        <v>0.6</v>
      </c>
      <c r="F6" s="270">
        <v>0.6</v>
      </c>
      <c r="G6" s="17">
        <v>0.8</v>
      </c>
      <c r="H6" s="17">
        <v>0.8</v>
      </c>
      <c r="I6" s="17">
        <v>0.75</v>
      </c>
      <c r="J6" s="294">
        <v>0.75</v>
      </c>
    </row>
    <row r="7">
      <c r="A7" s="348">
        <f>IF(Input!$F$18="Small",Assumptions!E7,IF(Input!$F$18="Medium",Assumptions!G7,IF(Input!$F$18="Large",Assumptions!I7,"")))</f>
        <v>400000</v>
      </c>
      <c r="B7" s="348">
        <f>IF(Input!$F$18="Small",Assumptions!F7,IF(Input!$F$18="Medium",Assumptions!H7,IF(Input!$F$18="Large",Assumptions!J7,"")))</f>
        <v>400000</v>
      </c>
      <c r="C7" s="10" t="s">
        <v>560</v>
      </c>
      <c r="D7" s="9"/>
      <c r="E7" s="268">
        <f>D62</f>
        <v>400000</v>
      </c>
      <c r="F7" s="268">
        <f>E7</f>
        <v>400000</v>
      </c>
      <c r="G7" s="268">
        <f ref="G7:J7" t="shared" si="0">F7</f>
        <v>400000</v>
      </c>
      <c r="H7" s="268">
        <f t="shared" si="0"/>
        <v>400000</v>
      </c>
      <c r="I7" s="268">
        <f t="shared" si="0"/>
        <v>400000</v>
      </c>
      <c r="J7" s="295">
        <f t="shared" si="0"/>
        <v>400000</v>
      </c>
    </row>
    <row r="8">
      <c r="A8" s="348">
        <f>IF(Input!$F$18="Small",Assumptions!E8,IF(Input!$F$18="Medium",Assumptions!G8,IF(Input!$F$18="Large",Assumptions!I8,"")))</f>
        <v>4</v>
      </c>
      <c r="B8" s="348">
        <f>IF(Input!$F$18="Small",Assumptions!F8,IF(Input!$F$18="Medium",Assumptions!H8,IF(Input!$F$18="Large",Assumptions!J8,"")))</f>
        <v>4</v>
      </c>
      <c r="C8" s="10" t="s">
        <v>561</v>
      </c>
      <c r="D8" s="9"/>
      <c r="E8" s="45">
        <v>4</v>
      </c>
      <c r="F8" s="45">
        <v>4</v>
      </c>
      <c r="G8" s="9">
        <v>6</v>
      </c>
      <c r="H8" s="9">
        <v>6</v>
      </c>
      <c r="I8" s="9">
        <v>8</v>
      </c>
      <c r="J8" s="11">
        <v>8</v>
      </c>
    </row>
    <row r="9">
      <c r="A9" s="348">
        <f>IF(Input!$F$18="Small",Assumptions!E9,IF(Input!$F$18="Medium",Assumptions!G9,IF(Input!$F$18="Large",Assumptions!I9,"")))</f>
        <v>0.2</v>
      </c>
      <c r="B9" s="348">
        <f>IF(Input!$F$18="Small",Assumptions!F9,IF(Input!$F$18="Medium",Assumptions!H9,IF(Input!$F$18="Large",Assumptions!J9,"")))</f>
        <v>0.2</v>
      </c>
      <c r="C9" s="10" t="s">
        <v>562</v>
      </c>
      <c r="D9" s="9"/>
      <c r="E9" s="270">
        <v>0.2</v>
      </c>
      <c r="F9" s="270">
        <v>0.2</v>
      </c>
      <c r="G9" s="17">
        <v>0.2</v>
      </c>
      <c r="H9" s="17">
        <v>0.2</v>
      </c>
      <c r="I9" s="17">
        <v>0.2</v>
      </c>
      <c r="J9" s="294">
        <v>0.2</v>
      </c>
    </row>
    <row r="10" ht="15">
      <c r="A10" s="348">
        <f>IF(Input!$F$18="Small",Assumptions!E10,IF(Input!$F$18="Medium",Assumptions!G10,IF(Input!$F$18="Large",Assumptions!I10,"")))</f>
        <v>350000</v>
      </c>
      <c r="B10" s="348">
        <f>IF(Input!$F$18="Small",Assumptions!F10,IF(Input!$F$18="Medium",Assumptions!H10,IF(Input!$F$18="Large",Assumptions!J10,"")))</f>
        <v>350000</v>
      </c>
      <c r="C10" s="21" t="s">
        <v>563</v>
      </c>
      <c r="D10" s="13"/>
      <c r="E10" s="296">
        <f>D63</f>
        <v>350000</v>
      </c>
      <c r="F10" s="296">
        <f>E10</f>
        <v>350000</v>
      </c>
      <c r="G10" s="296">
        <f ref="G10:J10" t="shared" si="1">F10</f>
        <v>350000</v>
      </c>
      <c r="H10" s="296">
        <f t="shared" si="1"/>
        <v>350000</v>
      </c>
      <c r="I10" s="296">
        <f t="shared" si="1"/>
        <v>350000</v>
      </c>
      <c r="J10" s="297">
        <f t="shared" si="1"/>
        <v>350000</v>
      </c>
    </row>
    <row r="11" ht="15">
      <c r="A11" s="348">
        <f>IF(Input!$F$18="Small",Assumptions!E11,IF(Input!$F$18="Medium",Assumptions!G11,IF(Input!$F$18="Large",Assumptions!I11,"")))</f>
        <v>0</v>
      </c>
      <c r="B11" s="348">
        <f>IF(Input!$F$18="Small",Assumptions!F11,IF(Input!$F$18="Medium",Assumptions!H11,IF(Input!$F$18="Large",Assumptions!J11,"")))</f>
        <v>0</v>
      </c>
    </row>
    <row r="12">
      <c r="A12" s="348">
        <f>IF(Input!$F$18="Small",Assumptions!E12,IF(Input!$F$18="Medium",Assumptions!G12,IF(Input!$F$18="Large",Assumptions!I12,"")))</f>
        <v>2</v>
      </c>
      <c r="B12" s="348">
        <f>IF(Input!$F$18="Small",Assumptions!F12,IF(Input!$F$18="Medium",Assumptions!H12,IF(Input!$F$18="Large",Assumptions!J12,"")))</f>
        <v>2</v>
      </c>
      <c r="C12" s="56" t="s">
        <v>564</v>
      </c>
      <c r="D12" s="252"/>
      <c r="E12" s="298">
        <v>2</v>
      </c>
      <c r="F12" s="298">
        <f>E12</f>
        <v>2</v>
      </c>
      <c r="G12" s="299">
        <v>3</v>
      </c>
      <c r="H12" s="299">
        <v>3</v>
      </c>
      <c r="I12" s="299">
        <v>4</v>
      </c>
      <c r="J12" s="300">
        <v>4</v>
      </c>
    </row>
    <row r="13">
      <c r="A13" s="348">
        <f>IF(Input!$F$18="Small",Assumptions!E13,IF(Input!$F$18="Medium",Assumptions!G13,IF(Input!$F$18="Large",Assumptions!I13,"")))</f>
        <v>200000</v>
      </c>
      <c r="B13" s="348">
        <f>IF(Input!$F$18="Small",Assumptions!F13,IF(Input!$F$18="Medium",Assumptions!H13,IF(Input!$F$18="Large",Assumptions!J13,"")))</f>
        <v>200000</v>
      </c>
      <c r="C13" s="10" t="s">
        <v>565</v>
      </c>
      <c r="D13" s="9"/>
      <c r="E13" s="46">
        <f>D64</f>
        <v>200000</v>
      </c>
      <c r="F13" s="46">
        <f>E13</f>
        <v>200000</v>
      </c>
      <c r="G13" s="46">
        <f ref="G13:J13" t="shared" si="2">F13</f>
        <v>200000</v>
      </c>
      <c r="H13" s="46">
        <f t="shared" si="2"/>
        <v>200000</v>
      </c>
      <c r="I13" s="46">
        <f t="shared" si="2"/>
        <v>200000</v>
      </c>
      <c r="J13" s="301">
        <f t="shared" si="2"/>
        <v>200000</v>
      </c>
    </row>
    <row r="14">
      <c r="A14" s="348">
        <f>IF(Input!$F$18="Small",Assumptions!E14,IF(Input!$F$18="Medium",Assumptions!G14,IF(Input!$F$18="Large",Assumptions!I14,"")))</f>
        <v>3</v>
      </c>
      <c r="B14" s="348">
        <f>IF(Input!$F$18="Small",Assumptions!F14,IF(Input!$F$18="Medium",Assumptions!H14,IF(Input!$F$18="Large",Assumptions!J14,"")))</f>
        <v>3</v>
      </c>
      <c r="C14" s="10" t="s">
        <v>566</v>
      </c>
      <c r="D14" s="9"/>
      <c r="E14" s="274">
        <v>3</v>
      </c>
      <c r="F14" s="274">
        <f ref="F14:F16" t="shared" si="3">E14</f>
        <v>3</v>
      </c>
      <c r="G14" s="14">
        <v>4</v>
      </c>
      <c r="H14" s="14">
        <v>4</v>
      </c>
      <c r="I14" s="14">
        <v>5</v>
      </c>
      <c r="J14" s="302">
        <v>5</v>
      </c>
    </row>
    <row r="15">
      <c r="A15" s="348">
        <f>IF(Input!$F$18="Small",Assumptions!E15,IF(Input!$F$18="Medium",Assumptions!G15,IF(Input!$F$18="Large",Assumptions!I15,"")))</f>
        <v>150000</v>
      </c>
      <c r="B15" s="348">
        <f>IF(Input!$F$18="Small",Assumptions!F15,IF(Input!$F$18="Medium",Assumptions!H15,IF(Input!$F$18="Large",Assumptions!J15,"")))</f>
        <v>150000</v>
      </c>
      <c r="C15" s="10" t="s">
        <v>567</v>
      </c>
      <c r="D15" s="9"/>
      <c r="E15" s="46">
        <f>D65</f>
        <v>150000</v>
      </c>
      <c r="F15" s="46">
        <f>E15</f>
        <v>150000</v>
      </c>
      <c r="G15" s="46">
        <f ref="G15:J15" t="shared" si="4">F15</f>
        <v>150000</v>
      </c>
      <c r="H15" s="46">
        <f t="shared" si="4"/>
        <v>150000</v>
      </c>
      <c r="I15" s="46">
        <f t="shared" si="4"/>
        <v>150000</v>
      </c>
      <c r="J15" s="301">
        <f t="shared" si="4"/>
        <v>150000</v>
      </c>
    </row>
    <row r="16">
      <c r="A16" s="348">
        <f>IF(Input!$F$18="Small",Assumptions!E16,IF(Input!$F$18="Medium",Assumptions!G16,IF(Input!$F$18="Large",Assumptions!I16,"")))</f>
        <v>4</v>
      </c>
      <c r="B16" s="348">
        <f>IF(Input!$F$18="Small",Assumptions!F16,IF(Input!$F$18="Medium",Assumptions!H16,IF(Input!$F$18="Large",Assumptions!J16,"")))</f>
        <v>4</v>
      </c>
      <c r="C16" s="10" t="s">
        <v>568</v>
      </c>
      <c r="D16" s="9"/>
      <c r="E16" s="274">
        <v>4</v>
      </c>
      <c r="F16" s="274">
        <f t="shared" si="3"/>
        <v>4</v>
      </c>
      <c r="G16" s="14">
        <v>5</v>
      </c>
      <c r="H16" s="14">
        <v>5</v>
      </c>
      <c r="I16" s="14">
        <v>6</v>
      </c>
      <c r="J16" s="302">
        <v>6</v>
      </c>
    </row>
    <row r="17" ht="15">
      <c r="A17" s="348">
        <f>IF(Input!$F$18="Small",Assumptions!E17,IF(Input!$F$18="Medium",Assumptions!G17,IF(Input!$F$18="Large",Assumptions!I17,"")))</f>
        <v>120000</v>
      </c>
      <c r="B17" s="348">
        <f>IF(Input!$F$18="Small",Assumptions!F17,IF(Input!$F$18="Medium",Assumptions!H17,IF(Input!$F$18="Large",Assumptions!J17,"")))</f>
        <v>120000</v>
      </c>
      <c r="C17" s="21" t="s">
        <v>569</v>
      </c>
      <c r="D17" s="13"/>
      <c r="E17" s="303">
        <f>D66</f>
        <v>120000</v>
      </c>
      <c r="F17" s="303">
        <f>E17</f>
        <v>120000</v>
      </c>
      <c r="G17" s="303">
        <f ref="G17:J17" t="shared" si="5">F17</f>
        <v>120000</v>
      </c>
      <c r="H17" s="303">
        <f t="shared" si="5"/>
        <v>120000</v>
      </c>
      <c r="I17" s="303">
        <f t="shared" si="5"/>
        <v>120000</v>
      </c>
      <c r="J17" s="304">
        <f t="shared" si="5"/>
        <v>120000</v>
      </c>
    </row>
    <row r="18" ht="15">
      <c r="A18" s="348">
        <f>IF(Input!$F$18="Small",Assumptions!E18,IF(Input!$F$18="Medium",Assumptions!G18,IF(Input!$F$18="Large",Assumptions!I18,"")))</f>
        <v>0</v>
      </c>
      <c r="B18" s="348">
        <f>IF(Input!$F$18="Small",Assumptions!F18,IF(Input!$F$18="Medium",Assumptions!H18,IF(Input!$F$18="Large",Assumptions!J18,"")))</f>
        <v>0</v>
      </c>
    </row>
    <row r="19">
      <c r="A19" s="348">
        <f>IF(Input!$F$18="Small",Assumptions!E19,IF(Input!$F$18="Medium",Assumptions!G19,IF(Input!$F$18="Large",Assumptions!I19,"")))</f>
        <v>25</v>
      </c>
      <c r="B19" s="348">
        <f>IF(Input!$F$18="Small",Assumptions!F19,IF(Input!$F$18="Medium",Assumptions!H19,IF(Input!$F$18="Large",Assumptions!J19,"")))</f>
        <v>25</v>
      </c>
      <c r="C19" s="56" t="s">
        <v>570</v>
      </c>
      <c r="D19" s="252"/>
      <c r="E19" s="298">
        <v>25</v>
      </c>
      <c r="F19" s="298">
        <f ref="F19:F24" t="shared" si="6">E19</f>
        <v>25</v>
      </c>
      <c r="G19" s="298">
        <v>50</v>
      </c>
      <c r="H19" s="298">
        <f>G19</f>
        <v>50</v>
      </c>
      <c r="I19" s="298">
        <v>75</v>
      </c>
      <c r="J19" s="305">
        <f>I19</f>
        <v>75</v>
      </c>
    </row>
    <row r="20">
      <c r="A20" s="348">
        <f>IF(Input!$F$18="Small",Assumptions!E20,IF(Input!$F$18="Medium",Assumptions!G20,IF(Input!$F$18="Large",Assumptions!I20,"")))</f>
        <v>0.1</v>
      </c>
      <c r="B20" s="348">
        <f>IF(Input!$F$18="Small",Assumptions!F20,IF(Input!$F$18="Medium",Assumptions!H20,IF(Input!$F$18="Large",Assumptions!J20,"")))</f>
        <v>0.1</v>
      </c>
      <c r="C20" s="10" t="s">
        <v>571</v>
      </c>
      <c r="D20" s="9"/>
      <c r="E20" s="17">
        <v>0.1</v>
      </c>
      <c r="F20" s="270">
        <f t="shared" si="6"/>
        <v>0.1</v>
      </c>
      <c r="G20" s="17">
        <v>0.1</v>
      </c>
      <c r="H20" s="270">
        <f>G20</f>
        <v>0.1</v>
      </c>
      <c r="I20" s="17">
        <v>0.1</v>
      </c>
      <c r="J20" s="306">
        <f>I20</f>
        <v>0.1</v>
      </c>
    </row>
    <row r="21">
      <c r="A21" s="348">
        <f>IF(Input!$F$18="Small",Assumptions!E21,IF(Input!$F$18="Medium",Assumptions!G21,IF(Input!$F$18="Large",Assumptions!I21,"")))</f>
        <v>120000</v>
      </c>
      <c r="B21" s="348">
        <f>IF(Input!$F$18="Small",Assumptions!F21,IF(Input!$F$18="Medium",Assumptions!H21,IF(Input!$F$18="Large",Assumptions!J21,"")))</f>
        <v>120000</v>
      </c>
      <c r="C21" s="10" t="s">
        <v>572</v>
      </c>
      <c r="D21" s="9"/>
      <c r="E21" s="15">
        <f>D67</f>
        <v>120000</v>
      </c>
      <c r="F21" s="268">
        <f t="shared" si="6"/>
        <v>120000</v>
      </c>
      <c r="G21" s="268">
        <f ref="G21:J21" t="shared" si="7">F21</f>
        <v>120000</v>
      </c>
      <c r="H21" s="268">
        <f t="shared" si="7"/>
        <v>120000</v>
      </c>
      <c r="I21" s="268">
        <f t="shared" si="7"/>
        <v>120000</v>
      </c>
      <c r="J21" s="295">
        <f t="shared" si="7"/>
        <v>120000</v>
      </c>
    </row>
    <row r="22">
      <c r="A22" s="348">
        <f>IF(Input!$F$18="Small",Assumptions!E22,IF(Input!$F$18="Medium",Assumptions!G22,IF(Input!$F$18="Large",Assumptions!I22,"")))</f>
        <v>100</v>
      </c>
      <c r="B22" s="348">
        <f>IF(Input!$F$18="Small",Assumptions!F22,IF(Input!$F$18="Medium",Assumptions!H22,IF(Input!$F$18="Large",Assumptions!J22,"")))</f>
        <v>100</v>
      </c>
      <c r="C22" s="10" t="s">
        <v>573</v>
      </c>
      <c r="D22" s="9"/>
      <c r="E22" s="274">
        <v>100</v>
      </c>
      <c r="F22" s="274">
        <f t="shared" si="6"/>
        <v>100</v>
      </c>
      <c r="G22" s="274">
        <v>150</v>
      </c>
      <c r="H22" s="274">
        <f>G22</f>
        <v>150</v>
      </c>
      <c r="I22" s="274">
        <v>200</v>
      </c>
      <c r="J22" s="307">
        <f>I22</f>
        <v>200</v>
      </c>
    </row>
    <row r="23">
      <c r="A23" s="348">
        <f>IF(Input!$F$18="Small",Assumptions!E23,IF(Input!$F$18="Medium",Assumptions!G23,IF(Input!$F$18="Large",Assumptions!I23,"")))</f>
        <v>0.1</v>
      </c>
      <c r="B23" s="348">
        <f>IF(Input!$F$18="Small",Assumptions!F23,IF(Input!$F$18="Medium",Assumptions!H23,IF(Input!$F$18="Large",Assumptions!J23,"")))</f>
        <v>0.1</v>
      </c>
      <c r="C23" s="10" t="s">
        <v>574</v>
      </c>
      <c r="D23" s="9"/>
      <c r="E23" s="270">
        <v>0.1</v>
      </c>
      <c r="F23" s="270">
        <f t="shared" si="6"/>
        <v>0.1</v>
      </c>
      <c r="G23" s="270">
        <v>0.1</v>
      </c>
      <c r="H23" s="270">
        <f>G23</f>
        <v>0.1</v>
      </c>
      <c r="I23" s="270">
        <v>0.1</v>
      </c>
      <c r="J23" s="306">
        <f>I23</f>
        <v>0.1</v>
      </c>
    </row>
    <row r="24" ht="15">
      <c r="A24" s="348">
        <f>IF(Input!$F$18="Small",Assumptions!E24,IF(Input!$F$18="Medium",Assumptions!G24,IF(Input!$F$18="Large",Assumptions!I24,"")))</f>
        <v>100000</v>
      </c>
      <c r="B24" s="348">
        <f>IF(Input!$F$18="Small",Assumptions!F24,IF(Input!$F$18="Medium",Assumptions!H24,IF(Input!$F$18="Large",Assumptions!J24,"")))</f>
        <v>100000</v>
      </c>
      <c r="C24" s="21" t="s">
        <v>575</v>
      </c>
      <c r="D24" s="13"/>
      <c r="E24" s="296">
        <f>D68</f>
        <v>100000</v>
      </c>
      <c r="F24" s="296">
        <f t="shared" si="6"/>
        <v>100000</v>
      </c>
      <c r="G24" s="296">
        <f ref="G24:J24" t="shared" si="8">F24</f>
        <v>100000</v>
      </c>
      <c r="H24" s="296">
        <f t="shared" si="8"/>
        <v>100000</v>
      </c>
      <c r="I24" s="296">
        <f t="shared" si="8"/>
        <v>100000</v>
      </c>
      <c r="J24" s="297">
        <f t="shared" si="8"/>
        <v>100000</v>
      </c>
    </row>
    <row r="25" ht="15">
      <c r="A25" s="348">
        <f>IF(Input!$F$18="Small",Assumptions!E25,IF(Input!$F$18="Medium",Assumptions!G25,IF(Input!$F$18="Large",Assumptions!I25,"")))</f>
        <v>0</v>
      </c>
      <c r="B25" s="348">
        <f>IF(Input!$F$18="Small",Assumptions!F25,IF(Input!$F$18="Medium",Assumptions!H25,IF(Input!$F$18="Large",Assumptions!J25,"")))</f>
        <v>0</v>
      </c>
    </row>
    <row r="26">
      <c r="A26" s="348">
        <f>IF(Input!$F$18="Small",Assumptions!E26,IF(Input!$F$18="Medium",Assumptions!G26,IF(Input!$F$18="Large",Assumptions!I26,"")))</f>
        <v>4</v>
      </c>
      <c r="B26" s="348">
        <f>IF(Input!$F$18="Small",Assumptions!F26,IF(Input!$F$18="Medium",Assumptions!H26,IF(Input!$F$18="Large",Assumptions!J26,"")))</f>
        <v>4</v>
      </c>
      <c r="C26" s="308" t="s">
        <v>390</v>
      </c>
      <c r="D26" s="252"/>
      <c r="E26" s="293">
        <v>4</v>
      </c>
      <c r="F26" s="293">
        <f>E26</f>
        <v>4</v>
      </c>
      <c r="G26" s="252">
        <v>2</v>
      </c>
      <c r="H26" s="252">
        <f>G26</f>
        <v>2</v>
      </c>
      <c r="I26" s="252">
        <v>1</v>
      </c>
      <c r="J26" s="253">
        <v>1</v>
      </c>
    </row>
    <row r="27">
      <c r="A27" s="348">
        <f>IF(Input!$F$18="Small",Assumptions!E27,IF(Input!$F$18="Medium",Assumptions!G27,IF(Input!$F$18="Large",Assumptions!I27,"")))</f>
        <v>5000000</v>
      </c>
      <c r="B27" s="348">
        <f>IF(Input!$F$18="Small",Assumptions!F27,IF(Input!$F$18="Medium",Assumptions!H27,IF(Input!$F$18="Large",Assumptions!J27,"")))</f>
        <v>5000000</v>
      </c>
      <c r="C27" s="27" t="s">
        <v>392</v>
      </c>
      <c r="D27" s="9"/>
      <c r="E27" s="46">
        <v>5000000</v>
      </c>
      <c r="F27" s="46">
        <f>E27</f>
        <v>5000000</v>
      </c>
      <c r="G27" s="12">
        <v>12000000</v>
      </c>
      <c r="H27" s="12">
        <f>G27</f>
        <v>12000000</v>
      </c>
      <c r="I27" s="46">
        <v>22000000</v>
      </c>
      <c r="J27" s="264">
        <f>I27</f>
        <v>22000000</v>
      </c>
    </row>
    <row r="28" ht="15">
      <c r="A28" s="348">
        <f>IF(Input!$F$18="Small",Assumptions!E28,IF(Input!$F$18="Medium",Assumptions!G28,IF(Input!$F$18="Large",Assumptions!I28,"")))</f>
        <v>0.14</v>
      </c>
      <c r="B28" s="348">
        <f>IF(Input!$F$18="Small",Assumptions!F28,IF(Input!$F$18="Medium",Assumptions!H28,IF(Input!$F$18="Large",Assumptions!J28,"")))</f>
        <v>0.14</v>
      </c>
      <c r="C28" s="276" t="s">
        <v>393</v>
      </c>
      <c r="D28" s="13"/>
      <c r="E28" s="310">
        <v>0.14</v>
      </c>
      <c r="F28" s="310">
        <f>E28</f>
        <v>0.14</v>
      </c>
      <c r="G28" s="310">
        <f ref="G28:J28" t="shared" si="9">F28</f>
        <v>0.14</v>
      </c>
      <c r="H28" s="310">
        <f t="shared" si="9"/>
        <v>0.14</v>
      </c>
      <c r="I28" s="310">
        <f t="shared" si="9"/>
        <v>0.14</v>
      </c>
      <c r="J28" s="311">
        <f t="shared" si="9"/>
        <v>0.14</v>
      </c>
    </row>
    <row r="29" ht="15" customHeight="1">
      <c r="A29" s="348">
        <f>IF(Input!$F$18="Small",Assumptions!E29,IF(Input!$F$18="Medium",Assumptions!G29,IF(Input!$F$18="Large",Assumptions!I29,"")))</f>
        <v>0</v>
      </c>
      <c r="B29" s="348">
        <f>IF(Input!$F$18="Small",Assumptions!F29,IF(Input!$F$18="Medium",Assumptions!H29,IF(Input!$F$18="Large",Assumptions!J29,"")))</f>
        <v>0</v>
      </c>
    </row>
    <row r="30" ht="15" customHeight="1">
      <c r="A30" s="348">
        <f>IF(Input!$F$18="Small",Assumptions!E30,IF(Input!$F$18="Medium",Assumptions!G30,IF(Input!$F$18="Large",Assumptions!I30,"")))</f>
        <v>4</v>
      </c>
      <c r="B30" s="348">
        <f>IF(Input!$F$18="Small",Assumptions!F30,IF(Input!$F$18="Medium",Assumptions!H30,IF(Input!$F$18="Large",Assumptions!J30,"")))</f>
        <v>4</v>
      </c>
      <c r="C30" s="308" t="s">
        <v>398</v>
      </c>
      <c r="D30" s="252"/>
      <c r="E30" s="293">
        <v>4</v>
      </c>
      <c r="F30" s="293">
        <v>4</v>
      </c>
      <c r="G30" s="252">
        <v>6</v>
      </c>
      <c r="H30" s="252">
        <v>6</v>
      </c>
      <c r="I30" s="252">
        <v>9</v>
      </c>
      <c r="J30" s="253">
        <v>9</v>
      </c>
    </row>
    <row r="31" ht="15" customHeight="1">
      <c r="A31" s="348">
        <f>IF(Input!$F$18="Small",Assumptions!E31,IF(Input!$F$18="Medium",Assumptions!G31,IF(Input!$F$18="Large",Assumptions!I31,"")))</f>
        <v>4</v>
      </c>
      <c r="B31" s="348">
        <f>IF(Input!$F$18="Small",Assumptions!F31,IF(Input!$F$18="Medium",Assumptions!H31,IF(Input!$F$18="Large",Assumptions!J31,"")))</f>
        <v>4</v>
      </c>
      <c r="C31" s="25" t="s">
        <v>400</v>
      </c>
      <c r="D31" s="9"/>
      <c r="E31" s="45">
        <v>4</v>
      </c>
      <c r="F31" s="45">
        <v>4</v>
      </c>
      <c r="G31" s="9">
        <v>2</v>
      </c>
      <c r="H31" s="9">
        <v>2</v>
      </c>
      <c r="I31" s="9">
        <v>1</v>
      </c>
      <c r="J31" s="11">
        <v>1</v>
      </c>
    </row>
    <row r="32" ht="15" customHeight="1">
      <c r="A32" s="348">
        <f>IF(Input!$F$18="Small",Assumptions!E32,IF(Input!$F$18="Medium",Assumptions!G32,IF(Input!$F$18="Large",Assumptions!I32,"")))</f>
        <v>5000000</v>
      </c>
      <c r="B32" s="348">
        <f>IF(Input!$F$18="Small",Assumptions!F32,IF(Input!$F$18="Medium",Assumptions!H32,IF(Input!$F$18="Large",Assumptions!J32,"")))</f>
        <v>5000000</v>
      </c>
      <c r="C32" s="27" t="s">
        <v>401</v>
      </c>
      <c r="D32" s="9"/>
      <c r="E32" s="46">
        <f>E27</f>
        <v>5000000</v>
      </c>
      <c r="F32" s="46">
        <f>F27</f>
        <v>5000000</v>
      </c>
      <c r="G32" s="46">
        <f>G27</f>
        <v>12000000</v>
      </c>
      <c r="H32" s="46">
        <f>H27</f>
        <v>12000000</v>
      </c>
      <c r="I32" s="46">
        <v>30000000</v>
      </c>
      <c r="J32" s="301">
        <v>30000000</v>
      </c>
    </row>
    <row r="33" ht="15" customHeight="1">
      <c r="A33" s="348">
        <f>IF(Input!$F$18="Small",Assumptions!E33,IF(Input!$F$18="Medium",Assumptions!G33,IF(Input!$F$18="Large",Assumptions!I33,"")))</f>
        <v>0.14</v>
      </c>
      <c r="B33" s="348">
        <f>IF(Input!$F$18="Small",Assumptions!F33,IF(Input!$F$18="Medium",Assumptions!H33,IF(Input!$F$18="Large",Assumptions!J33,"")))</f>
        <v>0.14</v>
      </c>
      <c r="C33" s="276" t="s">
        <v>402</v>
      </c>
      <c r="D33" s="13"/>
      <c r="E33" s="310">
        <f>E28</f>
        <v>0.14</v>
      </c>
      <c r="F33" s="310">
        <f ref="F33:J33" t="shared" si="11">F28</f>
        <v>0.14</v>
      </c>
      <c r="G33" s="310">
        <f t="shared" si="11"/>
        <v>0.14</v>
      </c>
      <c r="H33" s="310">
        <f t="shared" si="11"/>
        <v>0.14</v>
      </c>
      <c r="I33" s="310">
        <f t="shared" si="11"/>
        <v>0.14</v>
      </c>
      <c r="J33" s="311">
        <f t="shared" si="11"/>
        <v>0.14</v>
      </c>
    </row>
    <row r="34" ht="15" customHeight="1">
      <c r="A34" s="348">
        <f>IF(Input!$F$18="Small",Assumptions!E34,IF(Input!$F$18="Medium",Assumptions!G34,IF(Input!$F$18="Large",Assumptions!I34,"")))</f>
        <v>0</v>
      </c>
      <c r="B34" s="348">
        <f>IF(Input!$F$18="Small",Assumptions!F34,IF(Input!$F$18="Medium",Assumptions!H34,IF(Input!$F$18="Large",Assumptions!J34,"")))</f>
        <v>0</v>
      </c>
    </row>
    <row r="35">
      <c r="A35" s="348">
        <f>IF(Input!$F$18="Small",Assumptions!E35,IF(Input!$F$18="Medium",Assumptions!G35,IF(Input!$F$18="Large",Assumptions!I35,"")))</f>
        <v>3031667</v>
      </c>
      <c r="B35" s="348">
        <f>IF(Input!$F$18="Small",Assumptions!F35,IF(Input!$F$18="Medium",Assumptions!H35,IF(Input!$F$18="Large",Assumptions!J35,"")))</f>
        <v>3031667</v>
      </c>
      <c r="C35" s="56" t="s">
        <v>576</v>
      </c>
      <c r="D35" s="312">
        <v>3031667</v>
      </c>
      <c r="E35" s="313">
        <f>D35</f>
        <v>3031667</v>
      </c>
      <c r="F35" s="313">
        <f>E35</f>
        <v>3031667</v>
      </c>
      <c r="G35" s="314">
        <f>D35*1.5</f>
        <v>4547500.5</v>
      </c>
      <c r="H35" s="314">
        <f>G35</f>
        <v>4547500.5</v>
      </c>
      <c r="I35" s="313">
        <f>D35*2</f>
        <v>6063334</v>
      </c>
      <c r="J35" s="315">
        <f>I35</f>
        <v>6063334</v>
      </c>
    </row>
    <row r="36">
      <c r="A36" s="348">
        <f>IF(Input!$F$18="Small",Assumptions!E36,IF(Input!$F$18="Medium",Assumptions!G36,IF(Input!$F$18="Large",Assumptions!I36,"")))</f>
        <v>0.0875</v>
      </c>
      <c r="B36" s="348">
        <f>IF(Input!$F$18="Small",Assumptions!F36,IF(Input!$F$18="Medium",Assumptions!H36,IF(Input!$F$18="Large",Assumptions!J36,"")))</f>
        <v>0.0875</v>
      </c>
      <c r="C36" s="10" t="s">
        <v>407</v>
      </c>
      <c r="D36" s="255">
        <v>0.0875</v>
      </c>
      <c r="E36" s="316">
        <v>0.0875</v>
      </c>
      <c r="F36" s="316">
        <f>E36</f>
        <v>0.0875</v>
      </c>
      <c r="G36" s="317">
        <f>D36*1.2</f>
        <v>0.105</v>
      </c>
      <c r="H36" s="317">
        <f>G36</f>
        <v>0.105</v>
      </c>
      <c r="I36" s="317">
        <f>D36*1.5</f>
        <v>0.13124999999999998</v>
      </c>
      <c r="J36" s="318">
        <f>I36</f>
        <v>0.13124999999999998</v>
      </c>
    </row>
    <row r="37">
      <c r="A37" s="348">
        <f>IF(Input!$F$18="Small",Assumptions!E37,IF(Input!$F$18="Medium",Assumptions!G37,IF(Input!$F$18="Large",Assumptions!I37,"")))</f>
        <v>0.2</v>
      </c>
      <c r="B37" s="348">
        <f>IF(Input!$F$18="Small",Assumptions!F37,IF(Input!$F$18="Medium",Assumptions!H37,IF(Input!$F$18="Large",Assumptions!J37,"")))</f>
        <v>0.2</v>
      </c>
      <c r="C37" s="10" t="s">
        <v>577</v>
      </c>
      <c r="D37" s="17">
        <v>0.2</v>
      </c>
      <c r="E37" s="17">
        <v>0.2</v>
      </c>
      <c r="F37" s="17">
        <v>0.2</v>
      </c>
      <c r="G37" s="17">
        <v>0.2</v>
      </c>
      <c r="H37" s="17">
        <v>0.2</v>
      </c>
      <c r="I37" s="17">
        <v>0.2</v>
      </c>
      <c r="J37" s="17">
        <v>0.2</v>
      </c>
    </row>
    <row r="38">
      <c r="A38" s="348">
        <f>IF(Input!$F$18="Small",Assumptions!E38,IF(Input!$F$18="Medium",Assumptions!G38,IF(Input!$F$18="Large",Assumptions!I38,"")))</f>
        <v>200000</v>
      </c>
      <c r="B38" s="348">
        <f>IF(Input!$F$18="Small",Assumptions!F38,IF(Input!$F$18="Medium",Assumptions!H38,IF(Input!$F$18="Large",Assumptions!J38,"")))</f>
        <v>200000</v>
      </c>
      <c r="C38" s="10" t="s">
        <v>578</v>
      </c>
      <c r="D38" s="15">
        <f>D69</f>
        <v>200000</v>
      </c>
      <c r="E38" s="15">
        <f>D38</f>
        <v>200000</v>
      </c>
      <c r="F38" s="15">
        <f ref="F38:J38" t="shared" si="12">E38</f>
        <v>200000</v>
      </c>
      <c r="G38" s="15">
        <f t="shared" si="12"/>
        <v>200000</v>
      </c>
      <c r="H38" s="15">
        <f t="shared" si="12"/>
        <v>200000</v>
      </c>
      <c r="I38" s="15">
        <f t="shared" si="12"/>
        <v>200000</v>
      </c>
      <c r="J38" s="15">
        <f t="shared" si="12"/>
        <v>200000</v>
      </c>
    </row>
    <row r="39" ht="14.4" customHeight="1">
      <c r="A39" s="348">
        <f>IF(Input!$F$18="Small",Assumptions!E39,IF(Input!$F$18="Medium",Assumptions!G39,IF(Input!$F$18="Large",Assumptions!I39,"")))</f>
        <v>2</v>
      </c>
      <c r="B39" s="348">
        <f>IF(Input!$F$18="Small",Assumptions!F39,IF(Input!$F$18="Medium",Assumptions!H39,IF(Input!$F$18="Large",Assumptions!J39,"")))</f>
        <v>2</v>
      </c>
      <c r="C39" s="21" t="s">
        <v>579</v>
      </c>
      <c r="D39" s="13">
        <v>2</v>
      </c>
      <c r="E39" s="309">
        <v>2</v>
      </c>
      <c r="F39" s="309">
        <v>2</v>
      </c>
      <c r="G39" s="13">
        <f>D39*1.5</f>
        <v>3</v>
      </c>
      <c r="H39" s="13">
        <f>G39</f>
        <v>3</v>
      </c>
      <c r="I39" s="13">
        <f>D39*2</f>
        <v>4</v>
      </c>
      <c r="J39" s="22">
        <f>I39</f>
        <v>4</v>
      </c>
    </row>
    <row r="40" ht="15">
      <c r="A40" s="348">
        <f>IF(Input!$F$18="Small",Assumptions!E40,IF(Input!$F$18="Medium",Assumptions!G40,IF(Input!$F$18="Large",Assumptions!I40,"")))</f>
        <v>0</v>
      </c>
      <c r="B40" s="348">
        <f>IF(Input!$F$18="Small",Assumptions!F40,IF(Input!$F$18="Medium",Assumptions!H40,IF(Input!$F$18="Large",Assumptions!J40,"")))</f>
        <v>0</v>
      </c>
    </row>
    <row r="41">
      <c r="A41" s="348">
        <f>IF(Input!$F$18="Small",Assumptions!E41,IF(Input!$F$18="Medium",Assumptions!G41,IF(Input!$F$18="Large",Assumptions!I41,"")))</f>
        <v>7.45</v>
      </c>
      <c r="B41" s="348">
        <f>IF(Input!$F$18="Small",Assumptions!F41,IF(Input!$F$18="Medium",Assumptions!H41,IF(Input!$F$18="Large",Assumptions!J41,"")))</f>
        <v>7.45</v>
      </c>
      <c r="C41" s="56" t="s">
        <v>580</v>
      </c>
      <c r="D41" s="252">
        <v>7.45</v>
      </c>
      <c r="E41" s="293">
        <f ref="E41:J41" t="shared" si="13">D41</f>
        <v>7.45</v>
      </c>
      <c r="F41" s="293">
        <f t="shared" si="13"/>
        <v>7.45</v>
      </c>
      <c r="G41" s="252">
        <f t="shared" si="13"/>
        <v>7.45</v>
      </c>
      <c r="H41" s="252">
        <f t="shared" si="13"/>
        <v>7.45</v>
      </c>
      <c r="I41" s="252">
        <f t="shared" si="13"/>
        <v>7.45</v>
      </c>
      <c r="J41" s="253">
        <f t="shared" si="13"/>
        <v>7.45</v>
      </c>
    </row>
    <row r="42">
      <c r="A42" s="348">
        <f>IF(Input!$F$18="Small",Assumptions!E42,IF(Input!$F$18="Medium",Assumptions!G42,IF(Input!$F$18="Large",Assumptions!I42,"")))</f>
        <v>6.9</v>
      </c>
      <c r="B42" s="348">
        <f>IF(Input!$F$18="Small",Assumptions!F42,IF(Input!$F$18="Medium",Assumptions!H42,IF(Input!$F$18="Large",Assumptions!J42,"")))</f>
        <v>6.9</v>
      </c>
      <c r="C42" s="10" t="s">
        <v>581</v>
      </c>
      <c r="D42" s="9">
        <v>6.9</v>
      </c>
      <c r="E42" s="45">
        <f>D42</f>
        <v>6.9</v>
      </c>
      <c r="F42" s="45">
        <f>E42</f>
        <v>6.9</v>
      </c>
      <c r="G42" s="9">
        <f>E42*1.5</f>
        <v>10.350000000000001</v>
      </c>
      <c r="H42" s="9">
        <f>G42</f>
        <v>10.350000000000001</v>
      </c>
      <c r="I42" s="9">
        <f>D42*2</f>
        <v>13.8</v>
      </c>
      <c r="J42" s="11">
        <f>I42</f>
        <v>13.8</v>
      </c>
    </row>
    <row r="43">
      <c r="A43" s="348">
        <f>IF(Input!$F$18="Small",Assumptions!E43,IF(Input!$F$18="Medium",Assumptions!G43,IF(Input!$F$18="Large",Assumptions!I43,"")))</f>
        <v>3000000</v>
      </c>
      <c r="B43" s="348">
        <f>IF(Input!$F$18="Small",Assumptions!F43,IF(Input!$F$18="Medium",Assumptions!H43,IF(Input!$F$18="Large",Assumptions!J43,"")))</f>
        <v>3000000</v>
      </c>
      <c r="C43" s="10" t="s">
        <v>582</v>
      </c>
      <c r="D43" s="12">
        <v>3000000</v>
      </c>
      <c r="E43" s="46">
        <f>D43</f>
        <v>3000000</v>
      </c>
      <c r="F43" s="46">
        <f>E43</f>
        <v>3000000</v>
      </c>
      <c r="G43" s="319">
        <f>D43*1.5</f>
        <v>4500000</v>
      </c>
      <c r="H43" s="319">
        <f>G43</f>
        <v>4500000</v>
      </c>
      <c r="I43" s="12">
        <f>D43*2</f>
        <v>6000000</v>
      </c>
      <c r="J43" s="264">
        <f>I43</f>
        <v>6000000</v>
      </c>
    </row>
    <row r="44">
      <c r="A44" s="348">
        <f>IF(Input!$F$18="Small",Assumptions!E44,IF(Input!$F$18="Medium",Assumptions!G44,IF(Input!$F$18="Large",Assumptions!I44,"")))</f>
        <v>2</v>
      </c>
      <c r="B44" s="348">
        <f>IF(Input!$F$18="Small",Assumptions!F44,IF(Input!$F$18="Medium",Assumptions!H44,IF(Input!$F$18="Large",Assumptions!J44,"")))</f>
        <v>2</v>
      </c>
      <c r="C44" s="10" t="s">
        <v>583</v>
      </c>
      <c r="D44" s="9">
        <v>2</v>
      </c>
      <c r="E44" s="45">
        <v>2</v>
      </c>
      <c r="F44" s="45">
        <f>D44</f>
        <v>2</v>
      </c>
      <c r="G44" s="9">
        <f>D44*1.5</f>
        <v>3</v>
      </c>
      <c r="H44" s="9">
        <f>G44</f>
        <v>3</v>
      </c>
      <c r="I44" s="9">
        <f>D44*2</f>
        <v>4</v>
      </c>
      <c r="J44" s="11">
        <f>I44</f>
        <v>4</v>
      </c>
    </row>
    <row r="45" ht="15">
      <c r="A45" s="348">
        <f>IF(Input!$F$18="Small",Assumptions!E45,IF(Input!$F$18="Medium",Assumptions!G45,IF(Input!$F$18="Large",Assumptions!I45,"")))</f>
        <v>150000</v>
      </c>
      <c r="B45" s="348">
        <f>IF(Input!$F$18="Small",Assumptions!F45,IF(Input!$F$18="Medium",Assumptions!H45,IF(Input!$F$18="Large",Assumptions!J45,"")))</f>
        <v>150000</v>
      </c>
      <c r="C45" s="21" t="s">
        <v>584</v>
      </c>
      <c r="D45" s="320">
        <f>D70</f>
        <v>150000</v>
      </c>
      <c r="E45" s="296">
        <f>D45</f>
        <v>150000</v>
      </c>
      <c r="F45" s="296">
        <f ref="F45:J45" t="shared" si="14">E45</f>
        <v>150000</v>
      </c>
      <c r="G45" s="296">
        <f t="shared" si="14"/>
        <v>150000</v>
      </c>
      <c r="H45" s="296">
        <f t="shared" si="14"/>
        <v>150000</v>
      </c>
      <c r="I45" s="296">
        <f t="shared" si="14"/>
        <v>150000</v>
      </c>
      <c r="J45" s="297">
        <f t="shared" si="14"/>
        <v>150000</v>
      </c>
    </row>
    <row r="46" ht="15">
      <c r="A46" s="348">
        <f>IF(Input!$F$18="Small",Assumptions!E46,IF(Input!$F$18="Medium",Assumptions!G46,IF(Input!$F$18="Large",Assumptions!I46,"")))</f>
        <v>0</v>
      </c>
      <c r="B46" s="348">
        <f>IF(Input!$F$18="Small",Assumptions!F46,IF(Input!$F$18="Medium",Assumptions!H46,IF(Input!$F$18="Large",Assumptions!J46,"")))</f>
        <v>0</v>
      </c>
    </row>
    <row r="47">
      <c r="A47" s="348">
        <f>IF(Input!$F$18="Small",Assumptions!E47,IF(Input!$F$18="Medium",Assumptions!G47,IF(Input!$F$18="Large",Assumptions!I47,"")))</f>
        <v>2</v>
      </c>
      <c r="B47" s="348">
        <f>IF(Input!$F$18="Small",Assumptions!F47,IF(Input!$F$18="Medium",Assumptions!H47,IF(Input!$F$18="Large",Assumptions!J47,"")))</f>
        <v>2</v>
      </c>
      <c r="C47" s="56" t="s">
        <v>585</v>
      </c>
      <c r="D47" s="252">
        <v>2</v>
      </c>
      <c r="E47" s="293">
        <f>D47</f>
        <v>2</v>
      </c>
      <c r="F47" s="293">
        <f>E47</f>
        <v>2</v>
      </c>
      <c r="G47" s="252">
        <f>D47*1.5</f>
        <v>3</v>
      </c>
      <c r="H47" s="252">
        <f>G47</f>
        <v>3</v>
      </c>
      <c r="I47" s="252">
        <f>D47*2</f>
        <v>4</v>
      </c>
      <c r="J47" s="253">
        <f>I47</f>
        <v>4</v>
      </c>
    </row>
    <row r="48">
      <c r="A48" s="348">
        <f>IF(Input!$F$18="Small",Assumptions!E48,IF(Input!$F$18="Medium",Assumptions!G48,IF(Input!$F$18="Large",Assumptions!I48,"")))</f>
        <v>0.5</v>
      </c>
      <c r="B48" s="348">
        <f>IF(Input!$F$18="Small",Assumptions!F48,IF(Input!$F$18="Medium",Assumptions!H48,IF(Input!$F$18="Large",Assumptions!J48,"")))</f>
        <v>0.5</v>
      </c>
      <c r="C48" s="10" t="s">
        <v>586</v>
      </c>
      <c r="D48" s="17">
        <v>0.5</v>
      </c>
      <c r="E48" s="270">
        <f>D48</f>
        <v>0.5</v>
      </c>
      <c r="F48" s="270">
        <f ref="F48:J48" t="shared" si="15">E48</f>
        <v>0.5</v>
      </c>
      <c r="G48" s="270">
        <f t="shared" si="15"/>
        <v>0.5</v>
      </c>
      <c r="H48" s="270">
        <f t="shared" si="15"/>
        <v>0.5</v>
      </c>
      <c r="I48" s="270">
        <f t="shared" si="15"/>
        <v>0.5</v>
      </c>
      <c r="J48" s="306">
        <f t="shared" si="15"/>
        <v>0.5</v>
      </c>
    </row>
    <row r="49">
      <c r="A49" s="348">
        <f>IF(Input!$F$18="Small",Assumptions!E49,IF(Input!$F$18="Medium",Assumptions!G49,IF(Input!$F$18="Large",Assumptions!I49,"")))</f>
        <v>150000</v>
      </c>
      <c r="B49" s="348">
        <f>IF(Input!$F$18="Small",Assumptions!F49,IF(Input!$F$18="Medium",Assumptions!H49,IF(Input!$F$18="Large",Assumptions!J49,"")))</f>
        <v>150000</v>
      </c>
      <c r="C49" s="10" t="s">
        <v>438</v>
      </c>
      <c r="D49" s="15">
        <f>D71</f>
        <v>150000</v>
      </c>
      <c r="E49" s="268">
        <f>D49</f>
        <v>150000</v>
      </c>
      <c r="F49" s="268">
        <f ref="F49:J49" t="shared" si="16">E49</f>
        <v>150000</v>
      </c>
      <c r="G49" s="268">
        <f t="shared" si="16"/>
        <v>150000</v>
      </c>
      <c r="H49" s="268">
        <f t="shared" si="16"/>
        <v>150000</v>
      </c>
      <c r="I49" s="268">
        <f t="shared" si="16"/>
        <v>150000</v>
      </c>
      <c r="J49" s="295">
        <f t="shared" si="16"/>
        <v>150000</v>
      </c>
    </row>
    <row r="50">
      <c r="A50" s="348">
        <f>IF(Input!$F$18="Small",Assumptions!E50,IF(Input!$F$18="Medium",Assumptions!G50,IF(Input!$F$18="Large",Assumptions!I50,"")))</f>
        <v>25000000</v>
      </c>
      <c r="B50" s="348">
        <f>IF(Input!$F$18="Small",Assumptions!F50,IF(Input!$F$18="Medium",Assumptions!H50,IF(Input!$F$18="Large",Assumptions!J50,"")))</f>
        <v>25000000</v>
      </c>
      <c r="C50" s="10" t="s">
        <v>587</v>
      </c>
      <c r="D50" s="12">
        <v>25000000</v>
      </c>
      <c r="E50" s="268">
        <f>D49:D50</f>
        <v>25000000</v>
      </c>
      <c r="F50" s="268">
        <f ref="F50:J50" t="shared" si="17">E49:E50</f>
        <v>25000000</v>
      </c>
      <c r="G50" s="268">
        <f t="shared" si="17"/>
        <v>25000000</v>
      </c>
      <c r="H50" s="268">
        <f t="shared" si="17"/>
        <v>25000000</v>
      </c>
      <c r="I50" s="268">
        <f t="shared" si="17"/>
        <v>25000000</v>
      </c>
      <c r="J50" s="295">
        <f t="shared" si="17"/>
        <v>25000000</v>
      </c>
    </row>
    <row r="51" ht="15">
      <c r="A51" s="348">
        <f>IF(Input!$F$18="Small",Assumptions!E51,IF(Input!$F$18="Medium",Assumptions!G51,IF(Input!$F$18="Large",Assumptions!I51,"")))</f>
        <v>0.02</v>
      </c>
      <c r="B51" s="348">
        <f>IF(Input!$F$18="Small",Assumptions!F51,IF(Input!$F$18="Medium",Assumptions!H51,IF(Input!$F$18="Large",Assumptions!J51,"")))</f>
        <v>0.02</v>
      </c>
      <c r="C51" s="21" t="s">
        <v>588</v>
      </c>
      <c r="D51" s="321">
        <v>0.02</v>
      </c>
      <c r="E51" s="322">
        <f>D51</f>
        <v>0.02</v>
      </c>
      <c r="F51" s="323">
        <f>E51</f>
        <v>0.02</v>
      </c>
      <c r="G51" s="323">
        <v>0.025</v>
      </c>
      <c r="H51" s="323">
        <f ref="H51:J51" t="shared" si="18">G51</f>
        <v>0.025</v>
      </c>
      <c r="I51" s="323">
        <v>0.03</v>
      </c>
      <c r="J51" s="324">
        <f t="shared" si="18"/>
        <v>0.03</v>
      </c>
    </row>
    <row r="52" ht="15">
      <c r="A52" s="348">
        <f>IF(Input!$F$18="Small",Assumptions!E52,IF(Input!$F$18="Medium",Assumptions!G52,IF(Input!$F$18="Large",Assumptions!I52,"")))</f>
        <v>0</v>
      </c>
      <c r="B52" s="348">
        <f>IF(Input!$F$18="Small",Assumptions!F52,IF(Input!$F$18="Medium",Assumptions!H52,IF(Input!$F$18="Large",Assumptions!J52,"")))</f>
        <v>0</v>
      </c>
    </row>
    <row r="53">
      <c r="A53" s="350">
        <f>IF(Input!$F$18="Small",Assumptions!E53,IF(Input!$F$18="Medium",Assumptions!G53,IF(Input!$F$18="Large",Assumptions!I53,"")))</f>
        <v>0.99985</v>
      </c>
      <c r="B53" s="350">
        <f>IF(Input!$F$18="Small",Assumptions!F53,IF(Input!$F$18="Medium",Assumptions!H53,IF(Input!$F$18="Large",Assumptions!J53,"")))</f>
        <v>0.99985</v>
      </c>
      <c r="C53" s="56" t="s">
        <v>589</v>
      </c>
      <c r="D53" s="325">
        <v>0.99985</v>
      </c>
      <c r="E53" s="325">
        <f>D53</f>
        <v>0.99985</v>
      </c>
      <c r="F53" s="326">
        <f>E53</f>
        <v>0.99985</v>
      </c>
      <c r="G53" s="326">
        <f ref="G53:J53" t="shared" si="19">F53</f>
        <v>0.99985</v>
      </c>
      <c r="H53" s="326">
        <f t="shared" si="19"/>
        <v>0.99985</v>
      </c>
      <c r="I53" s="326">
        <f t="shared" si="19"/>
        <v>0.99985</v>
      </c>
      <c r="J53" s="327">
        <f t="shared" si="19"/>
        <v>0.99985</v>
      </c>
    </row>
    <row r="54">
      <c r="A54" s="350">
        <f>IF(Input!$F$18="Small",Assumptions!E54,IF(Input!$F$18="Medium",Assumptions!G54,IF(Input!$F$18="Large",Assumptions!I54,"")))</f>
        <v>0.99999</v>
      </c>
      <c r="B54" s="350">
        <f>IF(Input!$F$18="Small",Assumptions!F54,IF(Input!$F$18="Medium",Assumptions!H54,IF(Input!$F$18="Large",Assumptions!J54,"")))</f>
        <v>0.99995</v>
      </c>
      <c r="C54" s="10" t="s">
        <v>590</v>
      </c>
      <c r="D54" s="328">
        <v>0.99999</v>
      </c>
      <c r="E54" s="328">
        <v>0.99999</v>
      </c>
      <c r="F54" s="328">
        <v>0.99995</v>
      </c>
      <c r="G54" s="328">
        <v>0.99999</v>
      </c>
      <c r="H54" s="328">
        <v>0.999925</v>
      </c>
      <c r="I54" s="328">
        <v>0.99999</v>
      </c>
      <c r="J54" s="329">
        <v>0.99995</v>
      </c>
    </row>
    <row r="55">
      <c r="A55" s="348">
        <f>IF(Input!$F$18="Small",Assumptions!E55,IF(Input!$F$18="Medium",Assumptions!G55,IF(Input!$F$18="Large",Assumptions!I55,"")))</f>
        <v>636000</v>
      </c>
      <c r="B55" s="348">
        <f>IF(Input!$F$18="Small",Assumptions!F55,IF(Input!$F$18="Medium",Assumptions!H55,IF(Input!$F$18="Large",Assumptions!J55,"")))</f>
        <v>636000</v>
      </c>
      <c r="C55" s="10" t="s">
        <v>591</v>
      </c>
      <c r="D55" s="12">
        <v>636000</v>
      </c>
      <c r="E55" s="46">
        <f>D55</f>
        <v>636000</v>
      </c>
      <c r="F55" s="46">
        <f ref="F55:J55" t="shared" si="20">E55</f>
        <v>636000</v>
      </c>
      <c r="G55" s="46">
        <f>F55*1.5</f>
        <v>954000</v>
      </c>
      <c r="H55" s="46">
        <f t="shared" si="20"/>
        <v>954000</v>
      </c>
      <c r="I55" s="46">
        <f>D55*3</f>
        <v>1908000</v>
      </c>
      <c r="J55" s="301">
        <f t="shared" si="20"/>
        <v>1908000</v>
      </c>
    </row>
    <row r="56">
      <c r="A56" s="348">
        <f>IF(Input!$F$18="Small",Assumptions!E56,IF(Input!$F$18="Medium",Assumptions!G56,IF(Input!$F$18="Large",Assumptions!I56,"")))</f>
        <v>2</v>
      </c>
      <c r="B56" s="348">
        <f>IF(Input!$F$18="Small",Assumptions!F56,IF(Input!$F$18="Medium",Assumptions!H56,IF(Input!$F$18="Large",Assumptions!J56,"")))</f>
        <v>2</v>
      </c>
      <c r="C56" s="27" t="s">
        <v>461</v>
      </c>
      <c r="D56" s="9"/>
      <c r="E56" s="45">
        <v>2</v>
      </c>
      <c r="F56" s="45">
        <v>2</v>
      </c>
      <c r="G56" s="45">
        <v>3</v>
      </c>
      <c r="H56" s="45">
        <v>3</v>
      </c>
      <c r="I56" s="45">
        <v>4</v>
      </c>
      <c r="J56" s="269">
        <v>4</v>
      </c>
    </row>
    <row r="57">
      <c r="A57" s="348">
        <f>IF(Input!$F$18="Small",Assumptions!E57,IF(Input!$F$18="Medium",Assumptions!G57,IF(Input!$F$18="Large",Assumptions!I57,"")))</f>
        <v>1</v>
      </c>
      <c r="B57" s="348">
        <f>IF(Input!$F$18="Small",Assumptions!F57,IF(Input!$F$18="Medium",Assumptions!H57,IF(Input!$F$18="Large",Assumptions!J57,"")))</f>
        <v>1</v>
      </c>
      <c r="C57" s="27" t="s">
        <v>462</v>
      </c>
      <c r="D57" s="9"/>
      <c r="E57" s="270">
        <v>1</v>
      </c>
      <c r="F57" s="270">
        <v>1</v>
      </c>
      <c r="G57" s="270">
        <v>1</v>
      </c>
      <c r="H57" s="270">
        <v>1</v>
      </c>
      <c r="I57" s="270">
        <v>1</v>
      </c>
      <c r="J57" s="306">
        <v>1</v>
      </c>
    </row>
    <row r="58" ht="15">
      <c r="A58" s="348">
        <f>IF(Input!$F$18="Small",Assumptions!E58,IF(Input!$F$18="Medium",Assumptions!G58,IF(Input!$F$18="Large",Assumptions!I58,"")))</f>
        <v>150000</v>
      </c>
      <c r="B58" s="348">
        <f>IF(Input!$F$18="Small",Assumptions!F58,IF(Input!$F$18="Medium",Assumptions!H58,IF(Input!$F$18="Large",Assumptions!J58,"")))</f>
        <v>150000</v>
      </c>
      <c r="C58" s="276" t="s">
        <v>463</v>
      </c>
      <c r="D58" s="13"/>
      <c r="E58" s="296">
        <f>D72</f>
        <v>150000</v>
      </c>
      <c r="F58" s="296">
        <f>E58</f>
        <v>150000</v>
      </c>
      <c r="G58" s="296">
        <f ref="G58:J58" t="shared" si="21">F58</f>
        <v>150000</v>
      </c>
      <c r="H58" s="296">
        <f t="shared" si="21"/>
        <v>150000</v>
      </c>
      <c r="I58" s="296">
        <f t="shared" si="21"/>
        <v>150000</v>
      </c>
      <c r="J58" s="297">
        <f t="shared" si="21"/>
        <v>150000</v>
      </c>
    </row>
    <row r="60" ht="15"/>
    <row r="61">
      <c r="C61" s="283" t="s">
        <v>592</v>
      </c>
      <c r="D61" s="265" t="s">
        <v>593</v>
      </c>
      <c r="G61" s="27" t="s">
        <v>594</v>
      </c>
    </row>
    <row r="62">
      <c r="C62" s="9" t="s">
        <v>595</v>
      </c>
      <c r="D62" s="266">
        <v>400000</v>
      </c>
      <c r="G62" s="149" t="s">
        <v>411</v>
      </c>
    </row>
    <row r="63">
      <c r="C63" s="9" t="s">
        <v>596</v>
      </c>
      <c r="D63" s="266">
        <v>350000</v>
      </c>
      <c r="G63" s="99" t="s">
        <v>597</v>
      </c>
    </row>
    <row r="64" ht="15">
      <c r="C64" s="9" t="s">
        <v>197</v>
      </c>
      <c r="D64" s="264">
        <v>200000</v>
      </c>
      <c r="G64" s="39" t="s">
        <v>413</v>
      </c>
    </row>
    <row r="65" ht="15.6">
      <c r="C65" s="9" t="s">
        <v>198</v>
      </c>
      <c r="D65" s="266">
        <v>150000</v>
      </c>
      <c r="G65" s="102" t="s">
        <v>414</v>
      </c>
    </row>
    <row r="66">
      <c r="C66" s="9" t="s">
        <v>598</v>
      </c>
      <c r="D66" s="266">
        <v>120000</v>
      </c>
    </row>
    <row r="67">
      <c r="C67" s="9" t="s">
        <v>599</v>
      </c>
      <c r="D67" s="266">
        <v>120000</v>
      </c>
    </row>
    <row r="68">
      <c r="C68" s="9" t="s">
        <v>600</v>
      </c>
      <c r="D68" s="266">
        <v>100000</v>
      </c>
    </row>
    <row r="69">
      <c r="C69" s="9" t="s">
        <v>601</v>
      </c>
      <c r="D69" s="266">
        <v>200000</v>
      </c>
    </row>
    <row r="70">
      <c r="C70" s="9" t="s">
        <v>602</v>
      </c>
      <c r="D70" s="266">
        <v>150000</v>
      </c>
    </row>
    <row r="71">
      <c r="C71" s="9" t="s">
        <v>603</v>
      </c>
      <c r="D71" s="266">
        <v>150000</v>
      </c>
    </row>
    <row r="72">
      <c r="C72" s="9" t="s">
        <v>604</v>
      </c>
      <c r="D72" s="266">
        <v>150000</v>
      </c>
    </row>
    <row r="73" ht="15">
      <c r="D73" s="22"/>
    </row>
  </sheetData>
  <mergeCells>
    <mergeCell ref="O3:P3"/>
    <mergeCell ref="E3:F3"/>
    <mergeCell ref="G3:H3"/>
    <mergeCell ref="I3:J3"/>
    <mergeCell ref="K3:L3"/>
    <mergeCell ref="M3:N3"/>
  </mergeCells>
  <pageMargins left="0.7" right="0.7" top="0.75" bottom="0.75" header="0.3" footer="0.3"/>
  <headerFooter/>
  <ignoredErrors>
    <ignoredError sqref="E50" formulaRange="1"/>
    <ignoredError sqref="G35:G36 I35:I36 G42:G43 I42:I44 F44 G47 I47 F50 I39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4" tint="0.39997558519241921"/>
  </sheetPr>
  <dimension ref="A2:Q100"/>
  <sheetViews>
    <sheetView topLeftCell="C1" workbookViewId="0">
      <selection activeCell="J8" sqref="J8"/>
    </sheetView>
  </sheetViews>
  <sheetFormatPr defaultRowHeight="14.4" x14ac:dyDescent="0.3"/>
  <cols>
    <col min="4" max="4" width="35.6640625" customWidth="1"/>
    <col min="5" max="5" width="18.88671875" customWidth="1"/>
    <col min="6" max="6" width="18.88671875" customWidth="1"/>
    <col min="7" max="7" width="17.33203125" customWidth="1"/>
    <col min="8" max="8" width="17.5546875" customWidth="1"/>
    <col min="9" max="9" width="15.6640625" customWidth="1"/>
    <col min="10" max="10" width="19" customWidth="1"/>
    <col min="12" max="12" width="11.5546875" customWidth="1"/>
    <col min="13" max="13" width="14.6640625" customWidth="1"/>
    <col min="14" max="14" width="11.33203125" customWidth="1"/>
    <col min="15" max="15" width="15.6640625" customWidth="1"/>
    <col min="16" max="16" width="10.5546875" customWidth="1"/>
    <col min="17" max="17" width="14" customWidth="1"/>
  </cols>
  <sheetData>
    <row r="1" ht="15"/>
    <row r="2">
      <c r="C2" s="250"/>
      <c r="D2" s="356"/>
      <c r="E2" s="646" t="s">
        <v>117</v>
      </c>
      <c r="F2" s="646"/>
      <c r="G2" s="646" t="s">
        <v>118</v>
      </c>
      <c r="H2" s="646"/>
      <c r="I2" s="646" t="s">
        <v>119</v>
      </c>
      <c r="J2" s="647"/>
    </row>
    <row r="3">
      <c r="C3" s="251"/>
      <c r="D3" s="283" t="s">
        <v>518</v>
      </c>
      <c r="E3" s="249" t="s">
        <v>11</v>
      </c>
      <c r="F3" s="249" t="s">
        <v>12</v>
      </c>
      <c r="G3" s="249" t="s">
        <v>11</v>
      </c>
      <c r="H3" s="249" t="s">
        <v>12</v>
      </c>
      <c r="I3" s="249" t="s">
        <v>11</v>
      </c>
      <c r="J3" s="357" t="s">
        <v>12</v>
      </c>
    </row>
    <row r="4">
      <c r="C4" s="254"/>
      <c r="D4" s="359"/>
      <c r="E4" s="359"/>
      <c r="F4" s="359"/>
      <c r="G4" s="359"/>
      <c r="H4" s="359"/>
      <c r="I4" s="359"/>
      <c r="J4" s="360"/>
    </row>
    <row r="5">
      <c r="C5" s="10">
        <v>1</v>
      </c>
      <c r="D5" s="9" t="s">
        <v>226</v>
      </c>
      <c r="E5" s="12">
        <v>0</v>
      </c>
      <c r="F5" s="12">
        <v>66353</v>
      </c>
      <c r="G5" s="12">
        <v>0</v>
      </c>
      <c r="H5" s="12">
        <v>78242</v>
      </c>
      <c r="I5" s="12">
        <v>0</v>
      </c>
      <c r="J5" s="264">
        <v>103623</v>
      </c>
    </row>
    <row r="6">
      <c r="C6" s="10">
        <v>2</v>
      </c>
      <c r="D6" s="9" t="s">
        <v>227</v>
      </c>
      <c r="E6" s="12">
        <v>0</v>
      </c>
      <c r="F6" s="12">
        <v>24000</v>
      </c>
      <c r="G6" s="12">
        <v>0</v>
      </c>
      <c r="H6" s="12">
        <v>27429</v>
      </c>
      <c r="I6" s="12">
        <v>0</v>
      </c>
      <c r="J6" s="264">
        <v>36000</v>
      </c>
    </row>
    <row r="7">
      <c r="C7" s="10">
        <v>3</v>
      </c>
      <c r="D7" s="9" t="s">
        <v>228</v>
      </c>
      <c r="E7" s="12">
        <v>0</v>
      </c>
      <c r="F7" s="12">
        <v>126000</v>
      </c>
      <c r="G7" s="12">
        <v>0</v>
      </c>
      <c r="H7" s="12">
        <v>147000</v>
      </c>
      <c r="I7" s="12">
        <v>0</v>
      </c>
      <c r="J7" s="264">
        <v>199500</v>
      </c>
    </row>
    <row r="8">
      <c r="C8" s="10">
        <v>4</v>
      </c>
      <c r="D8" s="9" t="s">
        <v>229</v>
      </c>
      <c r="E8" s="12">
        <v>1027031</v>
      </c>
      <c r="F8" s="12">
        <v>2513783</v>
      </c>
      <c r="G8" s="12">
        <v>1027031</v>
      </c>
      <c r="H8" s="12">
        <v>2539363</v>
      </c>
      <c r="I8" s="12">
        <v>1027031</v>
      </c>
      <c r="J8" s="264">
        <v>3101669</v>
      </c>
      <c r="L8" s="46">
        <f>(SUM(E5:E8))*(3/5)</f>
        <v>616218.6</v>
      </c>
      <c r="M8" s="46">
        <f ref="M8:Q8" t="shared" si="0">(SUM(F5:F8))*(3/5)</f>
        <v>1638081.5999999999</v>
      </c>
      <c r="N8" s="406">
        <f t="shared" si="0"/>
        <v>616218.6</v>
      </c>
      <c r="O8" s="406">
        <f t="shared" si="0"/>
        <v>1675220.4</v>
      </c>
      <c r="P8" s="46">
        <f t="shared" si="0"/>
        <v>616218.6</v>
      </c>
      <c r="Q8" s="46">
        <f t="shared" si="0"/>
        <v>2064475.2</v>
      </c>
    </row>
    <row r="9">
      <c r="C9" s="10">
        <v>5</v>
      </c>
      <c r="D9" s="9" t="s">
        <v>230</v>
      </c>
      <c r="E9" s="12">
        <v>0</v>
      </c>
      <c r="F9" s="12">
        <v>402579</v>
      </c>
      <c r="G9" s="12">
        <v>0</v>
      </c>
      <c r="H9" s="12">
        <v>640082</v>
      </c>
      <c r="I9" s="12"/>
      <c r="J9" s="264">
        <v>859766</v>
      </c>
      <c r="L9" s="165"/>
      <c r="M9" s="165"/>
      <c r="N9" s="165"/>
      <c r="O9" s="165"/>
    </row>
    <row r="10">
      <c r="C10" s="10">
        <v>6</v>
      </c>
      <c r="D10" s="9" t="s">
        <v>231</v>
      </c>
      <c r="E10" s="12">
        <v>40000</v>
      </c>
      <c r="F10" s="12">
        <v>946537</v>
      </c>
      <c r="G10" s="12">
        <v>40000</v>
      </c>
      <c r="H10" s="12">
        <v>1577039</v>
      </c>
      <c r="I10" s="12">
        <v>80000</v>
      </c>
      <c r="J10" s="264">
        <v>2510576</v>
      </c>
    </row>
    <row r="11">
      <c r="C11" s="10">
        <v>7</v>
      </c>
      <c r="D11" s="9" t="s">
        <v>232</v>
      </c>
      <c r="E11" s="12">
        <v>359378</v>
      </c>
      <c r="F11" s="12">
        <v>333099</v>
      </c>
      <c r="G11" s="12">
        <v>576482</v>
      </c>
      <c r="H11" s="12">
        <v>379963</v>
      </c>
      <c r="I11" s="12">
        <v>814856</v>
      </c>
      <c r="J11" s="264">
        <v>507347</v>
      </c>
      <c r="L11" s="165">
        <f>SUM(E9:E11)</f>
        <v>399378</v>
      </c>
      <c r="M11" s="165">
        <f ref="M11:Q11" t="shared" si="1">SUM(F9:F11)</f>
        <v>1682215</v>
      </c>
      <c r="N11" s="165">
        <f t="shared" si="1"/>
        <v>616482</v>
      </c>
      <c r="O11" s="165">
        <f t="shared" si="1"/>
        <v>2597084</v>
      </c>
      <c r="P11" s="165">
        <f t="shared" si="1"/>
        <v>894856</v>
      </c>
      <c r="Q11" s="165">
        <f t="shared" si="1"/>
        <v>3877689</v>
      </c>
    </row>
    <row r="12" ht="15">
      <c r="C12" s="16">
        <v>8</v>
      </c>
      <c r="D12" s="501" t="s">
        <v>233</v>
      </c>
      <c r="E12" s="502">
        <v>668900</v>
      </c>
      <c r="F12" s="502">
        <v>957039</v>
      </c>
      <c r="G12" s="502">
        <v>1257800</v>
      </c>
      <c r="H12" s="502">
        <v>1106382</v>
      </c>
      <c r="I12" s="502">
        <v>2034240</v>
      </c>
      <c r="J12" s="503">
        <v>1428221</v>
      </c>
    </row>
    <row r="13" ht="15">
      <c r="C13" s="361"/>
      <c r="D13" s="362" t="s">
        <v>16</v>
      </c>
      <c r="E13" s="363">
        <f>SUM(E5:E12)</f>
        <v>2095309</v>
      </c>
      <c r="F13" s="363">
        <f>SUM(F5:F12)</f>
        <v>5369390</v>
      </c>
      <c r="G13" s="363">
        <f ref="G13:J13" t="shared" si="2">SUM(G5:G12)</f>
        <v>2901313</v>
      </c>
      <c r="H13" s="363">
        <f t="shared" si="2"/>
        <v>6495500</v>
      </c>
      <c r="I13" s="363">
        <f t="shared" si="2"/>
        <v>3956127</v>
      </c>
      <c r="J13" s="364">
        <f t="shared" si="2"/>
        <v>8746702</v>
      </c>
      <c r="L13" s="365">
        <f>F13/E13</f>
        <v>2.5625766891661326</v>
      </c>
    </row>
    <row r="14" ht="15">
      <c r="C14" s="21"/>
      <c r="D14" s="13"/>
      <c r="E14" s="13"/>
      <c r="F14" s="13"/>
      <c r="G14" s="13"/>
      <c r="H14" s="13"/>
      <c r="I14" s="13"/>
      <c r="J14" s="22"/>
    </row>
    <row r="16" ht="15"/>
    <row r="17">
      <c r="C17" s="250"/>
      <c r="D17" s="356"/>
      <c r="E17" s="646" t="s">
        <v>117</v>
      </c>
      <c r="F17" s="646"/>
      <c r="G17" s="646" t="s">
        <v>118</v>
      </c>
      <c r="H17" s="646"/>
      <c r="I17" s="646" t="s">
        <v>119</v>
      </c>
      <c r="J17" s="647"/>
    </row>
    <row r="18">
      <c r="C18" s="251"/>
      <c r="D18" s="283" t="s">
        <v>234</v>
      </c>
      <c r="E18" s="249" t="s">
        <v>11</v>
      </c>
      <c r="F18" s="249" t="s">
        <v>12</v>
      </c>
      <c r="G18" s="249" t="s">
        <v>11</v>
      </c>
      <c r="H18" s="249" t="s">
        <v>12</v>
      </c>
      <c r="I18" s="249" t="s">
        <v>11</v>
      </c>
      <c r="J18" s="357" t="s">
        <v>12</v>
      </c>
    </row>
    <row r="19">
      <c r="C19" s="254"/>
      <c r="D19" s="359"/>
      <c r="E19" s="359"/>
      <c r="F19" s="359"/>
      <c r="G19" s="359"/>
      <c r="H19" s="359"/>
      <c r="I19" s="359"/>
      <c r="J19" s="360"/>
    </row>
    <row r="20">
      <c r="C20" s="10">
        <v>1</v>
      </c>
      <c r="D20" s="9" t="s">
        <v>226</v>
      </c>
      <c r="E20" s="12">
        <v>0</v>
      </c>
      <c r="F20" s="12">
        <f>F5/5</f>
        <v>13270.6</v>
      </c>
      <c r="G20" s="12">
        <f>G5/5</f>
        <v>0</v>
      </c>
      <c r="H20" s="12">
        <f>H5/5</f>
        <v>15648.4</v>
      </c>
      <c r="I20" s="12">
        <f>I5/5</f>
        <v>0</v>
      </c>
      <c r="J20" s="264">
        <f>J5/5</f>
        <v>20724.6</v>
      </c>
    </row>
    <row r="21">
      <c r="C21" s="10">
        <v>2</v>
      </c>
      <c r="D21" s="9" t="s">
        <v>227</v>
      </c>
      <c r="E21" s="12">
        <v>0</v>
      </c>
      <c r="F21" s="12">
        <f ref="F21:J24" t="shared" si="3">F6/5</f>
        <v>4800</v>
      </c>
      <c r="G21" s="12">
        <f t="shared" si="3"/>
        <v>0</v>
      </c>
      <c r="H21" s="12">
        <f t="shared" si="3"/>
        <v>5485.8</v>
      </c>
      <c r="I21" s="12">
        <f t="shared" si="3"/>
        <v>0</v>
      </c>
      <c r="J21" s="264">
        <f t="shared" si="3"/>
        <v>7200</v>
      </c>
    </row>
    <row r="22">
      <c r="C22" s="10">
        <v>3</v>
      </c>
      <c r="D22" s="9" t="s">
        <v>228</v>
      </c>
      <c r="E22" s="12">
        <v>0</v>
      </c>
      <c r="F22" s="12">
        <f t="shared" si="3"/>
        <v>25200</v>
      </c>
      <c r="G22" s="12">
        <f t="shared" si="3"/>
        <v>0</v>
      </c>
      <c r="H22" s="12">
        <f t="shared" si="3"/>
        <v>29400</v>
      </c>
      <c r="I22" s="12">
        <f t="shared" si="3"/>
        <v>0</v>
      </c>
      <c r="J22" s="264">
        <f t="shared" si="3"/>
        <v>39900</v>
      </c>
      <c r="L22" s="405">
        <f>(SUM(E20:E23))*3</f>
        <v>616218.60000000009</v>
      </c>
      <c r="M22" s="405">
        <f ref="M22:Q22" t="shared" si="4">(SUM(F20:F23))*3</f>
        <v>1638081.5999999999</v>
      </c>
      <c r="N22" s="406">
        <f t="shared" si="4"/>
        <v>616218.60000000009</v>
      </c>
      <c r="O22" s="406">
        <f t="shared" si="4"/>
        <v>1675220.4</v>
      </c>
      <c r="P22" s="405">
        <f t="shared" si="4"/>
        <v>616218.60000000009</v>
      </c>
      <c r="Q22" s="405">
        <f t="shared" si="4"/>
        <v>2064475.2000000002</v>
      </c>
    </row>
    <row r="23">
      <c r="C23" s="10">
        <v>4</v>
      </c>
      <c r="D23" s="9" t="s">
        <v>229</v>
      </c>
      <c r="E23" s="12">
        <f>(E8)/5</f>
        <v>205406.2</v>
      </c>
      <c r="F23" s="12">
        <f>(F8)/5</f>
        <v>502756.6</v>
      </c>
      <c r="G23" s="12">
        <f t="shared" si="3"/>
        <v>205406.2</v>
      </c>
      <c r="H23" s="12">
        <f t="shared" si="3"/>
        <v>507872.6</v>
      </c>
      <c r="I23" s="12">
        <f t="shared" si="3"/>
        <v>205406.2</v>
      </c>
      <c r="J23" s="264">
        <f t="shared" si="3"/>
        <v>620333.8</v>
      </c>
    </row>
    <row r="24">
      <c r="C24" s="10">
        <v>5</v>
      </c>
      <c r="D24" s="9" t="s">
        <v>230</v>
      </c>
      <c r="E24" s="12">
        <v>0</v>
      </c>
      <c r="F24" s="12">
        <f>F9</f>
        <v>402579</v>
      </c>
      <c r="G24" s="12">
        <f t="shared" si="3"/>
        <v>0</v>
      </c>
      <c r="H24" s="12">
        <f>H9</f>
        <v>640082</v>
      </c>
      <c r="I24" s="12">
        <f t="shared" si="3"/>
        <v>0</v>
      </c>
      <c r="J24" s="264">
        <f>J9</f>
        <v>859766</v>
      </c>
      <c r="L24" s="165"/>
      <c r="M24" s="165"/>
    </row>
    <row r="25">
      <c r="C25" s="10">
        <v>6</v>
      </c>
      <c r="D25" s="9" t="s">
        <v>231</v>
      </c>
      <c r="E25" s="12">
        <f>E10</f>
        <v>40000</v>
      </c>
      <c r="F25" s="12">
        <f>F10</f>
        <v>946537</v>
      </c>
      <c r="G25" s="12">
        <f>G10</f>
        <v>40000</v>
      </c>
      <c r="H25" s="12">
        <f ref="H25:H26" t="shared" si="5">H10</f>
        <v>1577039</v>
      </c>
      <c r="I25" s="12">
        <f>I10</f>
        <v>80000</v>
      </c>
      <c r="J25" s="264">
        <f ref="J25:J26" t="shared" si="6">J10</f>
        <v>2510576</v>
      </c>
    </row>
    <row r="26" ht="15" customHeight="1">
      <c r="C26" s="10">
        <v>7</v>
      </c>
      <c r="D26" s="9" t="s">
        <v>232</v>
      </c>
      <c r="E26" s="12">
        <f>E11</f>
        <v>359378</v>
      </c>
      <c r="F26" s="12">
        <f>F11</f>
        <v>333099</v>
      </c>
      <c r="G26" s="12">
        <f>G11</f>
        <v>576482</v>
      </c>
      <c r="H26" s="12">
        <f t="shared" si="5"/>
        <v>379963</v>
      </c>
      <c r="I26" s="12">
        <f>I11</f>
        <v>814856</v>
      </c>
      <c r="J26" s="264">
        <f t="shared" si="6"/>
        <v>507347</v>
      </c>
      <c r="L26" s="407">
        <f>SUM(E24:E26)</f>
        <v>399378</v>
      </c>
      <c r="M26" s="407">
        <f ref="M26:Q26" t="shared" si="7">SUM(F24:F26)</f>
        <v>1682215</v>
      </c>
      <c r="N26" s="407">
        <f t="shared" si="7"/>
        <v>616482</v>
      </c>
      <c r="O26" s="407">
        <f t="shared" si="7"/>
        <v>2597084</v>
      </c>
      <c r="P26" s="407">
        <f t="shared" si="7"/>
        <v>894856</v>
      </c>
      <c r="Q26" s="407">
        <f t="shared" si="7"/>
        <v>3877689</v>
      </c>
    </row>
    <row r="27" ht="15" customHeight="1">
      <c r="C27" s="16">
        <v>8</v>
      </c>
      <c r="D27" s="354" t="s">
        <v>233</v>
      </c>
      <c r="E27" s="355">
        <f>E12</f>
        <v>668900</v>
      </c>
      <c r="F27" s="355">
        <f ref="F27:J27" t="shared" si="8">F12</f>
        <v>957039</v>
      </c>
      <c r="G27" s="355">
        <f t="shared" si="8"/>
        <v>1257800</v>
      </c>
      <c r="H27" s="355">
        <f t="shared" si="8"/>
        <v>1106382</v>
      </c>
      <c r="I27" s="355">
        <f t="shared" si="8"/>
        <v>2034240</v>
      </c>
      <c r="J27" s="355">
        <f t="shared" si="8"/>
        <v>1428221</v>
      </c>
      <c r="L27" s="349"/>
    </row>
    <row r="28" ht="15.6">
      <c r="C28" s="21">
        <v>9</v>
      </c>
      <c r="D28" s="13" t="s">
        <v>16</v>
      </c>
      <c r="E28" s="367">
        <f>SUM(E20:E27)</f>
        <v>1273684.2</v>
      </c>
      <c r="F28" s="367">
        <f ref="F28:J28" t="shared" si="9">SUM(F20:F27)</f>
        <v>3185281.2</v>
      </c>
      <c r="G28" s="367">
        <f t="shared" si="9"/>
        <v>2079688.2</v>
      </c>
      <c r="H28" s="367">
        <f t="shared" si="9"/>
        <v>4261872.8</v>
      </c>
      <c r="I28" s="367">
        <f t="shared" si="9"/>
        <v>3134502.2</v>
      </c>
      <c r="J28" s="366">
        <f t="shared" si="9"/>
        <v>5994068.4</v>
      </c>
      <c r="L28" s="165">
        <f>L8-L22</f>
        <v>0</v>
      </c>
      <c r="M28" s="165">
        <f ref="M28:Q28" t="shared" si="10">M8-M22</f>
        <v>0</v>
      </c>
      <c r="N28" s="165">
        <f t="shared" si="10"/>
        <v>0</v>
      </c>
      <c r="O28" s="165">
        <f t="shared" si="10"/>
        <v>0</v>
      </c>
      <c r="P28" s="165">
        <f t="shared" si="10"/>
        <v>0</v>
      </c>
      <c r="Q28" s="165">
        <f t="shared" si="10"/>
        <v>0</v>
      </c>
    </row>
    <row r="29">
      <c r="C29" s="10"/>
      <c r="D29" s="9"/>
      <c r="E29" s="12"/>
      <c r="F29" s="12"/>
      <c r="G29" s="12"/>
      <c r="H29" s="12"/>
      <c r="I29" s="12"/>
      <c r="J29" s="264"/>
      <c r="L29" s="165">
        <f>L11-L26</f>
        <v>0</v>
      </c>
      <c r="M29" s="165">
        <f ref="M29:Q29" t="shared" si="11">M11-M26</f>
        <v>0</v>
      </c>
      <c r="N29" s="165">
        <f t="shared" si="11"/>
        <v>0</v>
      </c>
      <c r="O29" s="165">
        <f t="shared" si="11"/>
        <v>0</v>
      </c>
      <c r="P29" s="165">
        <f t="shared" si="11"/>
        <v>0</v>
      </c>
      <c r="Q29" s="165">
        <f t="shared" si="11"/>
        <v>0</v>
      </c>
    </row>
    <row r="30">
      <c r="C30" s="361"/>
      <c r="D30" s="362"/>
      <c r="E30" s="363">
        <f>SUM(E20:E28)</f>
        <v>2547368.4</v>
      </c>
      <c r="F30" s="363">
        <f>SUM(F20:F28)</f>
        <v>6370562.4</v>
      </c>
      <c r="G30" s="363">
        <f>SUM(G20:G28)</f>
        <v>4159376.4</v>
      </c>
      <c r="H30" s="363">
        <f>SUM(H20:H28)</f>
        <v>8523745.6</v>
      </c>
      <c r="I30" s="363">
        <f>SUM(I20:I28)</f>
        <v>6269004.4</v>
      </c>
      <c r="J30" s="364">
        <f>SUM(J20:J28)</f>
        <v>11988136.8</v>
      </c>
    </row>
    <row r="31" ht="15">
      <c r="C31" s="21"/>
      <c r="D31" s="13"/>
      <c r="E31" s="13"/>
      <c r="F31" s="13"/>
      <c r="G31" s="13"/>
      <c r="H31" s="13"/>
      <c r="I31" s="13"/>
      <c r="J31" s="22"/>
    </row>
    <row r="32" ht="10.2" customHeight="1"/>
    <row r="33" s="408" customFormat="1"/>
    <row r="34" s="408" customFormat="1"/>
    <row r="35" s="408" customFormat="1"/>
    <row r="36" s="408" customFormat="1"/>
    <row r="37" s="408" customFormat="1"/>
    <row r="38" s="408" customFormat="1"/>
    <row r="39" s="408" customFormat="1"/>
    <row r="40" s="408" customFormat="1"/>
    <row r="41" s="408" customFormat="1"/>
    <row r="42" s="408" customFormat="1">
      <c r="D42" s="408" t="s">
        <v>519</v>
      </c>
      <c r="E42" s="409">
        <v>2461174</v>
      </c>
      <c r="G42" s="408" t="s">
        <v>520</v>
      </c>
      <c r="H42" s="409"/>
      <c r="I42" s="409">
        <v>554946</v>
      </c>
      <c r="L42" s="410">
        <f>H42/E42</f>
        <v>0</v>
      </c>
    </row>
    <row r="43" s="408" customFormat="1">
      <c r="D43" s="408" t="s">
        <v>521</v>
      </c>
      <c r="E43" s="411">
        <f>E42/38</f>
        <v>64767.73684210526</v>
      </c>
      <c r="G43" s="408" t="s">
        <v>522</v>
      </c>
      <c r="H43" s="411"/>
      <c r="I43" s="411">
        <f>I42/400</f>
        <v>1387.365</v>
      </c>
    </row>
    <row r="44" s="408" customFormat="1">
      <c r="E44" s="411"/>
      <c r="H44" s="411"/>
      <c r="I44" s="411"/>
    </row>
    <row r="45" s="408" customFormat="1">
      <c r="D45" s="408" t="s">
        <v>523</v>
      </c>
      <c r="E45" s="409">
        <v>545973</v>
      </c>
      <c r="G45" s="408" t="s">
        <v>524</v>
      </c>
      <c r="H45" s="409"/>
      <c r="I45" s="409">
        <v>83242</v>
      </c>
    </row>
    <row r="46" s="408" customFormat="1">
      <c r="D46" s="408" t="s">
        <v>525</v>
      </c>
      <c r="E46" s="409">
        <f>(E45/38)/5</f>
        <v>2873.5421052631582</v>
      </c>
      <c r="G46" s="408" t="s">
        <v>524</v>
      </c>
      <c r="H46" s="409"/>
      <c r="I46" s="409">
        <f>(I45/400)/5</f>
        <v>41.620999999999995</v>
      </c>
    </row>
    <row r="47" ht="15.6" customHeight="1" s="408" customFormat="1">
      <c r="E47" s="411"/>
      <c r="H47" s="409"/>
      <c r="I47" s="409"/>
    </row>
    <row r="48" ht="13.2" customHeight="1" s="408" customFormat="1">
      <c r="D48" s="408" t="s">
        <v>526</v>
      </c>
      <c r="E48" s="409">
        <v>1687770</v>
      </c>
      <c r="G48" s="408" t="s">
        <v>526</v>
      </c>
      <c r="H48" s="409"/>
      <c r="I48" s="409">
        <v>8883000</v>
      </c>
      <c r="M48" s="410" t="e">
        <f>668000/E85</f>
        <v>#REF!</v>
      </c>
    </row>
    <row r="49" s="408" customFormat="1">
      <c r="D49" s="408" t="s">
        <v>527</v>
      </c>
      <c r="E49" s="409">
        <f>(E48/38)/5</f>
        <v>8883</v>
      </c>
      <c r="G49" s="408" t="s">
        <v>528</v>
      </c>
      <c r="H49" s="409"/>
      <c r="I49" s="409">
        <f>(I48/400)/5</f>
        <v>4441.5</v>
      </c>
    </row>
    <row r="50" ht="13.2" customHeight="1" s="408" customFormat="1">
      <c r="D50" s="408" t="s">
        <v>529</v>
      </c>
      <c r="E50" s="409">
        <v>557125</v>
      </c>
      <c r="G50" s="408" t="s">
        <v>529</v>
      </c>
      <c r="H50" s="409"/>
      <c r="I50" s="409">
        <v>4252500</v>
      </c>
      <c r="M50" s="410" t="e">
        <f>668000/E87</f>
        <v>#DIV/0!</v>
      </c>
    </row>
    <row r="51" s="408" customFormat="1">
      <c r="D51" s="408" t="s">
        <v>530</v>
      </c>
      <c r="E51" s="409">
        <f>(E50/38)/5</f>
        <v>2932.2368421052629</v>
      </c>
      <c r="G51" s="408" t="s">
        <v>530</v>
      </c>
      <c r="H51" s="409"/>
      <c r="I51" s="409">
        <f>(I50/400)/5</f>
        <v>2126.25</v>
      </c>
    </row>
    <row r="52" ht="13.2" customHeight="1" s="408" customFormat="1">
      <c r="D52" s="408" t="s">
        <v>531</v>
      </c>
      <c r="E52" s="409">
        <v>2520000</v>
      </c>
      <c r="G52" s="408" t="s">
        <v>531</v>
      </c>
      <c r="H52" s="409"/>
      <c r="I52" s="409">
        <f>1435000</f>
        <v>1435000</v>
      </c>
      <c r="M52" s="410" t="e">
        <f>668000/E89</f>
        <v>#REF!</v>
      </c>
    </row>
    <row r="53" s="408" customFormat="1">
      <c r="D53" s="408" t="s">
        <v>532</v>
      </c>
      <c r="E53" s="409">
        <f>(E52/38)/5</f>
        <v>13263.157894736843</v>
      </c>
      <c r="G53" s="408" t="s">
        <v>532</v>
      </c>
      <c r="H53" s="409"/>
      <c r="I53" s="409">
        <f>(I52/400)/5</f>
        <v>717.5</v>
      </c>
    </row>
    <row r="54" s="408" customFormat="1">
      <c r="E54" s="409"/>
      <c r="H54" s="409"/>
      <c r="I54" s="409"/>
    </row>
    <row r="55" s="408" customFormat="1">
      <c r="D55" s="408" t="s">
        <v>533</v>
      </c>
      <c r="E55" s="409">
        <f>70080</f>
        <v>70080</v>
      </c>
      <c r="G55" s="408" t="s">
        <v>533</v>
      </c>
      <c r="H55" s="409"/>
      <c r="I55" s="409">
        <f>160483</f>
        <v>160483</v>
      </c>
    </row>
    <row r="56" s="408" customFormat="1">
      <c r="D56" s="408" t="s">
        <v>534</v>
      </c>
      <c r="E56" s="409">
        <f>(E55/38)/5</f>
        <v>368.84210526315786</v>
      </c>
      <c r="G56" s="408" t="s">
        <v>534</v>
      </c>
      <c r="H56" s="409"/>
      <c r="I56" s="409">
        <f>(I55/400)/5</f>
        <v>80.2415</v>
      </c>
    </row>
    <row r="57" ht="18.6" customHeight="1" s="408" customFormat="1">
      <c r="D57" s="408" t="s">
        <v>284</v>
      </c>
      <c r="E57" s="409">
        <v>100000</v>
      </c>
      <c r="G57" s="408" t="s">
        <v>284</v>
      </c>
      <c r="I57" s="408">
        <v>200000</v>
      </c>
    </row>
    <row r="58" ht="15" customHeight="1" s="408" customFormat="1">
      <c r="D58" s="408" t="s">
        <v>535</v>
      </c>
      <c r="E58" s="409">
        <f>(E57/38)/5</f>
        <v>526.31578947368428</v>
      </c>
      <c r="G58" s="408" t="s">
        <v>535</v>
      </c>
      <c r="H58" s="409"/>
      <c r="I58" s="409">
        <f>(I57/400)/5</f>
        <v>100</v>
      </c>
    </row>
    <row r="59" ht="15" customHeight="1" s="408" customFormat="1">
      <c r="E59" s="409"/>
      <c r="H59" s="409"/>
      <c r="I59" s="409"/>
    </row>
    <row r="60" s="408" customFormat="1">
      <c r="D60" s="408" t="s">
        <v>536</v>
      </c>
      <c r="E60" s="409">
        <v>1027031</v>
      </c>
      <c r="G60" s="408" t="s">
        <v>536</v>
      </c>
      <c r="H60" s="409"/>
      <c r="I60" s="409">
        <f>2513783</f>
        <v>2513783</v>
      </c>
      <c r="L60" s="408" t="s">
        <v>537</v>
      </c>
    </row>
    <row r="61" s="408" customFormat="1">
      <c r="D61" s="408" t="s">
        <v>538</v>
      </c>
      <c r="E61" s="409">
        <f>E60/5</f>
        <v>205406.2</v>
      </c>
      <c r="G61" s="408" t="s">
        <v>538</v>
      </c>
      <c r="H61" s="409"/>
      <c r="I61" s="409">
        <f>I60/5</f>
        <v>502756.6</v>
      </c>
    </row>
    <row r="62" s="408" customFormat="1">
      <c r="E62" s="409"/>
      <c r="H62" s="409"/>
      <c r="I62" s="409"/>
    </row>
    <row r="63" s="408" customFormat="1">
      <c r="D63" s="408" t="s">
        <v>539</v>
      </c>
      <c r="E63" s="409">
        <v>1000</v>
      </c>
      <c r="G63" s="408" t="s">
        <v>539</v>
      </c>
      <c r="H63" s="409"/>
      <c r="I63" s="409">
        <v>7023</v>
      </c>
      <c r="L63" s="408" t="s">
        <v>540</v>
      </c>
    </row>
    <row r="64" s="408" customFormat="1">
      <c r="E64" s="409"/>
      <c r="H64" s="409"/>
    </row>
    <row r="65" s="408" customFormat="1"/>
    <row r="66" s="408" customFormat="1">
      <c r="G66" s="649"/>
      <c r="H66" s="649"/>
    </row>
    <row r="67" s="408" customFormat="1">
      <c r="D67" s="408" t="s">
        <v>541</v>
      </c>
      <c r="E67" s="411">
        <f>E43</f>
        <v>64767.73684210526</v>
      </c>
      <c r="F67" s="411">
        <f>I43</f>
        <v>1387.365</v>
      </c>
      <c r="G67" s="649"/>
      <c r="H67" s="649"/>
    </row>
    <row r="68" s="408" customFormat="1">
      <c r="D68" s="408" t="s">
        <v>542</v>
      </c>
      <c r="E68" s="409">
        <f>E46</f>
        <v>2873.5421052631582</v>
      </c>
      <c r="F68" s="409">
        <f>I46</f>
        <v>41.620999999999995</v>
      </c>
      <c r="G68" s="649"/>
      <c r="H68" s="649"/>
    </row>
    <row r="69" s="408" customFormat="1">
      <c r="G69" s="649"/>
      <c r="H69" s="649"/>
    </row>
    <row r="70" s="408" customFormat="1">
      <c r="D70" s="408" t="s">
        <v>543</v>
      </c>
      <c r="E70" s="409">
        <f>E49</f>
        <v>8883</v>
      </c>
      <c r="F70" s="409">
        <f>I49</f>
        <v>4441.5</v>
      </c>
      <c r="G70" s="649"/>
      <c r="H70" s="649"/>
    </row>
    <row r="71" s="408" customFormat="1">
      <c r="D71" s="408" t="s">
        <v>544</v>
      </c>
      <c r="E71" s="409">
        <f>E51</f>
        <v>2932.2368421052629</v>
      </c>
      <c r="F71" s="409">
        <f>I51</f>
        <v>2126.25</v>
      </c>
      <c r="G71" s="649"/>
      <c r="H71" s="649"/>
    </row>
    <row r="72" s="408" customFormat="1">
      <c r="D72" s="408" t="s">
        <v>545</v>
      </c>
      <c r="E72" s="409">
        <f>E53</f>
        <v>13263.157894736843</v>
      </c>
      <c r="F72" s="409">
        <f>I53</f>
        <v>717.5</v>
      </c>
      <c r="G72" s="649"/>
      <c r="H72" s="649"/>
    </row>
    <row r="73" s="408" customFormat="1">
      <c r="G73" s="649"/>
      <c r="H73" s="649"/>
    </row>
    <row r="74" s="408" customFormat="1">
      <c r="D74" s="408" t="s">
        <v>546</v>
      </c>
      <c r="E74" s="409">
        <f>E56</f>
        <v>368.84210526315786</v>
      </c>
      <c r="F74" s="409">
        <f>I56</f>
        <v>80.2415</v>
      </c>
      <c r="G74" s="649"/>
      <c r="H74" s="649"/>
    </row>
    <row r="75" s="408" customFormat="1">
      <c r="D75" s="408" t="s">
        <v>547</v>
      </c>
      <c r="E75" s="409">
        <f>E58</f>
        <v>526.31578947368428</v>
      </c>
      <c r="F75" s="409">
        <f>I58</f>
        <v>100</v>
      </c>
      <c r="G75" s="649"/>
      <c r="H75" s="649"/>
    </row>
    <row r="76" s="408" customFormat="1">
      <c r="G76" s="649"/>
      <c r="H76" s="649"/>
    </row>
    <row r="77" s="408" customFormat="1">
      <c r="D77" s="408" t="s">
        <v>548</v>
      </c>
      <c r="E77" s="409">
        <v>205406</v>
      </c>
      <c r="F77" s="409">
        <f>I61</f>
        <v>502756.6</v>
      </c>
      <c r="G77" s="649"/>
      <c r="H77" s="649"/>
    </row>
    <row r="78" s="408" customFormat="1">
      <c r="D78" s="408" t="s">
        <v>549</v>
      </c>
      <c r="E78" s="409">
        <v>1000</v>
      </c>
      <c r="F78" s="409">
        <f>I63</f>
        <v>7023</v>
      </c>
      <c r="G78" s="649"/>
      <c r="H78" s="649"/>
    </row>
    <row r="79" s="408" customFormat="1">
      <c r="E79" s="409"/>
      <c r="H79" s="409"/>
    </row>
    <row r="80" s="408" customFormat="1">
      <c r="E80" s="409"/>
      <c r="H80" s="409"/>
    </row>
    <row r="81" s="408" customFormat="1"/>
    <row r="82" ht="22.95" customHeight="1" s="408" customFormat="1">
      <c r="A82" s="408" t="s">
        <v>11</v>
      </c>
      <c r="B82" s="408" t="s">
        <v>550</v>
      </c>
      <c r="D82" s="412"/>
      <c r="E82" s="648" t="s">
        <v>117</v>
      </c>
      <c r="F82" s="648"/>
      <c r="G82" s="648" t="s">
        <v>118</v>
      </c>
      <c r="H82" s="648"/>
      <c r="I82" s="648" t="s">
        <v>119</v>
      </c>
      <c r="J82" s="648"/>
      <c r="N82" s="410"/>
    </row>
    <row r="83" ht="22.2" customHeight="1" s="408" customFormat="1">
      <c r="A83" s="408">
        <f>IF(Input!$F$18="Small",E83,IF(Input!$F$18="Medium",G83,IF(Input!$F$18="Large",I83,"")))</f>
        <v>18</v>
      </c>
      <c r="B83" s="408">
        <f>IF(Input!$F$18="Small",F83,IF(Input!$F$18="Medium",H83,IF(Input!$F$18="Large",J83,"")))</f>
        <v>187</v>
      </c>
      <c r="D83" s="413" t="s">
        <v>275</v>
      </c>
      <c r="E83" s="414">
        <v>18</v>
      </c>
      <c r="F83" s="414">
        <v>187</v>
      </c>
      <c r="G83" s="414">
        <v>32</v>
      </c>
      <c r="H83" s="414">
        <v>337</v>
      </c>
      <c r="I83" s="414">
        <v>45</v>
      </c>
      <c r="J83" s="415">
        <v>472</v>
      </c>
    </row>
    <row r="84" ht="22.2" customHeight="1" s="408" customFormat="1">
      <c r="A84" s="408">
        <f>IF(Input!$F$18="Small",E84,IF(Input!$F$18="Medium",G84,IF(Input!$F$18="Large",I84,"")))</f>
        <v>32</v>
      </c>
      <c r="B84" s="408">
        <f>IF(Input!$F$18="Small",F84,IF(Input!$F$18="Medium",H84,IF(Input!$F$18="Large",J84,"")))</f>
        <v>32</v>
      </c>
      <c r="D84" s="416" t="s">
        <v>511</v>
      </c>
      <c r="E84" s="417">
        <v>32</v>
      </c>
      <c r="F84" s="417">
        <v>32</v>
      </c>
      <c r="G84" s="417">
        <v>160</v>
      </c>
      <c r="H84" s="417">
        <f>G84</f>
        <v>160</v>
      </c>
      <c r="I84" s="417">
        <v>480</v>
      </c>
      <c r="J84" s="418">
        <f>I84</f>
        <v>480</v>
      </c>
    </row>
    <row r="85" ht="22.2" customHeight="1" s="408" customFormat="1">
      <c r="A85" s="408" t="e">
        <f>IF(Input!$F$18="Small",E85,IF(Input!$F$18="Medium",G85,IF(Input!$F$18="Large",I85,"")))</f>
        <v>#REF!</v>
      </c>
      <c r="B85" s="408" t="e">
        <f>IF(Input!$F$18="Small",F85,IF(Input!$F$18="Medium",H85,IF(Input!$F$18="Large",J85,"")))</f>
        <v>#REF!</v>
      </c>
      <c r="D85" s="416" t="s">
        <v>513</v>
      </c>
      <c r="E85" s="419" t="e">
        <f>#REF!</f>
        <v>#REF!</v>
      </c>
      <c r="F85" s="419" t="e">
        <f>#REF!</f>
        <v>#REF!</v>
      </c>
      <c r="G85" s="419" t="e">
        <f>#REF!</f>
        <v>#REF!</v>
      </c>
      <c r="H85" s="419" t="e">
        <f>#REF!</f>
        <v>#REF!</v>
      </c>
      <c r="I85" s="419" t="e">
        <f>#REF!</f>
        <v>#REF!</v>
      </c>
      <c r="J85" s="419" t="e">
        <f>#REF!</f>
        <v>#REF!</v>
      </c>
    </row>
    <row r="86" ht="22.2" customHeight="1" s="408" customFormat="1">
      <c r="A86" s="408">
        <f>IF(Input!$F$18="Small",E86,IF(Input!$F$18="Medium",G86,IF(Input!$F$18="Large",I86,"")))</f>
        <v>0</v>
      </c>
      <c r="B86" s="408">
        <f>IF(Input!$F$18="Small",F86,IF(Input!$F$18="Medium",H86,IF(Input!$F$18="Large",J86,"")))</f>
        <v>0</v>
      </c>
      <c r="D86" s="416" t="s">
        <v>514</v>
      </c>
      <c r="E86" s="419">
        <v>0</v>
      </c>
      <c r="F86" s="419">
        <v>0</v>
      </c>
      <c r="G86" s="419">
        <v>0</v>
      </c>
      <c r="H86" s="419">
        <v>0</v>
      </c>
      <c r="I86" s="419">
        <v>0</v>
      </c>
      <c r="J86" s="419">
        <v>0</v>
      </c>
    </row>
    <row r="87" ht="22.2" customHeight="1" s="408" customFormat="1">
      <c r="A87" s="408">
        <f>IF(Input!$F$18="Small",E87,IF(Input!$F$18="Medium",G87,IF(Input!$F$18="Large",I87,"")))</f>
        <v>0</v>
      </c>
      <c r="B87" s="408">
        <f>IF(Input!$F$18="Small",F87,IF(Input!$F$18="Medium",H87,IF(Input!$F$18="Large",J87,"")))</f>
        <v>0</v>
      </c>
      <c r="D87" s="416"/>
      <c r="E87" s="417"/>
      <c r="F87" s="417"/>
      <c r="G87" s="417"/>
      <c r="H87" s="417"/>
      <c r="I87" s="417"/>
      <c r="J87" s="418"/>
    </row>
    <row r="88" ht="22.2" customHeight="1" s="408" customFormat="1">
      <c r="A88" s="408" t="e">
        <f>IF(Input!$F$18="Small",E88,IF(Input!$F$18="Medium",G88,IF(Input!$F$18="Large",I88,"")))</f>
        <v>#REF!</v>
      </c>
      <c r="B88" s="408" t="e">
        <f>IF(Input!$F$18="Small",F88,IF(Input!$F$18="Medium",H88,IF(Input!$F$18="Large",J88,"")))</f>
        <v>#REF!</v>
      </c>
      <c r="D88" s="416" t="s">
        <v>517</v>
      </c>
      <c r="E88" s="419" t="e">
        <f>#REF!</f>
        <v>#REF!</v>
      </c>
      <c r="F88" s="419" t="e">
        <f>#REF!</f>
        <v>#REF!</v>
      </c>
      <c r="G88" s="419" t="e">
        <f>#REF!</f>
        <v>#REF!</v>
      </c>
      <c r="H88" s="419" t="e">
        <f>#REF!</f>
        <v>#REF!</v>
      </c>
      <c r="I88" s="419" t="e">
        <f>#REF!</f>
        <v>#REF!</v>
      </c>
      <c r="J88" s="419" t="e">
        <f>#REF!</f>
        <v>#REF!</v>
      </c>
    </row>
    <row r="89" ht="22.2" customHeight="1" s="408" customFormat="1">
      <c r="A89" s="408" t="e">
        <f>IF(Input!$F$18="Small",E89,IF(Input!$F$18="Medium",G89,IF(Input!$F$18="Large",I89,"")))</f>
        <v>#REF!</v>
      </c>
      <c r="B89" s="408" t="e">
        <f>IF(Input!$F$18="Small",F89,IF(Input!$F$18="Medium",H89,IF(Input!$F$18="Large",J89,"")))</f>
        <v>#REF!</v>
      </c>
      <c r="D89" s="416" t="s">
        <v>515</v>
      </c>
      <c r="E89" s="419" t="e">
        <f>#REF!</f>
        <v>#REF!</v>
      </c>
      <c r="F89" s="419" t="e">
        <f>#REF!</f>
        <v>#REF!</v>
      </c>
      <c r="G89" s="419" t="e">
        <f>#REF!</f>
        <v>#REF!</v>
      </c>
      <c r="H89" s="419" t="e">
        <f>#REF!</f>
        <v>#REF!</v>
      </c>
      <c r="I89" s="419" t="e">
        <f>#REF!</f>
        <v>#REF!</v>
      </c>
      <c r="J89" s="419" t="e">
        <f>#REF!</f>
        <v>#REF!</v>
      </c>
    </row>
    <row r="90" ht="22.2" customHeight="1" s="408" customFormat="1">
      <c r="A90" s="408" t="e">
        <f>IF(Input!$F$18="Small",E90,IF(Input!$F$18="Medium",G90,IF(Input!$F$18="Large",I90,"")))</f>
        <v>#REF!</v>
      </c>
      <c r="B90" s="408" t="e">
        <f>IF(Input!$F$18="Small",F90,IF(Input!$F$18="Medium",H90,IF(Input!$F$18="Large",J90,"")))</f>
        <v>#REF!</v>
      </c>
      <c r="D90" s="416" t="s">
        <v>551</v>
      </c>
      <c r="E90" s="419" t="e">
        <f>#REF!</f>
        <v>#REF!</v>
      </c>
      <c r="F90" s="419" t="e">
        <f>#REF!</f>
        <v>#REF!</v>
      </c>
      <c r="G90" s="419" t="e">
        <f>#REF!</f>
        <v>#REF!</v>
      </c>
      <c r="H90" s="419" t="e">
        <f>#REF!</f>
        <v>#REF!</v>
      </c>
      <c r="I90" s="419" t="e">
        <f>#REF!</f>
        <v>#REF!</v>
      </c>
      <c r="J90" s="419" t="e">
        <f>#REF!</f>
        <v>#REF!</v>
      </c>
    </row>
    <row r="91" ht="22.2" customHeight="1" s="408" customFormat="1">
      <c r="A91" s="408">
        <f>IF(Input!$F$18="Small",E91,IF(Input!$F$18="Medium",G91,IF(Input!$F$18="Large",I91,"")))</f>
        <v>0</v>
      </c>
      <c r="B91" s="408">
        <f>IF(Input!$F$18="Small",F91,IF(Input!$F$18="Medium",H91,IF(Input!$F$18="Large",J91,"")))</f>
        <v>0</v>
      </c>
      <c r="D91" s="416"/>
      <c r="E91" s="417"/>
      <c r="F91" s="417"/>
      <c r="G91" s="417"/>
      <c r="H91" s="417"/>
      <c r="I91" s="417"/>
      <c r="J91" s="418"/>
    </row>
    <row r="92" ht="22.2" customHeight="1" s="408" customFormat="1">
      <c r="A92" s="408" t="e">
        <f>IF(Input!$F$18="Small",E92,IF(Input!$F$18="Medium",G92,IF(Input!$F$18="Large",I92,"")))</f>
        <v>#REF!</v>
      </c>
      <c r="B92" s="408" t="e">
        <f>IF(Input!$F$18="Small",F92,IF(Input!$F$18="Medium",H92,IF(Input!$F$18="Large",J92,"")))</f>
        <v>#REF!</v>
      </c>
      <c r="D92" s="416" t="s">
        <v>290</v>
      </c>
      <c r="E92" s="419" t="e">
        <f>#REF!</f>
        <v>#REF!</v>
      </c>
      <c r="F92" s="419" t="e">
        <f>#REF!</f>
        <v>#REF!</v>
      </c>
      <c r="G92" s="419" t="e">
        <f>#REF!</f>
        <v>#REF!</v>
      </c>
      <c r="H92" s="419" t="e">
        <f>#REF!</f>
        <v>#REF!</v>
      </c>
      <c r="I92" s="419" t="e">
        <f>#REF!</f>
        <v>#REF!</v>
      </c>
      <c r="J92" s="419" t="e">
        <f>#REF!</f>
        <v>#REF!</v>
      </c>
    </row>
    <row r="93" ht="22.2" customHeight="1" s="408" customFormat="1">
      <c r="A93" s="408" t="e">
        <f>IF(Input!$F$18="Small",E93,IF(Input!$F$18="Medium",G93,IF(Input!$F$18="Large",I93,"")))</f>
        <v>#REF!</v>
      </c>
      <c r="B93" s="408" t="e">
        <f>IF(Input!$F$18="Small",F93,IF(Input!$F$18="Medium",H93,IF(Input!$F$18="Large",J93,"")))</f>
        <v>#REF!</v>
      </c>
      <c r="D93" s="416" t="s">
        <v>284</v>
      </c>
      <c r="E93" s="419" t="e">
        <f>#REF!</f>
        <v>#REF!</v>
      </c>
      <c r="F93" s="419" t="e">
        <f>#REF!</f>
        <v>#REF!</v>
      </c>
      <c r="G93" s="419" t="e">
        <f>#REF!</f>
        <v>#REF!</v>
      </c>
      <c r="H93" s="419" t="e">
        <f>#REF!</f>
        <v>#REF!</v>
      </c>
      <c r="I93" s="419" t="e">
        <f>#REF!</f>
        <v>#REF!</v>
      </c>
      <c r="J93" s="419" t="e">
        <f>#REF!</f>
        <v>#REF!</v>
      </c>
    </row>
    <row r="94" ht="22.2" customHeight="1" s="408" customFormat="1">
      <c r="A94" s="408" t="e">
        <f>IF(Input!$F$18="Small",E94,IF(Input!$F$18="Medium",G94,IF(Input!$F$18="Large",I94,"")))</f>
        <v>#REF!</v>
      </c>
      <c r="B94" s="408" t="e">
        <f>IF(Input!$F$18="Small",F94,IF(Input!$F$18="Medium",H94,IF(Input!$F$18="Large",J94,"")))</f>
        <v>#REF!</v>
      </c>
      <c r="D94" s="416" t="s">
        <v>229</v>
      </c>
      <c r="E94" s="419" t="e">
        <f>#REF!</f>
        <v>#REF!</v>
      </c>
      <c r="F94" s="419" t="e">
        <f>#REF!</f>
        <v>#REF!</v>
      </c>
      <c r="G94" s="419" t="e">
        <f>#REF!</f>
        <v>#REF!</v>
      </c>
      <c r="H94" s="419" t="e">
        <f>#REF!</f>
        <v>#REF!</v>
      </c>
      <c r="I94" s="419" t="e">
        <f>#REF!</f>
        <v>#REF!</v>
      </c>
      <c r="J94" s="419" t="e">
        <f>#REF!</f>
        <v>#REF!</v>
      </c>
    </row>
    <row r="95" ht="22.2" customHeight="1" s="408" customFormat="1">
      <c r="A95" s="408">
        <f>IF(Input!$F$18="Small",E95,IF(Input!$F$18="Medium",G95,IF(Input!$F$18="Large",I95,"")))</f>
        <v>0</v>
      </c>
      <c r="B95" s="408">
        <f>IF(Input!$F$18="Small",F95,IF(Input!$F$18="Medium",H95,IF(Input!$F$18="Large",J95,"")))</f>
        <v>0</v>
      </c>
      <c r="D95" s="416"/>
      <c r="E95" s="419"/>
      <c r="F95" s="419"/>
      <c r="G95" s="419"/>
      <c r="H95" s="419"/>
      <c r="I95" s="419"/>
      <c r="J95" s="420"/>
    </row>
    <row r="96" ht="22.2" customHeight="1" s="408" customFormat="1">
      <c r="A96" s="408">
        <f>IF(Input!$F$18="Small",E96,IF(Input!$F$18="Medium",G96,IF(Input!$F$18="Large",I96,"")))</f>
        <v>1755.75</v>
      </c>
      <c r="B96" s="408">
        <f>IF(Input!$F$18="Small",F96,IF(Input!$F$18="Medium",H96,IF(Input!$F$18="Large",J96,"")))</f>
        <v>7023</v>
      </c>
      <c r="D96" s="416" t="s">
        <v>186</v>
      </c>
      <c r="E96" s="419">
        <f>F96/4</f>
        <v>1755.75</v>
      </c>
      <c r="F96" s="419">
        <v>7023</v>
      </c>
      <c r="G96" s="419">
        <f>G84*E63</f>
        <v>160000</v>
      </c>
      <c r="H96" s="419">
        <f>G96*2</f>
        <v>320000</v>
      </c>
      <c r="I96" s="419">
        <f>E63*I84</f>
        <v>480000</v>
      </c>
      <c r="J96" s="419">
        <f>I96*2</f>
        <v>960000</v>
      </c>
    </row>
    <row r="97" ht="22.2" customHeight="1" s="408" customFormat="1">
      <c r="D97" s="421"/>
      <c r="E97" s="422"/>
      <c r="F97" s="422"/>
      <c r="G97" s="422"/>
      <c r="H97" s="422"/>
      <c r="I97" s="422"/>
      <c r="J97" s="423"/>
    </row>
    <row r="98" ht="22.2" customHeight="1" s="408" customFormat="1">
      <c r="D98" s="408" t="s">
        <v>552</v>
      </c>
      <c r="E98" s="409" t="e">
        <f>SUM(E85:E96)</f>
        <v>#REF!</v>
      </c>
      <c r="F98" s="409" t="e">
        <f ref="F98:J98" t="shared" si="16">SUM(F85:F96)</f>
        <v>#REF!</v>
      </c>
      <c r="G98" s="409" t="e">
        <f t="shared" si="16"/>
        <v>#REF!</v>
      </c>
      <c r="H98" s="409" t="e">
        <f t="shared" si="16"/>
        <v>#REF!</v>
      </c>
      <c r="I98" s="409" t="e">
        <f t="shared" si="16"/>
        <v>#REF!</v>
      </c>
      <c r="J98" s="409" t="e">
        <f t="shared" si="16"/>
        <v>#REF!</v>
      </c>
    </row>
    <row r="99" ht="22.2" customHeight="1" s="408" customFormat="1"/>
    <row r="100" ht="22.2" customHeight="1" s="408" customFormat="1">
      <c r="F100" s="410"/>
      <c r="H100" s="410"/>
      <c r="J100" s="410"/>
    </row>
    <row r="101" ht="22.2" customHeight="1"/>
    <row r="102" ht="22.2" customHeight="1"/>
    <row r="103" ht="22.2" customHeight="1"/>
    <row r="104" ht="22.2" customHeight="1"/>
    <row r="105" ht="22.2" customHeight="1"/>
    <row r="106" ht="22.2" customHeight="1"/>
    <row r="107" ht="22.2" customHeight="1"/>
    <row r="108" ht="22.2" customHeight="1"/>
    <row r="109" ht="22.2" customHeight="1"/>
    <row r="110" ht="25.2" customHeight="1"/>
    <row r="111" ht="21.6" customHeight="1"/>
  </sheetData>
  <mergeCells>
    <mergeCell ref="E82:F82"/>
    <mergeCell ref="G82:H82"/>
    <mergeCell ref="I82:J82"/>
    <mergeCell ref="G66:H66"/>
    <mergeCell ref="G67:H78"/>
    <mergeCell ref="E2:F2"/>
    <mergeCell ref="G2:H2"/>
    <mergeCell ref="I2:J2"/>
    <mergeCell ref="E17:F17"/>
    <mergeCell ref="G17:H17"/>
    <mergeCell ref="I17:J17"/>
  </mergeCells>
  <pageMargins left="0.7" right="0.7" top="0.75" bottom="0.75" header="0.3" footer="0.3"/>
  <headerFooter/>
  <ignoredErrors>
    <ignoredError sqref="I52 G24 I24" formula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D6:L20"/>
  <sheetViews>
    <sheetView workbookViewId="0">
      <selection activeCell="D28" sqref="D28"/>
    </sheetView>
  </sheetViews>
  <sheetFormatPr defaultRowHeight="14.4" x14ac:dyDescent="0.3"/>
  <cols>
    <col min="4" max="4" width="34" customWidth="1"/>
    <col min="5" max="10" width="13.33203125" customWidth="1"/>
  </cols>
  <sheetData>
    <row r="6">
      <c r="E6" s="0" t="s">
        <v>117</v>
      </c>
      <c r="G6" s="0" t="s">
        <v>118</v>
      </c>
      <c r="I6" s="0" t="s">
        <v>119</v>
      </c>
    </row>
    <row r="7">
      <c r="D7" s="0" t="s">
        <v>275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>
      <c r="D8" s="0" t="s">
        <v>511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512</v>
      </c>
    </row>
    <row r="9">
      <c r="D9" s="0" t="s">
        <v>513</v>
      </c>
      <c r="E9" s="143">
        <v>1000000</v>
      </c>
      <c r="F9" s="143">
        <v>259437.255</v>
      </c>
      <c r="G9" s="143">
        <v>2072567.5789473683</v>
      </c>
      <c r="H9" s="143">
        <v>467542.005</v>
      </c>
      <c r="I9" s="143">
        <v>2914548.1578947366</v>
      </c>
      <c r="J9" s="143">
        <v>654836.28</v>
      </c>
    </row>
    <row r="10">
      <c r="D10" s="0" t="s">
        <v>514</v>
      </c>
      <c r="E10" s="143">
        <v>51723.757894736846</v>
      </c>
      <c r="F10" s="143">
        <v>7783.1269999999995</v>
      </c>
      <c r="G10" s="143">
        <v>91953.347368421062</v>
      </c>
      <c r="H10" s="143">
        <v>14026.276999999998</v>
      </c>
      <c r="I10" s="143">
        <v>129309.39473684212</v>
      </c>
      <c r="J10" s="143">
        <v>19645.111999999997</v>
      </c>
    </row>
    <row r="11">
      <c r="E11" s="143"/>
      <c r="F11" s="143"/>
      <c r="G11" s="143"/>
      <c r="H11" s="143"/>
      <c r="I11" s="143"/>
      <c r="J11" s="143"/>
    </row>
    <row r="12">
      <c r="D12" s="0" t="s">
        <v>515</v>
      </c>
      <c r="E12" s="143">
        <v>159894</v>
      </c>
      <c r="F12" s="143">
        <v>830560.5</v>
      </c>
      <c r="G12" s="143">
        <v>284256</v>
      </c>
      <c r="H12" s="143">
        <v>1496785.5</v>
      </c>
      <c r="I12" s="143">
        <v>399735</v>
      </c>
      <c r="J12" s="143">
        <v>2096388</v>
      </c>
    </row>
    <row r="13">
      <c r="D13" s="0" t="s">
        <v>516</v>
      </c>
      <c r="E13" s="143">
        <v>52780.263157894733</v>
      </c>
      <c r="F13" s="143">
        <v>397608.75</v>
      </c>
      <c r="G13" s="143">
        <v>93831.578947368413</v>
      </c>
      <c r="H13" s="143">
        <v>716546.25</v>
      </c>
      <c r="I13" s="143">
        <v>131950.65789473683</v>
      </c>
      <c r="J13" s="143">
        <v>1003590</v>
      </c>
    </row>
    <row r="14">
      <c r="D14" s="0" t="s">
        <v>517</v>
      </c>
      <c r="E14" s="143">
        <v>238736.84210526318</v>
      </c>
      <c r="F14" s="143">
        <v>134172.5</v>
      </c>
      <c r="G14" s="143">
        <v>424421.052631579</v>
      </c>
      <c r="H14" s="143">
        <v>241797.5</v>
      </c>
      <c r="I14" s="143">
        <v>596842.105263158</v>
      </c>
      <c r="J14" s="143">
        <v>338660</v>
      </c>
    </row>
    <row r="15">
      <c r="E15" s="143"/>
      <c r="F15" s="143"/>
      <c r="G15" s="143"/>
      <c r="H15" s="143"/>
      <c r="I15" s="143"/>
      <c r="J15" s="143"/>
    </row>
    <row r="16">
      <c r="D16" s="0" t="s">
        <v>290</v>
      </c>
      <c r="E16" s="143">
        <v>6639.1578947368416</v>
      </c>
      <c r="F16" s="143">
        <v>15005.1605</v>
      </c>
      <c r="G16" s="143">
        <v>11802.947368421052</v>
      </c>
      <c r="H16" s="143">
        <v>27041.3855</v>
      </c>
      <c r="I16" s="143">
        <v>16597.894736842103</v>
      </c>
      <c r="J16" s="143">
        <v>37873.988</v>
      </c>
    </row>
    <row r="17">
      <c r="D17" s="0" t="s">
        <v>284</v>
      </c>
      <c r="E17" s="143">
        <v>9473.6842105263167</v>
      </c>
      <c r="F17" s="143">
        <v>15005.1605</v>
      </c>
      <c r="G17" s="143">
        <v>16842.105263157897</v>
      </c>
      <c r="H17" s="143">
        <v>33700</v>
      </c>
      <c r="I17" s="143">
        <v>23684.210526315794</v>
      </c>
      <c r="J17" s="143">
        <v>47200</v>
      </c>
    </row>
    <row r="18">
      <c r="D18" s="0" t="s">
        <v>229</v>
      </c>
      <c r="E18" s="143">
        <v>205406.2</v>
      </c>
      <c r="F18" s="143">
        <v>502756.6</v>
      </c>
      <c r="G18" s="143">
        <v>205406.2</v>
      </c>
      <c r="H18" s="143">
        <v>502756.6</v>
      </c>
      <c r="I18" s="143">
        <v>205406.2</v>
      </c>
      <c r="J18" s="143">
        <v>502756.6</v>
      </c>
    </row>
    <row r="19">
      <c r="E19" s="143"/>
      <c r="F19" s="143"/>
      <c r="G19" s="143"/>
      <c r="H19" s="143"/>
      <c r="I19" s="143"/>
      <c r="J19" s="143"/>
    </row>
    <row r="20">
      <c r="D20" s="0" t="s">
        <v>186</v>
      </c>
      <c r="E20" s="143">
        <v>32000</v>
      </c>
      <c r="F20" s="143">
        <v>224736</v>
      </c>
      <c r="G20" s="143">
        <v>160000</v>
      </c>
      <c r="H20" s="143">
        <v>1123680</v>
      </c>
      <c r="I20" s="143">
        <v>480000</v>
      </c>
      <c r="J20" s="143">
        <v>3371040</v>
      </c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 tint="0.39997558519241921"/>
  </sheetPr>
  <dimension ref="A2:O33"/>
  <sheetViews>
    <sheetView topLeftCell="A5" zoomScale="88" zoomScaleNormal="88" workbookViewId="0">
      <selection activeCell="L19" sqref="L19"/>
    </sheetView>
  </sheetViews>
  <sheetFormatPr defaultRowHeight="14.4" x14ac:dyDescent="0.3"/>
  <cols>
    <col min="3" max="3" width="3.44140625" customWidth="1"/>
    <col min="4" max="4" width="63.6640625" customWidth="1" style="9"/>
    <col min="5" max="10" width="16.33203125" customWidth="1"/>
    <col min="12" max="12" width="10.88671875" customWidth="1"/>
    <col min="13" max="19" width="11.109375" customWidth="1"/>
    <col min="20" max="25" width="20.6640625" customWidth="1"/>
  </cols>
  <sheetData>
    <row r="2">
      <c r="D2" s="9" t="s">
        <v>647</v>
      </c>
      <c r="E2" s="142">
        <v>0</v>
      </c>
    </row>
    <row r="3">
      <c r="E3" s="644" t="s">
        <v>648</v>
      </c>
      <c r="F3" s="644"/>
      <c r="G3" s="644"/>
      <c r="H3" s="644"/>
      <c r="I3" s="644"/>
      <c r="J3" s="644"/>
      <c r="K3" s="644"/>
      <c r="L3" s="644"/>
      <c r="M3" s="644"/>
      <c r="N3" s="644"/>
      <c r="O3" s="644"/>
    </row>
    <row r="4">
      <c r="E4" s="644" t="s">
        <v>117</v>
      </c>
      <c r="F4" s="644"/>
      <c r="G4" s="644" t="s">
        <v>554</v>
      </c>
      <c r="H4" s="644"/>
      <c r="I4" s="644" t="s">
        <v>119</v>
      </c>
      <c r="J4" s="644"/>
      <c r="K4" s="278"/>
      <c r="L4" s="644"/>
      <c r="M4" s="644"/>
      <c r="N4" s="644"/>
      <c r="O4" s="644"/>
    </row>
    <row r="5">
      <c r="E5" s="0" t="s">
        <v>556</v>
      </c>
      <c r="F5" s="0" t="s">
        <v>557</v>
      </c>
      <c r="G5" s="0" t="s">
        <v>556</v>
      </c>
      <c r="H5" s="0" t="s">
        <v>557</v>
      </c>
      <c r="I5" s="0" t="s">
        <v>556</v>
      </c>
      <c r="J5" s="0" t="s">
        <v>557</v>
      </c>
    </row>
    <row r="6" ht="15">
      <c r="A6" s="348" t="s">
        <v>11</v>
      </c>
      <c r="B6" s="348" t="s">
        <v>550</v>
      </c>
      <c r="D6" s="9" t="s">
        <v>25</v>
      </c>
    </row>
    <row r="7">
      <c r="A7" s="353">
        <f>IF(Input!$F$18="Small",E7,IF(Input!$F$18="Medium",G7,IF(Input!$F$18="Large",I7,"")))</f>
        <v>0.2</v>
      </c>
      <c r="B7" s="353">
        <f>IF(Input!$F$18="Small",F7,IF(Input!$F$18="Medium",H7,IF(Input!$F$18="Large",J7,"")))</f>
        <v>0.18</v>
      </c>
      <c r="C7" s="0">
        <v>1</v>
      </c>
      <c r="D7" s="56" t="s">
        <v>649</v>
      </c>
      <c r="E7" s="330">
        <v>0.2</v>
      </c>
      <c r="F7" s="330">
        <v>0.18</v>
      </c>
      <c r="G7" s="330">
        <v>0.22</v>
      </c>
      <c r="H7" s="330">
        <v>0.2</v>
      </c>
      <c r="I7" s="330">
        <v>0.25</v>
      </c>
      <c r="J7" s="331">
        <v>0.22</v>
      </c>
    </row>
    <row r="8" ht="15">
      <c r="A8" s="353">
        <f>IF(Input!$F$18="Small",E8,IF(Input!$F$18="Medium",G8,IF(Input!$F$18="Large",I8,"")))</f>
        <v>0.2</v>
      </c>
      <c r="B8" s="353">
        <f>IF(Input!$F$18="Small",F8,IF(Input!$F$18="Medium",H8,IF(Input!$F$18="Large",J8,"")))</f>
        <v>0.18</v>
      </c>
      <c r="C8" s="0">
        <v>2</v>
      </c>
      <c r="D8" s="21" t="s">
        <v>650</v>
      </c>
      <c r="E8" s="321">
        <v>0.2</v>
      </c>
      <c r="F8" s="321">
        <v>0.18</v>
      </c>
      <c r="G8" s="321">
        <v>0.22</v>
      </c>
      <c r="H8" s="321">
        <v>0.2</v>
      </c>
      <c r="I8" s="321">
        <v>0.25</v>
      </c>
      <c r="J8" s="332">
        <v>0.22</v>
      </c>
    </row>
    <row r="9" ht="15">
      <c r="A9" s="353">
        <f>IF(Input!$F$18="Small",E9,IF(Input!$F$18="Medium",G9,IF(Input!$F$18="Large",I9,"")))</f>
        <v>0</v>
      </c>
      <c r="B9" s="353">
        <f>IF(Input!$F$18="Small",F9,IF(Input!$F$18="Medium",H9,IF(Input!$F$18="Large",J9,"")))</f>
        <v>0</v>
      </c>
      <c r="E9" s="246"/>
      <c r="F9" s="246"/>
      <c r="G9" s="246"/>
      <c r="H9" s="246"/>
      <c r="I9" s="246"/>
      <c r="J9" s="246"/>
    </row>
    <row r="10">
      <c r="A10" s="353">
        <f>IF(Input!$F$18="Small",E10,IF(Input!$F$18="Medium",G10,IF(Input!$F$18="Large",I10,"")))</f>
        <v>0.25</v>
      </c>
      <c r="B10" s="353">
        <f>IF(Input!$F$18="Small",F10,IF(Input!$F$18="Medium",H10,IF(Input!$F$18="Large",J10,"")))</f>
        <v>0.22</v>
      </c>
      <c r="C10" s="0">
        <v>4</v>
      </c>
      <c r="D10" s="56" t="s">
        <v>367</v>
      </c>
      <c r="E10" s="330">
        <v>0.25</v>
      </c>
      <c r="F10" s="330">
        <v>0.22</v>
      </c>
      <c r="G10" s="330">
        <v>0.3</v>
      </c>
      <c r="H10" s="330">
        <v>0.2</v>
      </c>
      <c r="I10" s="330">
        <v>0.35</v>
      </c>
      <c r="J10" s="331">
        <v>0.32</v>
      </c>
    </row>
    <row r="11">
      <c r="A11" s="353">
        <f>IF(Input!$F$18="Small",E11,IF(Input!$F$18="Medium",G11,IF(Input!$F$18="Large",I11,"")))</f>
        <v>0.25</v>
      </c>
      <c r="B11" s="353">
        <f>IF(Input!$F$18="Small",F11,IF(Input!$F$18="Medium",H11,IF(Input!$F$18="Large",J11,"")))</f>
        <v>0.22</v>
      </c>
      <c r="C11" s="0">
        <v>5</v>
      </c>
      <c r="D11" s="10" t="s">
        <v>651</v>
      </c>
      <c r="E11" s="17">
        <v>0.25</v>
      </c>
      <c r="F11" s="17">
        <v>0.22</v>
      </c>
      <c r="G11" s="17">
        <v>0.3</v>
      </c>
      <c r="H11" s="17">
        <v>0.2</v>
      </c>
      <c r="I11" s="17">
        <v>0.35</v>
      </c>
      <c r="J11" s="294">
        <v>0.32</v>
      </c>
    </row>
    <row r="12" ht="15">
      <c r="A12" s="353">
        <f>IF(Input!$F$18="Small",E12,IF(Input!$F$18="Medium",G12,IF(Input!$F$18="Large",I12,"")))</f>
        <v>0.25</v>
      </c>
      <c r="B12" s="353">
        <f>IF(Input!$F$18="Small",F12,IF(Input!$F$18="Medium",H12,IF(Input!$F$18="Large",J12,"")))</f>
        <v>0.22</v>
      </c>
      <c r="C12" s="0">
        <v>6</v>
      </c>
      <c r="D12" s="21" t="s">
        <v>652</v>
      </c>
      <c r="E12" s="321">
        <v>0.25</v>
      </c>
      <c r="F12" s="321">
        <v>0.22</v>
      </c>
      <c r="G12" s="321">
        <v>0.3</v>
      </c>
      <c r="H12" s="321">
        <v>0.2</v>
      </c>
      <c r="I12" s="321">
        <v>0.35</v>
      </c>
      <c r="J12" s="332">
        <v>0.32</v>
      </c>
    </row>
    <row r="13" ht="15">
      <c r="A13" s="353">
        <f>IF(Input!$F$18="Small",E13,IF(Input!$F$18="Medium",G13,IF(Input!$F$18="Large",I13,"")))</f>
        <v>0</v>
      </c>
      <c r="B13" s="353">
        <f>IF(Input!$F$18="Small",F13,IF(Input!$F$18="Medium",H13,IF(Input!$F$18="Large",J13,"")))</f>
        <v>0</v>
      </c>
      <c r="E13" s="142"/>
      <c r="F13" s="142"/>
      <c r="G13" s="142"/>
      <c r="H13" s="142"/>
      <c r="I13" s="142"/>
      <c r="J13" s="142"/>
    </row>
    <row r="14">
      <c r="A14" s="353">
        <f>IF(Input!$F$18="Small",E14,IF(Input!$F$18="Medium",G14,IF(Input!$F$18="Large",I14,"")))</f>
        <v>0.25</v>
      </c>
      <c r="B14" s="353">
        <f>IF(Input!$F$18="Small",F14,IF(Input!$F$18="Medium",H14,IF(Input!$F$18="Large",J14,"")))</f>
        <v>0.23</v>
      </c>
      <c r="C14" s="0">
        <v>7</v>
      </c>
      <c r="D14" s="56" t="s">
        <v>653</v>
      </c>
      <c r="E14" s="330">
        <v>0.25</v>
      </c>
      <c r="F14" s="330">
        <v>0.23</v>
      </c>
      <c r="G14" s="330">
        <v>0.3</v>
      </c>
      <c r="H14" s="330">
        <v>0.26</v>
      </c>
      <c r="I14" s="330">
        <v>0.4</v>
      </c>
      <c r="J14" s="331">
        <v>0.35</v>
      </c>
    </row>
    <row r="15" ht="15">
      <c r="A15" s="353">
        <f>IF(Input!$F$18="Small",E15,IF(Input!$F$18="Medium",G15,IF(Input!$F$18="Large",I15,"")))</f>
        <v>0.25</v>
      </c>
      <c r="B15" s="353">
        <f>IF(Input!$F$18="Small",F15,IF(Input!$F$18="Medium",H15,IF(Input!$F$18="Large",J15,"")))</f>
        <v>0.23</v>
      </c>
      <c r="C15" s="0">
        <v>9</v>
      </c>
      <c r="D15" s="21" t="s">
        <v>654</v>
      </c>
      <c r="E15" s="321">
        <v>0.25</v>
      </c>
      <c r="F15" s="321">
        <v>0.23</v>
      </c>
      <c r="G15" s="321">
        <v>0.3</v>
      </c>
      <c r="H15" s="321">
        <v>0.26</v>
      </c>
      <c r="I15" s="321">
        <v>0.4</v>
      </c>
      <c r="J15" s="332">
        <v>0.35</v>
      </c>
    </row>
    <row r="16">
      <c r="A16" s="353">
        <f>IF(Input!$F$18="Small",E16,IF(Input!$F$18="Medium",G16,IF(Input!$F$18="Large",I16,"")))</f>
        <v>0</v>
      </c>
      <c r="B16" s="353">
        <f>IF(Input!$F$18="Small",F16,IF(Input!$F$18="Medium",H16,IF(Input!$F$18="Large",J16,"")))</f>
        <v>0</v>
      </c>
      <c r="E16" s="142"/>
      <c r="G16" s="142"/>
      <c r="I16" s="142"/>
    </row>
    <row r="17" ht="15">
      <c r="A17" s="353">
        <f>IF(Input!$F$18="Small",E17,IF(Input!$F$18="Medium",G17,IF(Input!$F$18="Large",I17,"")))</f>
        <v>0</v>
      </c>
      <c r="B17" s="353">
        <f>IF(Input!$F$18="Small",F17,IF(Input!$F$18="Medium",H17,IF(Input!$F$18="Large",J17,"")))</f>
        <v>0</v>
      </c>
      <c r="D17" s="9" t="s">
        <v>29</v>
      </c>
    </row>
    <row r="18" ht="15">
      <c r="A18" s="353">
        <f>IF(Input!$F$18="Small",E18,IF(Input!$F$18="Medium",G18,IF(Input!$F$18="Large",I18,"")))</f>
        <v>0.2</v>
      </c>
      <c r="B18" s="353">
        <f>IF(Input!$F$18="Small",F18,IF(Input!$F$18="Medium",H18,IF(Input!$F$18="Large",J18,"")))</f>
        <v>0.18</v>
      </c>
      <c r="C18" s="0">
        <v>12</v>
      </c>
      <c r="D18" s="333" t="s">
        <v>655</v>
      </c>
      <c r="E18" s="334">
        <v>0.2</v>
      </c>
      <c r="F18" s="334">
        <v>0.18</v>
      </c>
      <c r="G18" s="334">
        <v>0.25</v>
      </c>
      <c r="H18" s="334">
        <v>0.22</v>
      </c>
      <c r="I18" s="334">
        <v>0.3</v>
      </c>
      <c r="J18" s="335">
        <v>0.28</v>
      </c>
    </row>
    <row r="19" ht="15">
      <c r="A19" s="353">
        <f>IF(Input!$F$18="Small",E19,IF(Input!$F$18="Medium",G19,IF(Input!$F$18="Large",I19,"")))</f>
        <v>0</v>
      </c>
      <c r="B19" s="353">
        <f>IF(Input!$F$18="Small",F19,IF(Input!$F$18="Medium",H19,IF(Input!$F$18="Large",J19,"")))</f>
        <v>0</v>
      </c>
      <c r="E19" s="142"/>
      <c r="F19" s="142"/>
      <c r="G19" s="142"/>
      <c r="H19" s="142"/>
      <c r="I19" s="142"/>
      <c r="J19" s="142"/>
    </row>
    <row r="20" ht="15">
      <c r="A20" s="353">
        <f>IF(Input!$F$18="Small",E20,IF(Input!$F$18="Medium",G20,IF(Input!$F$18="Large",I20,"")))</f>
        <v>0.38</v>
      </c>
      <c r="B20" s="353">
        <f>IF(Input!$F$18="Small",F20,IF(Input!$F$18="Medium",H20,IF(Input!$F$18="Large",J20,"")))</f>
        <v>0.3</v>
      </c>
      <c r="C20" s="0">
        <v>14</v>
      </c>
      <c r="D20" s="336" t="s">
        <v>399</v>
      </c>
      <c r="E20" s="337">
        <v>0.38</v>
      </c>
      <c r="F20" s="337">
        <v>0.3</v>
      </c>
      <c r="G20" s="337">
        <v>0.48</v>
      </c>
      <c r="H20" s="337">
        <v>0.4</v>
      </c>
      <c r="I20" s="337">
        <v>0.58</v>
      </c>
      <c r="J20" s="338">
        <v>0.5</v>
      </c>
    </row>
    <row r="21" ht="15">
      <c r="A21" s="353">
        <f>IF(Input!$F$18="Small",E21,IF(Input!$F$18="Medium",G21,IF(Input!$F$18="Large",I21,"")))</f>
        <v>0</v>
      </c>
      <c r="B21" s="353">
        <f>IF(Input!$F$18="Small",F21,IF(Input!$F$18="Medium",H21,IF(Input!$F$18="Large",J21,"")))</f>
        <v>0</v>
      </c>
      <c r="E21" s="14"/>
      <c r="F21" s="14"/>
      <c r="G21" s="14"/>
      <c r="H21" s="14"/>
      <c r="I21" s="14"/>
      <c r="J21" s="14"/>
    </row>
    <row r="22">
      <c r="A22" s="353">
        <f>IF(Input!$F$18="Small",E22,IF(Input!$F$18="Medium",G22,IF(Input!$F$18="Large",I22,"")))</f>
        <v>0.2</v>
      </c>
      <c r="B22" s="353">
        <f>IF(Input!$F$18="Small",F22,IF(Input!$F$18="Medium",H22,IF(Input!$F$18="Large",J22,"")))</f>
        <v>0.18</v>
      </c>
      <c r="C22" s="0">
        <v>17</v>
      </c>
      <c r="D22" s="339" t="s">
        <v>656</v>
      </c>
      <c r="E22" s="340">
        <v>0.2</v>
      </c>
      <c r="F22" s="340">
        <v>0.18</v>
      </c>
      <c r="G22" s="340">
        <v>0.22</v>
      </c>
      <c r="H22" s="340">
        <v>0.2</v>
      </c>
      <c r="I22" s="340">
        <v>0.25</v>
      </c>
      <c r="J22" s="341">
        <v>0.22</v>
      </c>
    </row>
    <row r="23" ht="15">
      <c r="A23" s="353">
        <f>IF(Input!$F$18="Small",E23,IF(Input!$F$18="Medium",G23,IF(Input!$F$18="Large",I23,"")))</f>
        <v>0.2</v>
      </c>
      <c r="B23" s="353">
        <f>IF(Input!$F$18="Small",F23,IF(Input!$F$18="Medium",H23,IF(Input!$F$18="Large",J23,"")))</f>
        <v>0.18</v>
      </c>
      <c r="C23" s="0">
        <v>18</v>
      </c>
      <c r="D23" s="262" t="s">
        <v>411</v>
      </c>
      <c r="E23" s="277">
        <v>0.2</v>
      </c>
      <c r="F23" s="277">
        <v>0.18</v>
      </c>
      <c r="G23" s="277">
        <v>0.22</v>
      </c>
      <c r="H23" s="277">
        <v>0.2</v>
      </c>
      <c r="I23" s="277">
        <v>0.25</v>
      </c>
      <c r="J23" s="342">
        <v>0.22</v>
      </c>
    </row>
    <row r="24">
      <c r="A24" s="353">
        <f>IF(Input!$F$18="Small",E24,IF(Input!$F$18="Medium",G24,IF(Input!$F$18="Large",I24,"")))</f>
        <v>0</v>
      </c>
      <c r="B24" s="353">
        <f>IF(Input!$F$18="Small",F24,IF(Input!$F$18="Medium",H24,IF(Input!$F$18="Large",J24,"")))</f>
        <v>0</v>
      </c>
      <c r="D24" s="45"/>
      <c r="E24" s="234"/>
      <c r="F24" s="14"/>
      <c r="G24" s="234"/>
      <c r="H24" s="14"/>
      <c r="I24" s="234"/>
      <c r="J24" s="14"/>
    </row>
    <row r="25" ht="15">
      <c r="A25" s="353">
        <f>IF(Input!$F$18="Small",E25,IF(Input!$F$18="Medium",G25,IF(Input!$F$18="Large",I25,"")))</f>
        <v>0</v>
      </c>
      <c r="B25" s="353">
        <f>IF(Input!$F$18="Small",F25,IF(Input!$F$18="Medium",H25,IF(Input!$F$18="Large",J25,"")))</f>
        <v>0</v>
      </c>
      <c r="D25" s="45" t="s">
        <v>33</v>
      </c>
      <c r="E25" s="14"/>
      <c r="F25" s="14"/>
      <c r="G25" s="14"/>
      <c r="H25" s="14"/>
      <c r="I25" s="14"/>
      <c r="J25" s="14"/>
    </row>
    <row r="26">
      <c r="A26" s="353">
        <f>IF(Input!$F$18="Small",E26,IF(Input!$F$18="Medium",G26,IF(Input!$F$18="Large",I26,"")))</f>
        <v>0.12</v>
      </c>
      <c r="B26" s="353">
        <f>IF(Input!$F$18="Small",F26,IF(Input!$F$18="Medium",H26,IF(Input!$F$18="Large",J26,"")))</f>
        <v>0.19</v>
      </c>
      <c r="C26" s="0">
        <v>19</v>
      </c>
      <c r="D26" s="339" t="s">
        <v>657</v>
      </c>
      <c r="E26" s="330">
        <v>0.12</v>
      </c>
      <c r="F26" s="330">
        <v>0.19</v>
      </c>
      <c r="G26" s="330">
        <v>0.15</v>
      </c>
      <c r="H26" s="330">
        <v>0.22</v>
      </c>
      <c r="I26" s="330">
        <v>0.2</v>
      </c>
      <c r="J26" s="331">
        <v>0.25</v>
      </c>
    </row>
    <row r="27" ht="15">
      <c r="A27" s="353">
        <f>IF(Input!$F$18="Small",E27,IF(Input!$F$18="Medium",G27,IF(Input!$F$18="Large",I27,"")))</f>
        <v>0.18</v>
      </c>
      <c r="B27" s="353">
        <f>IF(Input!$F$18="Small",F27,IF(Input!$F$18="Medium",H27,IF(Input!$F$18="Large",J27,"")))</f>
        <v>0.19</v>
      </c>
      <c r="C27" s="0">
        <v>20</v>
      </c>
      <c r="D27" s="262" t="s">
        <v>658</v>
      </c>
      <c r="E27" s="321">
        <v>0.18</v>
      </c>
      <c r="F27" s="321">
        <v>0.19</v>
      </c>
      <c r="G27" s="321">
        <v>0.22</v>
      </c>
      <c r="H27" s="321">
        <v>0.25</v>
      </c>
      <c r="I27" s="321">
        <v>0.25</v>
      </c>
      <c r="J27" s="332">
        <v>0.3</v>
      </c>
    </row>
    <row r="28" ht="15">
      <c r="A28" s="353">
        <f>IF(Input!$F$18="Small",E28,IF(Input!$F$18="Medium",G28,IF(Input!$F$18="Large",I28,"")))</f>
        <v>0</v>
      </c>
      <c r="B28" s="353">
        <f>IF(Input!$F$18="Small",F28,IF(Input!$F$18="Medium",H28,IF(Input!$F$18="Large",J28,"")))</f>
        <v>0</v>
      </c>
      <c r="D28" s="45"/>
      <c r="E28" s="142"/>
      <c r="G28" s="142"/>
      <c r="I28" s="142"/>
    </row>
    <row r="29">
      <c r="A29" s="353">
        <f>IF(Input!$F$18="Small",E29,IF(Input!$F$18="Medium",G29,IF(Input!$F$18="Large",I29,"")))</f>
        <v>0.3</v>
      </c>
      <c r="B29" s="353">
        <f>IF(Input!$F$18="Small",F29,IF(Input!$F$18="Medium",H29,IF(Input!$F$18="Large",J29,"")))</f>
        <v>0.18</v>
      </c>
      <c r="C29" s="0">
        <v>21</v>
      </c>
      <c r="D29" s="343" t="s">
        <v>659</v>
      </c>
      <c r="E29" s="330">
        <v>0.3</v>
      </c>
      <c r="F29" s="330">
        <v>0.18</v>
      </c>
      <c r="G29" s="330">
        <v>0.4</v>
      </c>
      <c r="H29" s="330">
        <v>0.28</v>
      </c>
      <c r="I29" s="330">
        <v>0.5</v>
      </c>
      <c r="J29" s="331">
        <v>0.28</v>
      </c>
    </row>
    <row r="30" ht="15">
      <c r="A30" s="353">
        <f>IF(Input!$F$18="Small",E30,IF(Input!$F$18="Medium",G30,IF(Input!$F$18="Large",I30,"")))</f>
        <v>0.5</v>
      </c>
      <c r="B30" s="353">
        <f>IF(Input!$F$18="Small",F30,IF(Input!$F$18="Medium",H30,IF(Input!$F$18="Large",J30,"")))</f>
        <v>0.48</v>
      </c>
      <c r="C30" s="0">
        <v>23</v>
      </c>
      <c r="D30" s="276" t="s">
        <v>439</v>
      </c>
      <c r="E30" s="321">
        <v>0.5</v>
      </c>
      <c r="F30" s="321">
        <v>0.48</v>
      </c>
      <c r="G30" s="321">
        <v>0.65</v>
      </c>
      <c r="H30" s="321">
        <v>0.6</v>
      </c>
      <c r="I30" s="321">
        <v>0.7</v>
      </c>
      <c r="J30" s="332">
        <v>0.65</v>
      </c>
    </row>
    <row r="31" ht="15">
      <c r="A31" s="353">
        <f>IF(Input!$F$18="Small",E31,IF(Input!$F$18="Medium",G31,IF(Input!$F$18="Large",I31,"")))</f>
        <v>0</v>
      </c>
      <c r="B31" s="353">
        <f>IF(Input!$F$18="Small",F31,IF(Input!$F$18="Medium",H31,IF(Input!$F$18="Large",J31,"")))</f>
        <v>0</v>
      </c>
      <c r="D31" s="45"/>
    </row>
    <row r="32">
      <c r="A32" s="353">
        <f>IF(Input!$F$18="Small",E32,IF(Input!$F$18="Medium",G32,IF(Input!$F$18="Large",I32,"")))</f>
        <v>0.25</v>
      </c>
      <c r="B32" s="353">
        <f>IF(Input!$F$18="Small",F32,IF(Input!$F$18="Medium",H32,IF(Input!$F$18="Large",J32,"")))</f>
        <v>0.23</v>
      </c>
      <c r="C32" s="0">
        <v>25</v>
      </c>
      <c r="D32" s="343" t="s">
        <v>458</v>
      </c>
      <c r="E32" s="330">
        <v>0.25</v>
      </c>
      <c r="F32" s="330">
        <v>0.23</v>
      </c>
      <c r="G32" s="330">
        <v>0.4</v>
      </c>
      <c r="H32" s="330">
        <v>0.36</v>
      </c>
      <c r="I32" s="330">
        <v>0.48</v>
      </c>
      <c r="J32" s="331">
        <v>0.46</v>
      </c>
    </row>
    <row r="33" ht="15">
      <c r="A33" s="353">
        <f>IF(Input!$F$18="Small",E33,IF(Input!$F$18="Medium",G33,IF(Input!$F$18="Large",I33,"")))</f>
        <v>0.2</v>
      </c>
      <c r="B33" s="353">
        <f>IF(Input!$F$18="Small",F33,IF(Input!$F$18="Medium",H33,IF(Input!$F$18="Large",J33,"")))</f>
        <v>0.18</v>
      </c>
      <c r="C33" s="0">
        <v>26</v>
      </c>
      <c r="D33" s="276" t="s">
        <v>464</v>
      </c>
      <c r="E33" s="321">
        <v>0.2</v>
      </c>
      <c r="F33" s="321">
        <v>0.18</v>
      </c>
      <c r="G33" s="321">
        <v>0.3</v>
      </c>
      <c r="H33" s="321">
        <v>0.2</v>
      </c>
      <c r="I33" s="321">
        <v>0.3</v>
      </c>
      <c r="J33" s="332">
        <v>0.28</v>
      </c>
    </row>
  </sheetData>
  <mergeCells>
    <mergeCell ref="E3:J3"/>
    <mergeCell ref="K3:O3"/>
    <mergeCell ref="E4:F4"/>
    <mergeCell ref="G4:H4"/>
    <mergeCell ref="I4:J4"/>
    <mergeCell ref="L4:M4"/>
    <mergeCell ref="N4:O4"/>
  </mergeCells>
  <pageMargins left="0.7" right="0.7" top="0.75" bottom="0.75" header="0.3" footer="0.3"/>
  <pageSetup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92D050"/>
  </sheetPr>
  <dimension ref="B2:Q99"/>
  <sheetViews>
    <sheetView topLeftCell="A18" zoomScale="90" zoomScaleNormal="90" workbookViewId="0">
      <selection activeCell="C64" sqref="C64"/>
    </sheetView>
  </sheetViews>
  <sheetFormatPr defaultRowHeight="14.4" x14ac:dyDescent="0.3"/>
  <cols>
    <col min="2" max="2" width="34.77734375" customWidth="1"/>
    <col min="3" max="3" width="15.88671875" customWidth="1"/>
    <col min="4" max="4" width="12.88671875" customWidth="1"/>
    <col min="5" max="5" width="12.88671875" customWidth="1"/>
    <col min="6" max="6" width="12.88671875" customWidth="1"/>
    <col min="7" max="7" width="12.88671875" customWidth="1"/>
    <col min="8" max="8" width="12.88671875" customWidth="1"/>
    <col min="9" max="9" width="12.88671875" customWidth="1"/>
    <col min="10" max="10" width="12.88671875" customWidth="1"/>
    <col min="11" max="11" width="25.21875" customWidth="1"/>
    <col min="12" max="12" width="12.88671875" customWidth="1"/>
    <col min="13" max="13" width="12.88671875" customWidth="1"/>
    <col min="14" max="14" bestFit="1" width="14.109375" customWidth="1"/>
    <col min="15" max="15" bestFit="1" width="12.88671875" customWidth="1"/>
    <col min="16" max="17" bestFit="1" width="14.109375" customWidth="1"/>
  </cols>
  <sheetData>
    <row r="1" ht="15"/>
    <row r="2">
      <c r="B2" s="368"/>
      <c r="C2" s="632" t="s">
        <v>6</v>
      </c>
      <c r="D2" s="633"/>
      <c r="E2" s="632" t="s">
        <v>7</v>
      </c>
      <c r="F2" s="633"/>
      <c r="G2" s="643" t="s">
        <v>8</v>
      </c>
      <c r="H2" s="633"/>
    </row>
    <row r="3" ht="15">
      <c r="B3" s="369"/>
      <c r="C3" s="373" t="s">
        <v>11</v>
      </c>
      <c r="D3" s="374" t="s">
        <v>12</v>
      </c>
      <c r="E3" s="373" t="s">
        <v>11</v>
      </c>
      <c r="F3" s="374" t="s">
        <v>12</v>
      </c>
      <c r="G3" s="375" t="s">
        <v>11</v>
      </c>
      <c r="H3" s="374" t="s">
        <v>12</v>
      </c>
    </row>
    <row r="4" ht="24.6" customHeight="1">
      <c r="B4" s="370" t="s">
        <v>15</v>
      </c>
      <c r="C4" s="432">
        <f>' Calculator -Z14 -small'!H211</f>
        <v>7794117.9575001216</v>
      </c>
      <c r="D4" s="434">
        <f>' Calculator -X86 -small'!H211</f>
        <v>6686747.4064818071</v>
      </c>
      <c r="E4" s="432">
        <f>' Calculator -Z14 -medium'!H210</f>
        <v>13956331.575984955</v>
      </c>
      <c r="F4" s="434">
        <f>' Calculator -x86 -medium'!H211</f>
        <v>11550634.5167948</v>
      </c>
      <c r="G4" s="435">
        <f>' Calculator -z14 Large'!H210</f>
        <v>24510484.683694191</v>
      </c>
      <c r="H4" s="434">
        <f>' Calculator -x86 Large '!H211</f>
        <v>20914810.223434679</v>
      </c>
      <c r="I4" s="143"/>
    </row>
    <row r="5" ht="25.8" customHeight="1">
      <c r="B5" s="437" t="s">
        <v>16</v>
      </c>
      <c r="C5" s="438">
        <f>' Calculator -Z14 -small'!H212</f>
        <v>1684496.6</v>
      </c>
      <c r="D5" s="439">
        <f>' Calculator -X86 -small'!H212</f>
        <v>4277335.6</v>
      </c>
      <c r="E5" s="438">
        <f>' Calculator -Z14 -medium'!H211</f>
        <v>2490500.6</v>
      </c>
      <c r="F5" s="439">
        <f>' Calculator -x86 -medium'!H212</f>
        <v>5378686.4</v>
      </c>
      <c r="G5" s="440">
        <f>' Calculator -z14 Large'!H211</f>
        <v>3545314.6</v>
      </c>
      <c r="H5" s="439">
        <f>' Calculator -x86 Large '!H212</f>
        <v>7370385.2</v>
      </c>
      <c r="I5" s="143"/>
    </row>
    <row r="6" ht="26.4" customHeight="1">
      <c r="B6" s="433" t="s">
        <v>49</v>
      </c>
      <c r="C6" s="436">
        <f>(C4-C5)</f>
        <v>6109621.357500121</v>
      </c>
      <c r="D6" s="436">
        <f ref="D6:H6" t="shared" si="0">(D4-D5)</f>
        <v>2409411.8064818075</v>
      </c>
      <c r="E6" s="436">
        <f t="shared" si="0"/>
        <v>11465830.975984955</v>
      </c>
      <c r="F6" s="436">
        <f t="shared" si="0"/>
        <v>6171948.1167948</v>
      </c>
      <c r="G6" s="436">
        <f t="shared" si="0"/>
        <v>20965170.08369419</v>
      </c>
      <c r="H6" s="436">
        <f t="shared" si="0"/>
        <v>13544425.02343468</v>
      </c>
    </row>
    <row r="9">
      <c r="C9" s="233"/>
    </row>
    <row r="11" ht="15"/>
    <row r="12">
      <c r="B12" s="368"/>
      <c r="C12" s="632" t="s">
        <v>6</v>
      </c>
      <c r="D12" s="633"/>
      <c r="E12" s="643" t="s">
        <v>7</v>
      </c>
      <c r="F12" s="643"/>
      <c r="G12" s="632" t="s">
        <v>8</v>
      </c>
      <c r="H12" s="633"/>
      <c r="K12" s="359"/>
      <c r="L12" s="359"/>
      <c r="M12" s="359"/>
      <c r="N12" s="359"/>
      <c r="O12" s="359"/>
      <c r="P12" s="359"/>
      <c r="Q12" s="359"/>
    </row>
    <row r="13" ht="15">
      <c r="B13" s="369"/>
      <c r="C13" s="373" t="s">
        <v>11</v>
      </c>
      <c r="D13" s="374" t="s">
        <v>12</v>
      </c>
      <c r="E13" s="375" t="s">
        <v>11</v>
      </c>
      <c r="F13" s="375" t="s">
        <v>12</v>
      </c>
      <c r="G13" s="373" t="s">
        <v>11</v>
      </c>
      <c r="H13" s="374" t="s">
        <v>12</v>
      </c>
      <c r="K13" s="359"/>
      <c r="L13" s="359"/>
      <c r="M13" s="359"/>
      <c r="N13" s="359"/>
      <c r="O13" s="359"/>
      <c r="P13" s="359"/>
      <c r="Q13" s="359"/>
    </row>
    <row r="14" ht="25.8" customHeight="1">
      <c r="B14" s="370" t="s">
        <v>53</v>
      </c>
      <c r="C14" s="376">
        <f>' Calculator -Z14 -small'!D220</f>
        <v>3.6269716172179396</v>
      </c>
      <c r="D14" s="377">
        <f>' Calculator -X86 -small'!D220</f>
        <v>0.56329734951866006</v>
      </c>
      <c r="E14" s="378">
        <f>' Calculator -Z14 -medium'!D219</f>
        <v>4.6038258236054848</v>
      </c>
      <c r="F14" s="378">
        <f>' Calculator -x86 -medium'!D220</f>
        <v>1.1474824255964802</v>
      </c>
      <c r="G14" s="376">
        <f>' Calculator -z14 Large'!D219</f>
        <v>5.913486516455885</v>
      </c>
      <c r="H14" s="377">
        <f>' Calculator -x86 Large '!D220</f>
        <v>1.8376821096724605</v>
      </c>
      <c r="K14" s="349" t="s">
        <v>660</v>
      </c>
      <c r="L14" s="349">
        <f>C14-D14</f>
        <v>3.0636742676992794</v>
      </c>
      <c r="M14" s="349"/>
      <c r="N14" s="349">
        <f>E14-F14</f>
        <v>3.4563433980090048</v>
      </c>
      <c r="O14" s="349"/>
      <c r="P14" s="349">
        <f>G14-H14</f>
        <v>4.0758044067834245</v>
      </c>
      <c r="Q14" s="349"/>
    </row>
    <row r="15" ht="31.8" customHeight="1">
      <c r="B15" s="371" t="s">
        <v>54</v>
      </c>
      <c r="C15" s="379">
        <f>' Calculator -Z14 -small'!D221</f>
        <v>8839051.438985955</v>
      </c>
      <c r="D15" s="380">
        <f>' Calculator -X86 -small'!D221</f>
        <v>3107527.3590557491</v>
      </c>
      <c r="E15" s="381">
        <f>' Calculator -Z14 -medium'!D220</f>
        <v>16639524.294924434</v>
      </c>
      <c r="F15" s="381">
        <f>' Calculator -x86 -medium'!D221</f>
        <v>8519698.7283385322</v>
      </c>
      <c r="G15" s="379">
        <f>' Calculator -z14 Large'!D220</f>
        <v>30522711.842714448</v>
      </c>
      <c r="H15" s="380">
        <f>' Calculator -x86 Large '!D221</f>
        <v>19167423.940005124</v>
      </c>
      <c r="K15" s="45"/>
      <c r="L15" s="46"/>
      <c r="M15" s="46"/>
      <c r="N15" s="46"/>
      <c r="O15" s="46"/>
      <c r="P15" s="46"/>
      <c r="Q15" s="46"/>
    </row>
    <row r="16" ht="29.4" customHeight="1">
      <c r="B16" s="371" t="s">
        <v>236</v>
      </c>
      <c r="C16" s="382">
        <f>' Calculator -Z14 -small'!D222</f>
        <v>5.8829788630382414</v>
      </c>
      <c r="D16" s="383">
        <f>' Calculator -X86 -small'!D222</f>
        <v>17.148864197987258</v>
      </c>
      <c r="E16" s="384">
        <f>' Calculator -Z14 -medium'!D221</f>
        <v>5.3645024691752647</v>
      </c>
      <c r="F16" s="384">
        <f>' Calculator -x86 -medium'!D222</f>
        <v>13.283029653212051</v>
      </c>
      <c r="G16" s="382">
        <f>' Calculator -z14 Large'!D221</f>
        <v>4.6038289595745594</v>
      </c>
      <c r="H16" s="383">
        <f>' Calculator -x86 Large '!D222</f>
        <v>10.317399971347342</v>
      </c>
      <c r="K16" s="45"/>
      <c r="L16" s="274"/>
      <c r="M16" s="274"/>
      <c r="N16" s="274"/>
      <c r="O16" s="274"/>
      <c r="P16" s="274"/>
      <c r="Q16" s="274"/>
    </row>
    <row r="17" ht="31.2" customHeight="1">
      <c r="B17" s="372" t="s">
        <v>56</v>
      </c>
      <c r="C17" s="385">
        <f>' Calculator -Z14 -small'!D223</f>
        <v>1684496.6</v>
      </c>
      <c r="D17" s="386">
        <f>' Calculator -X86 -small'!D223</f>
        <v>4277335.6</v>
      </c>
      <c r="E17" s="387">
        <f>' Calculator -Z14 -medium'!D222</f>
        <v>2490500.6</v>
      </c>
      <c r="F17" s="387">
        <f>' Calculator -x86 -medium'!D223</f>
        <v>5378686.4</v>
      </c>
      <c r="G17" s="385">
        <f>' Calculator -z14 Large'!D222</f>
        <v>3545314.6</v>
      </c>
      <c r="H17" s="386">
        <f>' Calculator -x86 Large '!D223</f>
        <v>7370385.2</v>
      </c>
      <c r="K17" s="45"/>
      <c r="L17" s="46"/>
      <c r="M17" s="46"/>
      <c r="N17" s="46"/>
      <c r="O17" s="46"/>
      <c r="P17" s="46"/>
      <c r="Q17" s="46"/>
    </row>
    <row r="19">
      <c r="B19" s="45"/>
      <c r="C19" s="163"/>
      <c r="D19" s="351"/>
      <c r="E19" s="163"/>
      <c r="F19" s="351"/>
      <c r="G19" s="163"/>
      <c r="H19" s="351"/>
    </row>
    <row r="20">
      <c r="B20" s="163"/>
      <c r="C20" s="163"/>
      <c r="D20" s="163"/>
      <c r="E20" s="163"/>
      <c r="F20" s="163"/>
      <c r="G20" s="163"/>
      <c r="H20" s="163"/>
    </row>
    <row r="21">
      <c r="B21" s="163" t="s">
        <v>661</v>
      </c>
      <c r="C21" s="163" t="s">
        <v>11</v>
      </c>
      <c r="D21" s="163" t="s">
        <v>12</v>
      </c>
      <c r="E21" s="163" t="s">
        <v>662</v>
      </c>
      <c r="F21" s="163"/>
      <c r="G21" s="163"/>
      <c r="H21" s="163"/>
    </row>
    <row r="22">
      <c r="B22" s="163" t="s">
        <v>21</v>
      </c>
      <c r="C22" s="403"/>
      <c r="D22" s="246"/>
      <c r="E22" s="163"/>
      <c r="F22" s="246"/>
      <c r="G22" s="163"/>
      <c r="H22" s="246"/>
    </row>
    <row r="23">
      <c r="B23" s="163" t="str">
        <f>' Calculator -Z14 -small'!C201</f>
        <v>System Acquisition Cost</v>
      </c>
      <c r="C23" s="403">
        <f>' Calculator -Z14 -small'!H201</f>
        <v>668900</v>
      </c>
      <c r="D23" s="403">
        <f>' Calculator -X86 -small'!H201</f>
        <v>957039</v>
      </c>
      <c r="E23" s="162">
        <f>(C23-D23)/C23</f>
        <v>-0.43076543579010318</v>
      </c>
      <c r="F23" s="246"/>
      <c r="G23" s="163"/>
      <c r="H23" s="246"/>
    </row>
    <row r="24">
      <c r="B24" s="163" t="str">
        <f>' Calculator -Z14 -small'!C202</f>
        <v>Software Acquisition Cost</v>
      </c>
      <c r="C24" s="403">
        <f>' Calculator -Z14 -small'!H202</f>
        <v>399378</v>
      </c>
      <c r="D24" s="403">
        <f>' Calculator -X86 -small'!H202</f>
        <v>1682215</v>
      </c>
      <c r="E24" s="162">
        <f ref="E24:E33" t="shared" si="1">(C24-D24)/C24</f>
        <v>-3.2120872957448832</v>
      </c>
      <c r="F24" s="246"/>
      <c r="G24" s="163"/>
      <c r="H24" s="246"/>
    </row>
    <row r="25">
      <c r="B25" s="163" t="str">
        <f>' Calculator -Z14 -small'!C203</f>
        <v>Operations cost</v>
      </c>
      <c r="C25" s="403">
        <f>' Calculator -Z14 -small'!H203</f>
        <v>616218.60000000009</v>
      </c>
      <c r="D25" s="403">
        <f>' Calculator -X86 -small'!H203</f>
        <v>1638081.5999999999</v>
      </c>
      <c r="E25" s="162">
        <f t="shared" si="1"/>
        <v>-1.6582800324430318</v>
      </c>
      <c r="F25" s="246"/>
      <c r="G25" s="163"/>
      <c r="H25" s="246"/>
    </row>
    <row r="26">
      <c r="B26" s="163" t="s">
        <v>25</v>
      </c>
      <c r="C26" s="403"/>
      <c r="D26" s="403"/>
      <c r="E26" s="162"/>
      <c r="F26" s="246"/>
      <c r="G26" s="163"/>
      <c r="H26" s="246"/>
    </row>
    <row r="27">
      <c r="B27" s="163" t="str">
        <f>' Calculator -Z14 -small'!C169</f>
        <v>C-level executive productivity</v>
      </c>
      <c r="C27" s="403">
        <f>' Calculator -Z14 -small'!H169</f>
        <v>216000</v>
      </c>
      <c r="D27" s="403">
        <f>' Calculator -X86 -small'!H169</f>
        <v>179280</v>
      </c>
      <c r="E27" s="162">
        <f t="shared" si="1"/>
        <v>0.17</v>
      </c>
      <c r="F27" s="163"/>
      <c r="G27" s="163"/>
      <c r="H27" s="163"/>
    </row>
    <row r="28">
      <c r="B28" s="163" t="str">
        <f>' Calculator -Z14 -small'!C170</f>
        <v>IT personnel productivity</v>
      </c>
      <c r="C28" s="403">
        <f>' Calculator -Z14 -small'!H170</f>
        <v>997500</v>
      </c>
      <c r="D28" s="403">
        <f>' Calculator -X86 -small'!H170</f>
        <v>877800</v>
      </c>
      <c r="E28" s="162">
        <f t="shared" si="1"/>
        <v>0.12</v>
      </c>
      <c r="F28" s="163"/>
      <c r="G28" s="163"/>
      <c r="H28" s="163"/>
    </row>
    <row r="29">
      <c r="B29" s="163" t="str">
        <f>' Calculator -Z14 -small'!C171</f>
        <v>Organizational Productivity</v>
      </c>
      <c r="C29" s="403">
        <f>' Calculator -Z14 -small'!H171</f>
        <v>975000</v>
      </c>
      <c r="D29" s="403">
        <f>' Calculator -X86 -small'!H171</f>
        <v>897000</v>
      </c>
      <c r="E29" s="162">
        <f t="shared" si="1"/>
        <v>0.08</v>
      </c>
      <c r="F29" s="163"/>
      <c r="G29" s="163"/>
      <c r="H29" s="163"/>
    </row>
    <row r="30">
      <c r="B30" s="163" t="s">
        <v>29</v>
      </c>
      <c r="C30" s="403"/>
      <c r="D30" s="403"/>
      <c r="E30" s="162"/>
      <c r="F30" s="163"/>
      <c r="G30" s="163"/>
      <c r="H30" s="163"/>
    </row>
    <row r="31">
      <c r="B31" s="163" t="str">
        <f>' Calculator -Z14 -small'!C172</f>
        <v>Improved Revenue</v>
      </c>
      <c r="C31" s="403">
        <f>' Calculator -Z14 -small'!H172</f>
        <v>1680000.0000000005</v>
      </c>
      <c r="D31" s="403">
        <f>' Calculator -X86 -small'!H172</f>
        <v>1512000.0000000002</v>
      </c>
      <c r="E31" s="162">
        <f t="shared" si="1"/>
        <v>0.10000000000000012</v>
      </c>
      <c r="F31" s="163"/>
      <c r="G31" s="163"/>
      <c r="H31" s="163"/>
    </row>
    <row r="32">
      <c r="B32" s="163" t="str">
        <f>' Calculator -Z14 -small'!C173</f>
        <v>Faster-time-to-value</v>
      </c>
      <c r="C32" s="403">
        <f>' Calculator -Z14 -small'!H173</f>
        <v>1064000.0000000002</v>
      </c>
      <c r="D32" s="403">
        <f>' Calculator -X86 -small'!H173</f>
        <v>840000</v>
      </c>
      <c r="E32" s="162">
        <f t="shared" si="1"/>
        <v>0.21052631578947387</v>
      </c>
    </row>
    <row r="33">
      <c r="B33" s="163" t="str">
        <f>' Calculator -Z14 -small'!C174</f>
        <v>Trusted Experiences</v>
      </c>
      <c r="C33" s="165">
        <f>' Calculator -Z14 -small'!H174</f>
        <v>207162.51750000002</v>
      </c>
      <c r="D33" s="403">
        <f>' Calculator -X86 -small'!H174</f>
        <v>186446.26575</v>
      </c>
      <c r="E33" s="162">
        <f t="shared" si="1"/>
        <v>0.10000000000000012</v>
      </c>
    </row>
    <row r="34">
      <c r="B34" s="163" t="s">
        <v>33</v>
      </c>
      <c r="C34" s="165"/>
      <c r="D34" s="403"/>
      <c r="E34" s="162"/>
    </row>
    <row r="35">
      <c r="B35" s="27" t="s">
        <v>34</v>
      </c>
      <c r="C35" s="165">
        <f>' Calculator -Z14 -small'!H175</f>
        <v>1004462.64</v>
      </c>
      <c r="D35" s="403">
        <f>' Calculator -X86 -small'!H175</f>
        <v>846797.30073184927</v>
      </c>
      <c r="E35" s="162">
        <f ref="E35:E37" t="shared" si="2">(C35-D35)/C35</f>
        <v>0.1569648615981882</v>
      </c>
    </row>
    <row r="36">
      <c r="B36" s="163" t="str">
        <f>' Calculator -Z14 -small'!C176</f>
        <v>Improved governance and compliance</v>
      </c>
      <c r="C36" s="165">
        <f>' Calculator -Z14 -small'!H176</f>
        <v>885000</v>
      </c>
      <c r="D36" s="403">
        <f>' Calculator -X86 -small'!H176</f>
        <v>801000</v>
      </c>
      <c r="E36" s="162">
        <f t="shared" si="2"/>
        <v>0.094915254237288138</v>
      </c>
    </row>
    <row r="37">
      <c r="B37" s="163" t="str">
        <f>' Calculator -Z14 -small'!C177</f>
        <v>Reduced downtime</v>
      </c>
      <c r="C37" s="165">
        <f>' Calculator -Z14 -small'!H177</f>
        <v>764992.80000012112</v>
      </c>
      <c r="D37" s="403">
        <f>' Calculator -X86 -small'!H177</f>
        <v>546423.83999995771</v>
      </c>
      <c r="E37" s="162">
        <f t="shared" si="2"/>
        <v>0.28571374789426618</v>
      </c>
    </row>
    <row r="38">
      <c r="D38" s="403"/>
    </row>
    <row r="40">
      <c r="B40" s="163" t="s">
        <v>663</v>
      </c>
      <c r="C40" s="0" t="s">
        <v>11</v>
      </c>
      <c r="D40" s="0" t="s">
        <v>12</v>
      </c>
    </row>
    <row r="41">
      <c r="B41" s="163" t="s">
        <v>21</v>
      </c>
    </row>
    <row r="42">
      <c r="B42" s="163" t="s">
        <v>23</v>
      </c>
      <c r="C42" s="165">
        <f>' Calculator -Z14 -medium'!H200</f>
        <v>1257800</v>
      </c>
      <c r="D42" s="165">
        <f>' Calculator -x86 -medium'!H201</f>
        <v>1106382</v>
      </c>
      <c r="E42" s="162">
        <f ref="E42:E44" t="shared" si="3">(C42-D42)/C42</f>
        <v>0.12038320877723008</v>
      </c>
    </row>
    <row r="43">
      <c r="B43" s="163" t="s">
        <v>22</v>
      </c>
      <c r="C43" s="165">
        <f>' Calculator -Z14 -medium'!H201</f>
        <v>616482</v>
      </c>
      <c r="D43" s="165">
        <f>' Calculator -x86 -medium'!H202</f>
        <v>2597084</v>
      </c>
      <c r="E43" s="162">
        <f t="shared" si="3"/>
        <v>-3.2127491151404257</v>
      </c>
    </row>
    <row r="44">
      <c r="B44" s="163" t="s">
        <v>24</v>
      </c>
      <c r="C44" s="165">
        <f>' Calculator -Z14 -medium'!H202</f>
        <v>616218.60000000009</v>
      </c>
      <c r="D44" s="165">
        <f>' Calculator -x86 -medium'!H203</f>
        <v>1675220.4</v>
      </c>
      <c r="E44" s="162">
        <f t="shared" si="3"/>
        <v>-1.718548904560816</v>
      </c>
    </row>
    <row r="45">
      <c r="B45" s="163" t="s">
        <v>25</v>
      </c>
      <c r="C45" s="165"/>
      <c r="D45" s="165"/>
      <c r="E45" s="162"/>
    </row>
    <row r="46">
      <c r="B46" s="163" t="s">
        <v>26</v>
      </c>
      <c r="C46" s="165">
        <f>' Calculator -Z14 -medium'!H169</f>
        <v>357720</v>
      </c>
      <c r="D46" s="165">
        <f>' Calculator -x86 -medium'!H169</f>
        <v>280800</v>
      </c>
      <c r="E46" s="162">
        <f ref="E46:E48" t="shared" si="4">(C46-D46)/C46</f>
        <v>0.21502851392150285</v>
      </c>
    </row>
    <row r="47">
      <c r="B47" s="163" t="s">
        <v>27</v>
      </c>
      <c r="C47" s="165">
        <f>' Calculator -Z14 -medium'!H170</f>
        <v>1620000</v>
      </c>
      <c r="D47" s="165">
        <f>' Calculator -x86 -medium'!H170</f>
        <v>1080000</v>
      </c>
      <c r="E47" s="162">
        <f t="shared" si="4"/>
        <v>0.33333333333333331</v>
      </c>
    </row>
    <row r="48">
      <c r="B48" s="163" t="s">
        <v>28</v>
      </c>
      <c r="C48" s="165">
        <f>' Calculator -Z14 -medium'!H171</f>
        <v>1890000</v>
      </c>
      <c r="D48" s="165">
        <f>' Calculator -x86 -medium'!H171</f>
        <v>1638000</v>
      </c>
      <c r="E48" s="162">
        <f t="shared" si="4"/>
        <v>0.13333333333333333</v>
      </c>
    </row>
    <row r="49">
      <c r="B49" s="163" t="s">
        <v>29</v>
      </c>
      <c r="C49" s="165"/>
      <c r="D49" s="165"/>
      <c r="E49" s="162"/>
    </row>
    <row r="50">
      <c r="B50" s="163" t="s">
        <v>30</v>
      </c>
      <c r="C50" s="165">
        <f>' Calculator -Z14 -medium'!H172</f>
        <v>2520000.0000000005</v>
      </c>
      <c r="D50" s="165">
        <f>' Calculator -x86 -medium'!H172</f>
        <v>2217600.0000000005</v>
      </c>
      <c r="E50" s="162">
        <f ref="E50:E52" t="shared" si="5">(C50-D50)/C50</f>
        <v>0.11999999999999998</v>
      </c>
    </row>
    <row r="51">
      <c r="B51" s="163" t="s">
        <v>31</v>
      </c>
      <c r="C51" s="165">
        <f>' Calculator -Z14 -medium'!H173</f>
        <v>2419200.0000000005</v>
      </c>
      <c r="D51" s="165">
        <f>' Calculator -x86 -medium'!H173</f>
        <v>2016000.0000000007</v>
      </c>
      <c r="E51" s="162">
        <f t="shared" si="5"/>
        <v>0.16666666666666655</v>
      </c>
    </row>
    <row r="52">
      <c r="B52" s="163" t="s">
        <v>32</v>
      </c>
      <c r="C52" s="165">
        <f>' Calculator -Z14 -medium'!H174</f>
        <v>394341.78465</v>
      </c>
      <c r="D52" s="165">
        <f>' Calculator -x86 -medium'!H174</f>
        <v>358492.53150000004</v>
      </c>
      <c r="E52" s="162">
        <f t="shared" si="5"/>
        <v>0.090909090909090773</v>
      </c>
    </row>
    <row r="53">
      <c r="B53" s="163" t="s">
        <v>33</v>
      </c>
      <c r="C53" s="165"/>
      <c r="D53" s="165"/>
      <c r="E53" s="162"/>
    </row>
    <row r="54">
      <c r="B54" s="27" t="s">
        <v>34</v>
      </c>
      <c r="C54" s="165">
        <f>' Calculator -Z14 -medium'!H175</f>
        <v>1925331.3113347606</v>
      </c>
      <c r="D54" s="165">
        <f>' Calculator -x86 -medium'!H175</f>
        <v>1698821.7452953765</v>
      </c>
      <c r="E54" s="162">
        <f ref="E54:E56" t="shared" si="6">(C54-D54)/C54</f>
        <v>0.11764705882352967</v>
      </c>
    </row>
    <row r="55">
      <c r="B55" s="163" t="s">
        <v>35</v>
      </c>
      <c r="C55" s="165">
        <f>' Calculator -Z14 -medium'!H176</f>
        <v>1488750</v>
      </c>
      <c r="D55" s="165">
        <f>' Calculator -x86 -medium'!H176</f>
        <v>1314000</v>
      </c>
      <c r="E55" s="162">
        <f t="shared" si="6"/>
        <v>0.11738035264483628</v>
      </c>
    </row>
    <row r="56">
      <c r="B56" s="163" t="s">
        <v>36</v>
      </c>
      <c r="C56" s="165">
        <f>' Calculator -Z14 -medium'!H177</f>
        <v>1340988.4800001937</v>
      </c>
      <c r="D56" s="165">
        <f>' Calculator -x86 -medium'!H177</f>
        <v>946920.23999942432</v>
      </c>
      <c r="E56" s="162">
        <f t="shared" si="6"/>
        <v>0.29386400097986859</v>
      </c>
    </row>
    <row r="58">
      <c r="C58" s="165">
        <f>SUM(C46:C56)</f>
        <v>13956331.575984955</v>
      </c>
      <c r="D58" s="165">
        <f>SUM(D46:D56)</f>
        <v>11550634.5167948</v>
      </c>
    </row>
    <row r="60">
      <c r="B60" s="163" t="s">
        <v>664</v>
      </c>
      <c r="C60" s="0" t="s">
        <v>11</v>
      </c>
      <c r="D60" s="0" t="s">
        <v>12</v>
      </c>
    </row>
    <row r="61">
      <c r="B61" s="163" t="s">
        <v>21</v>
      </c>
    </row>
    <row r="62">
      <c r="B62" s="163" t="s">
        <v>22</v>
      </c>
      <c r="C62" s="165">
        <f>' Calculator -z14 Large'!H200</f>
        <v>2034240</v>
      </c>
      <c r="D62" s="165">
        <f>' Calculator -x86 Large '!H201</f>
        <v>1428221</v>
      </c>
      <c r="E62" s="162">
        <f ref="E62:E64" t="shared" si="7">(C62-D62)/C62</f>
        <v>0.29790929290545853</v>
      </c>
    </row>
    <row r="63">
      <c r="B63" s="163" t="s">
        <v>23</v>
      </c>
      <c r="C63" s="165">
        <f>' Calculator -z14 Large'!H201</f>
        <v>894856</v>
      </c>
      <c r="D63" s="165">
        <f>' Calculator -x86 Large '!H202</f>
        <v>3877689</v>
      </c>
      <c r="E63" s="162">
        <f t="shared" si="7"/>
        <v>-3.3333106108692347</v>
      </c>
    </row>
    <row r="64">
      <c r="B64" s="163" t="s">
        <v>24</v>
      </c>
      <c r="C64" s="165">
        <f>' Calculator -z14 Large'!H202</f>
        <v>616218.60000000009</v>
      </c>
      <c r="D64" s="165">
        <f>' Calculator -x86 Large '!H203</f>
        <v>2064475.2000000002</v>
      </c>
      <c r="E64" s="162">
        <f t="shared" si="7"/>
        <v>-2.3502318819977193</v>
      </c>
    </row>
    <row r="65">
      <c r="B65" s="163" t="s">
        <v>25</v>
      </c>
      <c r="C65" s="165">
        <f>SUM(C62:C64)</f>
        <v>3545314.6</v>
      </c>
      <c r="D65" s="165"/>
      <c r="E65" s="162"/>
    </row>
    <row r="66">
      <c r="B66" s="163" t="s">
        <v>26</v>
      </c>
      <c r="C66" s="165">
        <f>' Calculator -z14 Large'!H169</f>
        <v>645000</v>
      </c>
      <c r="D66" s="165">
        <f>' Calculator -x86 Large '!H169</f>
        <v>512160</v>
      </c>
      <c r="E66" s="162">
        <f ref="E66:E68" t="shared" si="8">(C66-D66)/C66</f>
        <v>0.205953488372093</v>
      </c>
    </row>
    <row r="67">
      <c r="B67" s="163" t="s">
        <v>27</v>
      </c>
      <c r="C67" s="165">
        <f>' Calculator -z14 Large'!H170</f>
        <v>2383500</v>
      </c>
      <c r="D67" s="165">
        <f>' Calculator -x86 Large '!H170</f>
        <v>2179200</v>
      </c>
      <c r="E67" s="162">
        <f t="shared" si="8"/>
        <v>0.085714285714285715</v>
      </c>
    </row>
    <row r="68">
      <c r="B68" s="163" t="s">
        <v>28</v>
      </c>
      <c r="C68" s="165">
        <f>' Calculator -z14 Large'!H171</f>
        <v>3480000</v>
      </c>
      <c r="D68" s="165">
        <f>' Calculator -x86 Large '!H171</f>
        <v>3045000</v>
      </c>
      <c r="E68" s="162">
        <f t="shared" si="8"/>
        <v>0.125</v>
      </c>
    </row>
    <row r="69">
      <c r="B69" s="163" t="s">
        <v>29</v>
      </c>
      <c r="C69" s="165"/>
      <c r="D69" s="165"/>
      <c r="E69" s="162"/>
    </row>
    <row r="70">
      <c r="B70" s="163" t="s">
        <v>30</v>
      </c>
      <c r="C70" s="165">
        <f>' Calculator -z14 Large'!H172</f>
        <v>2772000.0000000005</v>
      </c>
      <c r="D70" s="165">
        <f>' Calculator -x86 Large '!H172</f>
        <v>2587200.0000000009</v>
      </c>
      <c r="E70" s="162">
        <f ref="E70:E72" t="shared" si="9">(C70-D70)/C70</f>
        <v>0.066666666666666485</v>
      </c>
    </row>
    <row r="71">
      <c r="B71" s="163" t="s">
        <v>31</v>
      </c>
      <c r="C71" s="165">
        <f>' Calculator -z14 Large'!H173</f>
        <v>5481000.0000000009</v>
      </c>
      <c r="D71" s="165">
        <f>' Calculator -x86 Large '!H173</f>
        <v>4725000.0000000009</v>
      </c>
      <c r="E71" s="162">
        <f t="shared" si="9"/>
        <v>0.13793103448275859</v>
      </c>
    </row>
    <row r="72">
      <c r="B72" s="163" t="s">
        <v>32</v>
      </c>
      <c r="C72" s="165">
        <f>' Calculator -z14 Large'!H174</f>
        <v>716859.44062499993</v>
      </c>
      <c r="D72" s="165">
        <f>' Calculator -x86 Large '!H174</f>
        <v>630836.30774999992</v>
      </c>
      <c r="E72" s="162">
        <f t="shared" si="9"/>
        <v>0.12000000000000002</v>
      </c>
    </row>
    <row r="73">
      <c r="B73" s="163" t="s">
        <v>33</v>
      </c>
      <c r="C73" s="165"/>
      <c r="D73" s="165"/>
      <c r="E73" s="162"/>
    </row>
    <row r="74">
      <c r="B74" s="27" t="s">
        <v>34</v>
      </c>
      <c r="C74" s="165">
        <f>' Calculator -z14 Large'!H175</f>
        <v>3097566.7150684935</v>
      </c>
      <c r="D74" s="165">
        <f>' Calculator -x86 Large '!H175</f>
        <v>2710370.8756849309</v>
      </c>
      <c r="E74" s="162">
        <f ref="E74:E76" t="shared" si="10">(C74-D74)/C74</f>
        <v>0.12500000000000028</v>
      </c>
    </row>
    <row r="75">
      <c r="B75" s="163" t="s">
        <v>35</v>
      </c>
      <c r="C75" s="165">
        <f>' Calculator -z14 Large'!H176</f>
        <v>2025000</v>
      </c>
      <c r="D75" s="165">
        <f>' Calculator -x86 Large '!H176</f>
        <v>1714500</v>
      </c>
      <c r="E75" s="162">
        <f t="shared" si="10"/>
        <v>0.15333333333333332</v>
      </c>
    </row>
    <row r="76">
      <c r="B76" s="163" t="s">
        <v>36</v>
      </c>
      <c r="C76" s="165">
        <f>' Calculator -z14 Large'!H177</f>
        <v>3909558.5280006975</v>
      </c>
      <c r="D76" s="165">
        <f>' Calculator -x86 Large '!H177</f>
        <v>2810543.0399997458</v>
      </c>
      <c r="E76" s="162">
        <f t="shared" si="10"/>
        <v>0.28110986960028334</v>
      </c>
    </row>
    <row r="78">
      <c r="C78" s="165">
        <f>SUM(C66:C76)</f>
        <v>24510484.683694191</v>
      </c>
    </row>
    <row r="82">
      <c r="C82" s="0" t="s">
        <v>665</v>
      </c>
      <c r="D82" s="0" t="s">
        <v>666</v>
      </c>
      <c r="E82" s="0" t="s">
        <v>667</v>
      </c>
    </row>
    <row r="83">
      <c r="B83" s="163" t="s">
        <v>664</v>
      </c>
    </row>
    <row r="84">
      <c r="B84" s="163" t="s">
        <v>21</v>
      </c>
    </row>
    <row r="85">
      <c r="B85" s="163" t="s">
        <v>22</v>
      </c>
      <c r="C85" s="142">
        <f>E42</f>
        <v>0.12038320877723008</v>
      </c>
      <c r="D85" s="142">
        <f>E42</f>
        <v>0.12038320877723008</v>
      </c>
      <c r="E85" s="142">
        <f>E62</f>
        <v>0.29790929290545853</v>
      </c>
    </row>
    <row r="86">
      <c r="B86" s="163" t="s">
        <v>23</v>
      </c>
      <c r="C86" s="142">
        <f ref="C86:C99" t="shared" si="11">E43</f>
        <v>-3.2127491151404257</v>
      </c>
      <c r="D86" s="142">
        <f ref="D86:D99" t="shared" si="12">E43</f>
        <v>-3.2127491151404257</v>
      </c>
      <c r="E86" s="142">
        <f ref="E86:E99" t="shared" si="13">E63</f>
        <v>-3.3333106108692347</v>
      </c>
    </row>
    <row r="87">
      <c r="B87" s="163" t="s">
        <v>24</v>
      </c>
      <c r="C87" s="142">
        <f t="shared" si="11"/>
        <v>-1.718548904560816</v>
      </c>
      <c r="D87" s="142">
        <f t="shared" si="12"/>
        <v>-1.718548904560816</v>
      </c>
      <c r="E87" s="142">
        <f t="shared" si="13"/>
        <v>-2.3502318819977193</v>
      </c>
    </row>
    <row r="88">
      <c r="B88" s="163" t="s">
        <v>25</v>
      </c>
      <c r="C88" s="142"/>
      <c r="D88" s="142"/>
      <c r="E88" s="142"/>
    </row>
    <row r="89">
      <c r="B89" s="163" t="s">
        <v>26</v>
      </c>
      <c r="C89" s="142">
        <f t="shared" si="11"/>
        <v>0.21502851392150285</v>
      </c>
      <c r="D89" s="142">
        <f t="shared" si="12"/>
        <v>0.21502851392150285</v>
      </c>
      <c r="E89" s="142">
        <f t="shared" si="13"/>
        <v>0.205953488372093</v>
      </c>
    </row>
    <row r="90">
      <c r="B90" s="163" t="s">
        <v>27</v>
      </c>
      <c r="C90" s="142">
        <f t="shared" si="11"/>
        <v>0.33333333333333331</v>
      </c>
      <c r="D90" s="142">
        <f t="shared" si="12"/>
        <v>0.33333333333333331</v>
      </c>
      <c r="E90" s="142">
        <f t="shared" si="13"/>
        <v>0.085714285714285715</v>
      </c>
    </row>
    <row r="91">
      <c r="B91" s="163" t="s">
        <v>28</v>
      </c>
      <c r="C91" s="142">
        <f t="shared" si="11"/>
        <v>0.13333333333333333</v>
      </c>
      <c r="D91" s="142">
        <f t="shared" si="12"/>
        <v>0.13333333333333333</v>
      </c>
      <c r="E91" s="142">
        <f t="shared" si="13"/>
        <v>0.125</v>
      </c>
    </row>
    <row r="92">
      <c r="B92" s="163" t="s">
        <v>29</v>
      </c>
      <c r="C92" s="142"/>
      <c r="D92" s="142"/>
      <c r="E92" s="142"/>
    </row>
    <row r="93">
      <c r="B93" s="163" t="s">
        <v>30</v>
      </c>
      <c r="C93" s="142">
        <f t="shared" si="11"/>
        <v>0.11999999999999998</v>
      </c>
      <c r="D93" s="142">
        <f t="shared" si="12"/>
        <v>0.11999999999999998</v>
      </c>
      <c r="E93" s="142">
        <f t="shared" si="13"/>
        <v>0.066666666666666485</v>
      </c>
    </row>
    <row r="94">
      <c r="B94" s="163" t="s">
        <v>31</v>
      </c>
      <c r="C94" s="142">
        <f t="shared" si="11"/>
        <v>0.16666666666666655</v>
      </c>
      <c r="D94" s="142">
        <f t="shared" si="12"/>
        <v>0.16666666666666655</v>
      </c>
      <c r="E94" s="142">
        <f t="shared" si="13"/>
        <v>0.13793103448275859</v>
      </c>
    </row>
    <row r="95">
      <c r="B95" s="163" t="s">
        <v>32</v>
      </c>
      <c r="C95" s="142">
        <f t="shared" si="11"/>
        <v>0.090909090909090773</v>
      </c>
      <c r="D95" s="142">
        <f t="shared" si="12"/>
        <v>0.090909090909090773</v>
      </c>
      <c r="E95" s="142">
        <f t="shared" si="13"/>
        <v>0.12000000000000002</v>
      </c>
    </row>
    <row r="96">
      <c r="B96" s="163" t="s">
        <v>33</v>
      </c>
      <c r="C96" s="142"/>
      <c r="D96" s="142"/>
      <c r="E96" s="142"/>
    </row>
    <row r="97">
      <c r="B97" s="27" t="s">
        <v>34</v>
      </c>
      <c r="C97" s="142">
        <f t="shared" si="11"/>
        <v>0.11764705882352967</v>
      </c>
      <c r="D97" s="142">
        <f t="shared" si="12"/>
        <v>0.11764705882352967</v>
      </c>
      <c r="E97" s="142">
        <f t="shared" si="13"/>
        <v>0.12500000000000028</v>
      </c>
    </row>
    <row r="98">
      <c r="B98" s="163" t="s">
        <v>35</v>
      </c>
      <c r="C98" s="142">
        <f t="shared" si="11"/>
        <v>0.11738035264483628</v>
      </c>
      <c r="D98" s="142">
        <f t="shared" si="12"/>
        <v>0.11738035264483628</v>
      </c>
      <c r="E98" s="142">
        <f t="shared" si="13"/>
        <v>0.15333333333333332</v>
      </c>
    </row>
    <row r="99">
      <c r="B99" s="163" t="s">
        <v>36</v>
      </c>
      <c r="C99" s="142">
        <f t="shared" si="11"/>
        <v>0.29386400097986859</v>
      </c>
      <c r="D99" s="142">
        <f t="shared" si="12"/>
        <v>0.29386400097986859</v>
      </c>
      <c r="E99" s="142">
        <f t="shared" si="13"/>
        <v>0.28110986960028334</v>
      </c>
    </row>
  </sheetData>
  <mergeCells>
    <mergeCell ref="C12:D12"/>
    <mergeCell ref="E12:F12"/>
    <mergeCell ref="G12:H12"/>
    <mergeCell ref="C2:D2"/>
    <mergeCell ref="E2:F2"/>
    <mergeCell ref="G2:H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7" tint="0.39997558519241921"/>
  </sheetPr>
  <dimension ref="A2:O224"/>
  <sheetViews>
    <sheetView showGridLines="0" topLeftCell="A164" zoomScale="96" zoomScaleNormal="96" workbookViewId="0">
      <selection activeCell="E155" sqref="E155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  <col min="12" max="12" bestFit="1" width="13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Assumptions!E5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Assumptions!E7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Assumptions!E9</f>
        <v>0.2</v>
      </c>
      <c r="F8" s="45"/>
      <c r="G8" s="45"/>
      <c r="H8" s="269"/>
    </row>
    <row r="9" ht="15">
      <c r="C9" s="144" t="s">
        <v>354</v>
      </c>
      <c r="D9" s="145"/>
      <c r="E9" s="146">
        <f>Benefits!E7</f>
        <v>0.2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16000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Assumptions!E8</f>
        <v>4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Assumptions!E10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Benefits!E8</f>
        <v>0.2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Benefits!E8</f>
        <v>0.2</v>
      </c>
      <c r="F15" s="147"/>
      <c r="G15" s="147"/>
      <c r="H15" s="148"/>
      <c r="J15" s="0" t="s">
        <v>355</v>
      </c>
    </row>
    <row r="16" ht="15.6">
      <c r="C16" s="80" t="s">
        <v>361</v>
      </c>
      <c r="D16" s="81"/>
      <c r="E16" s="82">
        <f>E12*E13*E14*E15</f>
        <v>56000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72000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72000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Assumptions!E12</f>
        <v>2</v>
      </c>
      <c r="F24" s="9"/>
      <c r="G24" s="9"/>
      <c r="H24" s="11"/>
    </row>
    <row r="25">
      <c r="C25" s="10" t="s">
        <v>366</v>
      </c>
      <c r="D25" s="31"/>
      <c r="E25" s="12">
        <f>Assumptions!E13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Benefits!E10</f>
        <v>0.25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100000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Assumptions!E14</f>
        <v>3</v>
      </c>
      <c r="F29" s="9"/>
      <c r="G29" s="9"/>
      <c r="H29" s="11"/>
    </row>
    <row r="30">
      <c r="C30" s="10" t="s">
        <v>370</v>
      </c>
      <c r="D30" s="31"/>
      <c r="E30" s="46">
        <f>Assumptions!E15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Benefits!E11</f>
        <v>0.25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112500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Assumptions!E16</f>
        <v>4</v>
      </c>
      <c r="F34" s="9"/>
      <c r="G34" s="9"/>
      <c r="H34" s="11"/>
    </row>
    <row r="35">
      <c r="C35" s="10" t="s">
        <v>374</v>
      </c>
      <c r="D35" s="31"/>
      <c r="E35" s="46">
        <f>Assumptions!E17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Benefits!E12</f>
        <v>0.25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332500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332500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Assumptions!E19</f>
        <v>25</v>
      </c>
      <c r="F46" s="9"/>
      <c r="G46" s="9"/>
      <c r="H46" s="11"/>
    </row>
    <row r="47">
      <c r="C47" s="10" t="s">
        <v>380</v>
      </c>
      <c r="D47" s="31"/>
      <c r="E47" s="15">
        <f>Assumptions!E21</f>
        <v>120000</v>
      </c>
      <c r="F47" s="9"/>
      <c r="G47" s="9"/>
      <c r="H47" s="11"/>
    </row>
    <row r="48">
      <c r="C48" s="10" t="s">
        <v>381</v>
      </c>
      <c r="D48" s="31"/>
      <c r="E48" s="17">
        <f>Assumptions!E20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Benefits!E14</f>
        <v>0.25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75000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Assumptions!E22</f>
        <v>100</v>
      </c>
      <c r="F52" s="9"/>
      <c r="G52" s="9"/>
      <c r="H52" s="11"/>
    </row>
    <row r="53">
      <c r="C53" s="10" t="s">
        <v>385</v>
      </c>
      <c r="D53" s="31"/>
      <c r="E53" s="15">
        <f>Assumptions!E24</f>
        <v>100000</v>
      </c>
      <c r="F53" s="9"/>
      <c r="G53" s="9"/>
      <c r="H53" s="11"/>
    </row>
    <row r="54">
      <c r="C54" s="10" t="s">
        <v>381</v>
      </c>
      <c r="D54" s="31"/>
      <c r="E54" s="17">
        <f>Assumptions!E23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Benefits!E15</f>
        <v>0.25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250000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388</v>
      </c>
      <c r="D58" s="31"/>
      <c r="E58" s="15">
        <f>SUM(E50+E56)</f>
        <v>325000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325000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Assumptions!E26</f>
        <v>4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Benefits!E18</f>
        <v>0.2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Assumptions!E27</f>
        <v>5000000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Assumptions!E28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560000.00000000012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560000.00000000012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560000.00000000012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Assumptions!E30</f>
        <v>4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Benefits!E20</f>
        <v>0.38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Assumptions!E31</f>
        <v>4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Assumptions!E32</f>
        <v>5000000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Assumptions!E33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354666.66666666674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354666.66666666674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354666.66666666674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Assumptions!E35</f>
        <v>3031667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Assumptions!E36</f>
        <v>0.0875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Benefits!E22</f>
        <v>0.2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53054.1725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Assumptions!E39</f>
        <v>2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Benefits!E23</f>
        <v>0.2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Assumptions!E37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Assumptions!E38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16000.000000000004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69054.1725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69054.1725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668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Assumptions!E41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Assumptions!E42</f>
        <v>6.9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Benefits!E26</f>
        <v>0.12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Benefits!E27</f>
        <v>0.18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37.093848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Assumptions!E43</f>
        <v>3000000</v>
      </c>
      <c r="F114" s="23"/>
      <c r="G114" s="23"/>
      <c r="H114" s="24"/>
    </row>
    <row r="115" ht="18" customHeight="1">
      <c r="C115" s="99" t="s">
        <v>669</v>
      </c>
      <c r="D115" s="284"/>
      <c r="E115" s="284">
        <f>E108*E111</f>
        <v>0.894</v>
      </c>
      <c r="F115" s="100"/>
      <c r="G115" s="100"/>
      <c r="H115" s="101"/>
    </row>
    <row r="116" ht="16.95" customHeight="1">
      <c r="C116" s="285" t="s">
        <v>670</v>
      </c>
      <c r="D116" s="286"/>
      <c r="E116" s="604">
        <v>0.1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E114*E115*E116</f>
        <v>268200</v>
      </c>
      <c r="F117" s="115"/>
      <c r="G117" s="115"/>
      <c r="H117" s="116"/>
    </row>
    <row r="118" ht="17.4" customHeight="1">
      <c r="C118" s="25" t="s">
        <v>428</v>
      </c>
      <c r="D118" s="35"/>
      <c r="E118" s="35">
        <f>Assumptions!E44</f>
        <v>2</v>
      </c>
      <c r="F118" s="23"/>
      <c r="G118" s="23"/>
      <c r="H118" s="24"/>
    </row>
    <row r="119" ht="19.2" customHeight="1">
      <c r="C119" s="99" t="s">
        <v>671</v>
      </c>
      <c r="D119" s="289"/>
      <c r="E119" s="605">
        <f>E110*E112*E118*24*(E120/2000)</f>
        <v>33310.44</v>
      </c>
      <c r="F119" s="100"/>
      <c r="G119" s="100"/>
      <c r="H119" s="101"/>
    </row>
    <row r="120" ht="16.2" customHeight="1">
      <c r="C120" s="27" t="s">
        <v>430</v>
      </c>
      <c r="D120" s="42"/>
      <c r="E120" s="263">
        <f>Assumptions!E45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E119*E118</f>
        <v>66620.88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334820.88</v>
      </c>
      <c r="F123" s="91"/>
      <c r="G123" s="91"/>
      <c r="H123" s="92"/>
    </row>
    <row r="124" ht="15">
      <c r="C124" s="168" t="s">
        <v>433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334820.88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Assumptions!E47</f>
        <v>2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Assumptions!E48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Assumptions!E49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Benefits!E29</f>
        <v>0.3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45000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Assumptions!E50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Assumptions!E51</f>
        <v>0.02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445</v>
      </c>
      <c r="D138" s="161"/>
      <c r="E138" s="161">
        <f>Benefits!E30</f>
        <v>0.5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250000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295000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295000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Assumptions!E53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Assumptions!E54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Assumptions!E55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Benefits!E32</f>
        <v>0.25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194997.60000004037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Assumptions!E56</f>
        <v>2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Assumptions!E57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Assumptions!E58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Benefits!E33</f>
        <v>0.2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60000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254997.60000004037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396</v>
      </c>
      <c r="D164" s="123"/>
      <c r="E164" s="126">
        <f>E162*(1-E163)</f>
        <v>254997.60000004037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72000</v>
      </c>
      <c r="F169" s="47">
        <f>E169</f>
        <v>72000</v>
      </c>
      <c r="G169" s="47">
        <f>F169</f>
        <v>72000</v>
      </c>
      <c r="H169" s="53">
        <f>SUM(E169:G169)</f>
        <v>216000</v>
      </c>
      <c r="J169" s="50">
        <f>E169/$E$178</f>
        <v>0.027713206443347141</v>
      </c>
    </row>
    <row r="170" ht="17.4" customHeight="1">
      <c r="C170" s="25" t="s">
        <v>27</v>
      </c>
      <c r="D170" s="36"/>
      <c r="E170" s="47">
        <f>E41</f>
        <v>332500</v>
      </c>
      <c r="F170" s="47">
        <f ref="F170:G170" t="shared" si="0">E170</f>
        <v>332500</v>
      </c>
      <c r="G170" s="47">
        <f t="shared" si="0"/>
        <v>332500</v>
      </c>
      <c r="H170" s="53">
        <f ref="H170:H177" t="shared" si="1">SUM(E170:G170)</f>
        <v>997500</v>
      </c>
      <c r="J170" s="50">
        <f ref="J170:J177" t="shared" si="2">E170/$E$178</f>
        <v>0.12798112697795727</v>
      </c>
    </row>
    <row r="171" ht="21" customHeight="1">
      <c r="C171" s="27" t="s">
        <v>28</v>
      </c>
      <c r="D171" s="37"/>
      <c r="E171" s="47">
        <f>E60</f>
        <v>325000</v>
      </c>
      <c r="F171" s="47">
        <f ref="F171:G171" t="shared" si="3">E171</f>
        <v>325000</v>
      </c>
      <c r="G171" s="47">
        <f t="shared" si="3"/>
        <v>325000</v>
      </c>
      <c r="H171" s="53">
        <f t="shared" si="1"/>
        <v>975000</v>
      </c>
      <c r="J171" s="50">
        <f t="shared" si="2"/>
        <v>0.12509433464010863</v>
      </c>
    </row>
    <row r="172" ht="21" customHeight="1">
      <c r="C172" s="27" t="s">
        <v>30</v>
      </c>
      <c r="D172" s="36"/>
      <c r="E172" s="47">
        <f>E72</f>
        <v>560000.00000000012</v>
      </c>
      <c r="F172" s="47">
        <f ref="F172:G172" t="shared" si="4">E172</f>
        <v>560000.00000000012</v>
      </c>
      <c r="G172" s="47">
        <f t="shared" si="4"/>
        <v>560000.00000000012</v>
      </c>
      <c r="H172" s="53">
        <f t="shared" si="1"/>
        <v>1680000.0000000005</v>
      </c>
      <c r="J172" s="50">
        <f t="shared" si="2"/>
        <v>0.21554716122603337</v>
      </c>
    </row>
    <row r="173" ht="21" customHeight="1">
      <c r="C173" s="27" t="s">
        <v>31</v>
      </c>
      <c r="D173" s="35"/>
      <c r="E173" s="47">
        <f>E86</f>
        <v>354666.66666666674</v>
      </c>
      <c r="F173" s="47">
        <f ref="F173:G173" t="shared" si="5">E173</f>
        <v>354666.66666666674</v>
      </c>
      <c r="G173" s="47">
        <f t="shared" si="5"/>
        <v>354666.66666666674</v>
      </c>
      <c r="H173" s="53">
        <f t="shared" si="1"/>
        <v>1064000.0000000002</v>
      </c>
      <c r="J173" s="50">
        <f t="shared" si="2"/>
        <v>0.13651320210982113</v>
      </c>
    </row>
    <row r="174" ht="21" customHeight="1">
      <c r="C174" s="27" t="s">
        <v>32</v>
      </c>
      <c r="E174" s="47">
        <f>E103</f>
        <v>69054.1725</v>
      </c>
      <c r="F174" s="47">
        <f ref="F174:G174" t="shared" si="6">E174</f>
        <v>69054.1725</v>
      </c>
      <c r="G174" s="47">
        <f t="shared" si="6"/>
        <v>69054.1725</v>
      </c>
      <c r="H174" s="53">
        <f t="shared" si="1"/>
        <v>207162.51750000002</v>
      </c>
      <c r="J174" s="50">
        <f t="shared" si="2"/>
        <v>0.026579340809263958</v>
      </c>
    </row>
    <row r="175" ht="21" customHeight="1">
      <c r="C175" s="27" t="s">
        <v>34</v>
      </c>
      <c r="D175" s="38"/>
      <c r="E175" s="47">
        <f>E125</f>
        <v>334820.88</v>
      </c>
      <c r="F175" s="47">
        <f ref="F175:G175" t="shared" si="7">E175</f>
        <v>334820.88</v>
      </c>
      <c r="G175" s="47">
        <f t="shared" si="7"/>
        <v>334820.88</v>
      </c>
      <c r="H175" s="53">
        <f t="shared" si="1"/>
        <v>1004462.64</v>
      </c>
      <c r="J175" s="50">
        <f t="shared" si="2"/>
        <v>0.12887444679143278</v>
      </c>
    </row>
    <row r="176" ht="21" customHeight="1">
      <c r="C176" s="27" t="s">
        <v>35</v>
      </c>
      <c r="D176" s="38"/>
      <c r="E176" s="47">
        <f>E143</f>
        <v>295000</v>
      </c>
      <c r="F176" s="47">
        <f ref="F176:G176" t="shared" si="8">E176</f>
        <v>295000</v>
      </c>
      <c r="G176" s="47">
        <f t="shared" si="8"/>
        <v>295000</v>
      </c>
      <c r="H176" s="53">
        <f t="shared" si="1"/>
        <v>885000</v>
      </c>
      <c r="J176" s="50">
        <f t="shared" si="2"/>
        <v>0.11354716528871398</v>
      </c>
    </row>
    <row r="177" ht="21" customHeight="1">
      <c r="C177" s="27" t="s">
        <v>36</v>
      </c>
      <c r="D177" s="38"/>
      <c r="E177" s="47">
        <f>E164</f>
        <v>254997.60000004037</v>
      </c>
      <c r="F177" s="47">
        <f ref="F177:G177" t="shared" si="9">E177</f>
        <v>254997.60000004037</v>
      </c>
      <c r="G177" s="47">
        <f t="shared" si="9"/>
        <v>254997.60000004037</v>
      </c>
      <c r="H177" s="53">
        <f t="shared" si="1"/>
        <v>764992.80000012112</v>
      </c>
      <c r="J177" s="50">
        <f t="shared" si="2"/>
        <v>0.098150015713321881</v>
      </c>
    </row>
    <row r="178" ht="21" customHeight="1">
      <c r="C178" s="49" t="s">
        <v>45</v>
      </c>
      <c r="D178" s="126"/>
      <c r="E178" s="126">
        <f>SUM(E169:E177)</f>
        <v>2598039.3191667069</v>
      </c>
      <c r="F178" s="126">
        <f ref="F178:G178" t="shared" si="10">SUM(F169:F177)</f>
        <v>2598039.3191667069</v>
      </c>
      <c r="G178" s="126">
        <f t="shared" si="10"/>
        <v>2598039.3191667069</v>
      </c>
      <c r="H178" s="129">
        <f>SUM(H169:H177)</f>
        <v>7794117.9575001216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Costs!E27</f>
        <v>668900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Costs!E24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Costs!E25</f>
        <v>40000</v>
      </c>
      <c r="E186" s="38">
        <v>0</v>
      </c>
      <c r="F186" s="38"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Costs!E26</f>
        <v>359378</v>
      </c>
      <c r="E187" s="40">
        <v>0</v>
      </c>
      <c r="F187" s="40">
        <f>E187</f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1068278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Costs!E20</f>
        <v>0</v>
      </c>
      <c r="E192" s="38">
        <f>D192</f>
        <v>0</v>
      </c>
      <c r="F192" s="38">
        <f>E192</f>
        <v>0</v>
      </c>
      <c r="G192" s="38"/>
      <c r="H192" s="131">
        <f ref="H192:H195" t="shared" si="12">SUM(D192:G192)</f>
        <v>0</v>
      </c>
      <c r="I192" s="650"/>
      <c r="J192" s="650"/>
    </row>
    <row r="193">
      <c r="C193" s="0" t="s">
        <v>284</v>
      </c>
      <c r="D193" s="165">
        <f>Costs!E21</f>
        <v>0</v>
      </c>
      <c r="E193" s="38">
        <f ref="E193:F193" t="shared" si="13">D193</f>
        <v>0</v>
      </c>
      <c r="F193" s="38">
        <f t="shared" si="13"/>
        <v>0</v>
      </c>
      <c r="G193" s="35"/>
      <c r="H193" s="131">
        <f t="shared" si="12"/>
        <v>0</v>
      </c>
      <c r="I193" s="650"/>
      <c r="J193" s="650"/>
    </row>
    <row r="194">
      <c r="C194" s="0" t="s">
        <v>472</v>
      </c>
      <c r="D194" s="165">
        <v>0</v>
      </c>
      <c r="E194" s="165">
        <v>0</v>
      </c>
      <c r="F194" s="165">
        <v>0</v>
      </c>
      <c r="G194" s="35"/>
      <c r="H194" s="131">
        <f t="shared" si="12"/>
        <v>0</v>
      </c>
      <c r="I194" s="650"/>
      <c r="J194" s="650"/>
    </row>
    <row r="195">
      <c r="C195" s="0" t="s">
        <v>229</v>
      </c>
      <c r="D195" s="165">
        <f>Costs!E23</f>
        <v>205406.2</v>
      </c>
      <c r="E195" s="38">
        <f ref="E195:F195" t="shared" si="14">D195</f>
        <v>205406.2</v>
      </c>
      <c r="F195" s="38">
        <f t="shared" si="14"/>
        <v>205406.2</v>
      </c>
      <c r="G195" s="35"/>
      <c r="H195" s="131">
        <f t="shared" si="12"/>
        <v>616218.60000000009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205406.2</v>
      </c>
      <c r="E197" s="128">
        <f>SUM(E192:E196)</f>
        <v>205406.2</v>
      </c>
      <c r="F197" s="128">
        <f>SUM(F192:F196)</f>
        <v>205406.2</v>
      </c>
      <c r="G197" s="128">
        <f>SUM(G192:G196)</f>
        <v>0</v>
      </c>
      <c r="H197" s="140">
        <f>SUM(D197:G197)</f>
        <v>616218.60000000009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668900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668900</v>
      </c>
      <c r="I201" s="650"/>
      <c r="J201" s="650"/>
    </row>
    <row r="202">
      <c r="C202" s="27" t="s">
        <v>23</v>
      </c>
      <c r="D202" s="38">
        <f>SUM(D185:D187)</f>
        <v>399378</v>
      </c>
      <c r="E202" s="38">
        <f>SUM(E185:E187)</f>
        <v>0</v>
      </c>
      <c r="F202" s="38">
        <f>SUM(F185:F187)</f>
        <v>0</v>
      </c>
      <c r="G202" s="38"/>
      <c r="H202" s="52">
        <f>SUM(D202:G202)</f>
        <v>399378</v>
      </c>
      <c r="I202" s="650"/>
      <c r="J202" s="650"/>
    </row>
    <row r="203" ht="15">
      <c r="C203" s="27" t="s">
        <v>24</v>
      </c>
      <c r="D203" s="51">
        <f>D197</f>
        <v>205406.2</v>
      </c>
      <c r="E203" s="51">
        <f>E197</f>
        <v>205406.2</v>
      </c>
      <c r="F203" s="51">
        <f>F197</f>
        <v>205406.2</v>
      </c>
      <c r="G203" s="51">
        <f>G197</f>
        <v>0</v>
      </c>
      <c r="H203" s="52">
        <f>SUM(D203:G203)</f>
        <v>616218.60000000009</v>
      </c>
      <c r="I203" s="650"/>
      <c r="J203" s="650"/>
    </row>
    <row r="204" ht="15">
      <c r="C204" s="134" t="s">
        <v>40</v>
      </c>
      <c r="D204" s="135">
        <f>SUM(D201:D203)</f>
        <v>1273684.2</v>
      </c>
      <c r="E204" s="135">
        <f>SUM(E201:E203)</f>
        <v>205406.2</v>
      </c>
      <c r="F204" s="135">
        <f>SUM(F201:F203)</f>
        <v>205406.2</v>
      </c>
      <c r="G204" s="135">
        <f>SUM(G201:G203)</f>
        <v>0</v>
      </c>
      <c r="H204" s="136">
        <f>SUM(H201:H203)</f>
        <v>1684496.6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1273684.2</v>
      </c>
      <c r="E206" s="138">
        <f ref="E206:H206" t="shared" si="15">E204*(1+E205)</f>
        <v>205406.2</v>
      </c>
      <c r="F206" s="138">
        <f t="shared" si="15"/>
        <v>205406.2</v>
      </c>
      <c r="G206" s="138">
        <f t="shared" si="15"/>
        <v>0</v>
      </c>
      <c r="H206" s="139">
        <f t="shared" si="15"/>
        <v>1684496.6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  <c r="L210" s="0">
        <f>D213/E213</f>
        <v>-0.53233577258330012</v>
      </c>
    </row>
    <row r="211">
      <c r="C211" s="56" t="s">
        <v>15</v>
      </c>
      <c r="D211" s="65"/>
      <c r="E211" s="66">
        <f>E178</f>
        <v>2598039.3191667069</v>
      </c>
      <c r="F211" s="66">
        <f>F178</f>
        <v>2598039.3191667069</v>
      </c>
      <c r="G211" s="66">
        <f>G178</f>
        <v>2598039.3191667069</v>
      </c>
      <c r="H211" s="67">
        <f>H178</f>
        <v>7794117.9575001216</v>
      </c>
      <c r="I211" s="650"/>
      <c r="J211" s="650"/>
      <c r="K211" s="274"/>
    </row>
    <row r="212" ht="15">
      <c r="C212" s="16" t="s">
        <v>16</v>
      </c>
      <c r="D212" s="58">
        <f>D206</f>
        <v>1273684.2</v>
      </c>
      <c r="E212" s="58">
        <f ref="E212:H212" t="shared" si="16">E206</f>
        <v>205406.2</v>
      </c>
      <c r="F212" s="58">
        <f t="shared" si="16"/>
        <v>205406.2</v>
      </c>
      <c r="G212" s="58">
        <f t="shared" si="16"/>
        <v>0</v>
      </c>
      <c r="H212" s="275">
        <f t="shared" si="16"/>
        <v>1684496.6</v>
      </c>
      <c r="I212" s="650"/>
      <c r="J212" s="650"/>
      <c r="K212" s="389"/>
    </row>
    <row r="213" ht="15">
      <c r="C213" s="10" t="s">
        <v>49</v>
      </c>
      <c r="D213" s="34">
        <f>D211-D212</f>
        <v>-1273684.2</v>
      </c>
      <c r="E213" s="34">
        <f ref="E213:H213" t="shared" si="17">E211-E212</f>
        <v>2392633.1191667067</v>
      </c>
      <c r="F213" s="34">
        <f t="shared" si="17"/>
        <v>2392633.1191667067</v>
      </c>
      <c r="G213" s="34">
        <f t="shared" si="17"/>
        <v>2598039.3191667069</v>
      </c>
      <c r="H213" s="68">
        <f t="shared" si="17"/>
        <v>6109621.357500121</v>
      </c>
      <c r="I213" s="650"/>
      <c r="J213" s="650"/>
      <c r="K213" s="389">
        <f>D213/E212</f>
        <v>-6.2008069863519211</v>
      </c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8">E211</f>
        <v>2598039.3191667069</v>
      </c>
      <c r="F216" s="34">
        <f t="shared" si="18"/>
        <v>2598039.3191667069</v>
      </c>
      <c r="G216" s="34">
        <f t="shared" si="18"/>
        <v>2598039.3191667069</v>
      </c>
      <c r="H216" s="68">
        <f t="shared" si="18"/>
        <v>7794117.9575001216</v>
      </c>
      <c r="I216" s="650"/>
      <c r="J216" s="650"/>
    </row>
    <row r="217">
      <c r="C217" s="10" t="s">
        <v>52</v>
      </c>
      <c r="D217" s="34">
        <f>-D213</f>
        <v>1273684.2</v>
      </c>
      <c r="E217" s="34">
        <f>-($D$213+SUM($E$216:E216))</f>
        <v>-1324355.1191667069</v>
      </c>
      <c r="F217" s="34">
        <f>-($D$213+SUM($E$216:F216))</f>
        <v>-3922394.4383334136</v>
      </c>
      <c r="G217" s="34">
        <f>-($D$213+SUM($E$216:G216))</f>
        <v>-6520433.75750012</v>
      </c>
      <c r="H217" s="68"/>
      <c r="I217" s="650"/>
      <c r="J217" s="650"/>
      <c r="L217" s="143">
        <f>E211/12</f>
        <v>216503.27659722557</v>
      </c>
    </row>
    <row r="218">
      <c r="C218" s="10"/>
      <c r="D218" s="34"/>
      <c r="E218" s="34"/>
      <c r="F218" s="34"/>
      <c r="G218" s="34"/>
      <c r="H218" s="68"/>
      <c r="I218" s="650"/>
      <c r="J218" s="650"/>
      <c r="L218" s="388">
        <f>D213/L217</f>
        <v>-5.8829788630382414</v>
      </c>
    </row>
    <row r="219" ht="15">
      <c r="C219" s="10"/>
      <c r="D219" s="34"/>
      <c r="E219" s="34"/>
      <c r="F219" s="34"/>
      <c r="G219" s="34"/>
      <c r="H219" s="68"/>
      <c r="I219" s="650"/>
      <c r="J219" s="650"/>
    </row>
    <row r="220" ht="13.95" customHeight="1">
      <c r="C220" s="59" t="s">
        <v>53</v>
      </c>
      <c r="D220" s="60">
        <f>(H211-H212)/H212</f>
        <v>3.6269716172179396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8839051.438985955</v>
      </c>
      <c r="E221" s="34"/>
      <c r="F221" s="34"/>
      <c r="G221" s="34"/>
      <c r="H221" s="68"/>
      <c r="I221" s="650"/>
      <c r="J221" s="650"/>
    </row>
    <row r="222">
      <c r="C222" s="61" t="s">
        <v>476</v>
      </c>
      <c r="D222" s="273">
        <f>ABS(D217/E216)*12</f>
        <v>5.8829788630382414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1684496.6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7" tint="0.39997558519241921"/>
  </sheetPr>
  <dimension ref="A2:O224"/>
  <sheetViews>
    <sheetView showGridLines="0" topLeftCell="A163" zoomScale="96" zoomScaleNormal="96" workbookViewId="0">
      <selection activeCell="D222" sqref="D222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11.44140625" customWidth="1"/>
    <col min="12" max="12" bestFit="1" width="10.3320312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Assumptions!F5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Assumptions!F7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Assumptions!F9</f>
        <v>0.2</v>
      </c>
      <c r="F8" s="45"/>
      <c r="G8" s="45"/>
      <c r="H8" s="269"/>
    </row>
    <row r="9" ht="15">
      <c r="C9" s="144" t="s">
        <v>354</v>
      </c>
      <c r="D9" s="145"/>
      <c r="E9" s="146">
        <f>Benefits!F7</f>
        <v>0.18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14400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Assumptions!F8</f>
        <v>4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Assumptions!F10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Benefits!F8</f>
        <v>0.18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Benefits!F8</f>
        <v>0.18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45360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59760</v>
      </c>
      <c r="F18" s="9"/>
      <c r="G18" s="9"/>
      <c r="H18" s="11"/>
    </row>
    <row r="19" ht="15">
      <c r="C19" s="168" t="s">
        <v>46</v>
      </c>
      <c r="D19" s="169"/>
      <c r="E19" s="170"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59760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Assumptions!F12</f>
        <v>2</v>
      </c>
      <c r="F24" s="9"/>
      <c r="G24" s="9"/>
      <c r="H24" s="11"/>
    </row>
    <row r="25">
      <c r="C25" s="10" t="s">
        <v>366</v>
      </c>
      <c r="D25" s="31"/>
      <c r="E25" s="12">
        <f>Assumptions!F13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Benefits!F10</f>
        <v>0.22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88000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Assumptions!F14</f>
        <v>3</v>
      </c>
      <c r="F29" s="9"/>
      <c r="G29" s="9"/>
      <c r="H29" s="11"/>
    </row>
    <row r="30">
      <c r="C30" s="10" t="s">
        <v>370</v>
      </c>
      <c r="D30" s="31"/>
      <c r="E30" s="46">
        <f>Assumptions!F15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Benefits!F11</f>
        <v>0.22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99000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Assumptions!F16</f>
        <v>4</v>
      </c>
      <c r="F34" s="9"/>
      <c r="G34" s="9"/>
      <c r="H34" s="11"/>
    </row>
    <row r="35">
      <c r="C35" s="10" t="s">
        <v>374</v>
      </c>
      <c r="D35" s="31"/>
      <c r="E35" s="46">
        <f>Assumptions!F17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Benefits!F12</f>
        <v>0.22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105600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292600</v>
      </c>
      <c r="F39" s="9"/>
      <c r="G39" s="9"/>
      <c r="H39" s="11"/>
    </row>
    <row r="40" ht="15">
      <c r="C40" s="168" t="s">
        <v>46</v>
      </c>
      <c r="D40" s="169"/>
      <c r="E40" s="170"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292600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Assumptions!F19</f>
        <v>25</v>
      </c>
      <c r="F46" s="9"/>
      <c r="G46" s="9"/>
      <c r="H46" s="11"/>
    </row>
    <row r="47">
      <c r="C47" s="10" t="s">
        <v>380</v>
      </c>
      <c r="D47" s="31"/>
      <c r="E47" s="15">
        <f>Assumptions!F21</f>
        <v>120000</v>
      </c>
      <c r="F47" s="9"/>
      <c r="G47" s="9"/>
      <c r="H47" s="11"/>
    </row>
    <row r="48">
      <c r="C48" s="10" t="s">
        <v>381</v>
      </c>
      <c r="D48" s="31"/>
      <c r="E48" s="17">
        <f>Assumptions!F20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Benefits!F14</f>
        <v>0.23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69000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Assumptions!F22</f>
        <v>100</v>
      </c>
      <c r="F52" s="9"/>
      <c r="G52" s="9"/>
      <c r="H52" s="11"/>
    </row>
    <row r="53">
      <c r="C53" s="10" t="s">
        <v>385</v>
      </c>
      <c r="D53" s="31"/>
      <c r="E53" s="15">
        <f>Assumptions!F24</f>
        <v>100000</v>
      </c>
      <c r="F53" s="9"/>
      <c r="G53" s="9"/>
      <c r="H53" s="11"/>
    </row>
    <row r="54">
      <c r="C54" s="10" t="s">
        <v>381</v>
      </c>
      <c r="D54" s="31"/>
      <c r="E54" s="17">
        <f>Assumptions!F23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Benefits!F15</f>
        <v>0.23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230000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299000</v>
      </c>
      <c r="F58" s="9"/>
      <c r="G58" s="9"/>
      <c r="H58" s="11"/>
    </row>
    <row r="59" ht="15">
      <c r="C59" s="168" t="s">
        <v>46</v>
      </c>
      <c r="D59" s="169"/>
      <c r="E59" s="170"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299000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Assumptions!F26</f>
        <v>4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Benefits!F18</f>
        <v>0.18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Assumptions!F27</f>
        <v>5000000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Assumptions!F28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504000.00000000006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504000.00000000006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504000.00000000006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Assumptions!F30</f>
        <v>4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Benefits!F20</f>
        <v>0.3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Assumptions!F31</f>
        <v>4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Assumptions!F32</f>
        <v>5000000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Assumptions!F33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280000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280000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280000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Assumptions!F35</f>
        <v>3031667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Assumptions!F36</f>
        <v>0.0875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Benefits!F22</f>
        <v>0.18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47748.755249999995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Assumptions!F39</f>
        <v>2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Benefits!F23</f>
        <v>0.18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Assumptions!F37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Assumptions!F38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14399.999999999998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62148.755249999995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62148.755249999995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Assumptions!F41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Assumptions!F42</f>
        <v>6.9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Benefits!F26</f>
        <v>0.19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Benefits!F27</f>
        <v>0.19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33.7268205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Assumptions!F43</f>
        <v>3000000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8219.17808219178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277206.74383561645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Assumptions!F44</f>
        <v>2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33.7268205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Assumptions!F45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5059.023075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282265.76691061642</v>
      </c>
      <c r="F123" s="91"/>
      <c r="G123" s="91"/>
      <c r="H123" s="92"/>
    </row>
    <row r="124" ht="15">
      <c r="C124" s="168" t="s">
        <v>433</v>
      </c>
      <c r="D124" s="174"/>
      <c r="E124" s="175"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282265.76691061642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Assumptions!F47</f>
        <v>2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Assumptions!F48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Assumptions!F49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Benefits!F29</f>
        <v>0.18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27000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Assumptions!F50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Assumptions!F51</f>
        <v>0.02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Benefits!F30</f>
        <v>0.48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240000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267000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267000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Assumptions!F53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0.87599999999990352</v>
      </c>
    </row>
    <row r="151" ht="15.6" customHeight="1">
      <c r="C151" s="27" t="s">
        <v>454</v>
      </c>
      <c r="D151" s="36"/>
      <c r="E151" s="36">
        <f>Assumptions!F54</f>
        <v>0.99995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0.43799999999995176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0.87599999999990352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Assumptions!F55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Benefits!F32</f>
        <v>0.23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128141.2799999859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Assumptions!F56</f>
        <v>2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Assumptions!F57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Assumptions!F58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Benefits!F33</f>
        <v>0.18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54000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182141.27999998588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182141.27999998588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59760</v>
      </c>
      <c r="F169" s="47">
        <f>E169</f>
        <v>59760</v>
      </c>
      <c r="G169" s="47">
        <f>F169</f>
        <v>59760</v>
      </c>
      <c r="H169" s="53">
        <f>SUM(E169:G169)</f>
        <v>179280</v>
      </c>
      <c r="J169" s="50">
        <f>E169/$E$178</f>
        <v>0.026811241565101552</v>
      </c>
    </row>
    <row r="170" ht="17.4" customHeight="1">
      <c r="C170" s="25" t="s">
        <v>27</v>
      </c>
      <c r="D170" s="36"/>
      <c r="E170" s="47">
        <f>E41</f>
        <v>292600</v>
      </c>
      <c r="F170" s="47">
        <f ref="F170:G177" t="shared" si="0">E170</f>
        <v>292600</v>
      </c>
      <c r="G170" s="47">
        <f t="shared" si="0"/>
        <v>292600</v>
      </c>
      <c r="H170" s="53">
        <f ref="H170:H177" t="shared" si="1">SUM(E170:G170)</f>
        <v>877800</v>
      </c>
      <c r="J170" s="50">
        <f ref="J170:J177" t="shared" si="2">E170/$E$178</f>
        <v>0.13127458637799053</v>
      </c>
    </row>
    <row r="171" ht="21" customHeight="1">
      <c r="C171" s="27" t="s">
        <v>28</v>
      </c>
      <c r="D171" s="37"/>
      <c r="E171" s="47">
        <f>E60</f>
        <v>299000</v>
      </c>
      <c r="F171" s="47">
        <f t="shared" si="0"/>
        <v>299000</v>
      </c>
      <c r="G171" s="47">
        <f t="shared" si="0"/>
        <v>299000</v>
      </c>
      <c r="H171" s="53">
        <f t="shared" si="1"/>
        <v>897000</v>
      </c>
      <c r="J171" s="50">
        <f t="shared" si="2"/>
        <v>0.1341459375496212</v>
      </c>
    </row>
    <row r="172" ht="21" customHeight="1">
      <c r="C172" s="27" t="s">
        <v>30</v>
      </c>
      <c r="D172" s="36"/>
      <c r="E172" s="47">
        <f>E72</f>
        <v>504000.00000000006</v>
      </c>
      <c r="F172" s="47">
        <f t="shared" si="0"/>
        <v>504000.00000000006</v>
      </c>
      <c r="G172" s="47">
        <f t="shared" si="0"/>
        <v>504000.00000000006</v>
      </c>
      <c r="H172" s="53">
        <f t="shared" si="1"/>
        <v>1512000.0000000002</v>
      </c>
      <c r="J172" s="50">
        <f t="shared" si="2"/>
        <v>0.22611890476591673</v>
      </c>
    </row>
    <row r="173" ht="21" customHeight="1">
      <c r="C173" s="27" t="s">
        <v>31</v>
      </c>
      <c r="D173" s="35"/>
      <c r="E173" s="47">
        <f>E86</f>
        <v>280000</v>
      </c>
      <c r="F173" s="47">
        <f t="shared" si="0"/>
        <v>280000</v>
      </c>
      <c r="G173" s="47">
        <f t="shared" si="0"/>
        <v>280000</v>
      </c>
      <c r="H173" s="53">
        <f t="shared" si="1"/>
        <v>840000</v>
      </c>
      <c r="J173" s="50">
        <f t="shared" si="2"/>
        <v>0.12562161375884262</v>
      </c>
    </row>
    <row r="174" ht="21" customHeight="1">
      <c r="C174" s="27" t="s">
        <v>32</v>
      </c>
      <c r="E174" s="47">
        <f>E103</f>
        <v>62148.755249999995</v>
      </c>
      <c r="F174" s="47">
        <f t="shared" si="0"/>
        <v>62148.755249999995</v>
      </c>
      <c r="G174" s="47">
        <f t="shared" si="0"/>
        <v>62148.755249999995</v>
      </c>
      <c r="H174" s="53">
        <f t="shared" si="1"/>
        <v>186446.26575</v>
      </c>
      <c r="J174" s="50">
        <f t="shared" si="2"/>
        <v>0.027882953312886934</v>
      </c>
    </row>
    <row r="175" ht="21" customHeight="1">
      <c r="C175" s="27" t="s">
        <v>34</v>
      </c>
      <c r="D175" s="38"/>
      <c r="E175" s="47">
        <f>E125</f>
        <v>282265.76691061642</v>
      </c>
      <c r="F175" s="47">
        <f t="shared" si="0"/>
        <v>282265.76691061642</v>
      </c>
      <c r="G175" s="47">
        <f t="shared" si="0"/>
        <v>282265.76691061642</v>
      </c>
      <c r="H175" s="53">
        <f t="shared" si="1"/>
        <v>846797.30073184927</v>
      </c>
      <c r="J175" s="50">
        <f t="shared" si="2"/>
        <v>0.12663814695781769</v>
      </c>
    </row>
    <row r="176" ht="21" customHeight="1">
      <c r="C176" s="27" t="s">
        <v>35</v>
      </c>
      <c r="D176" s="38"/>
      <c r="E176" s="47">
        <f>E143</f>
        <v>267000</v>
      </c>
      <c r="F176" s="47">
        <f t="shared" si="0"/>
        <v>267000</v>
      </c>
      <c r="G176" s="47">
        <f t="shared" si="0"/>
        <v>267000</v>
      </c>
      <c r="H176" s="53">
        <f t="shared" si="1"/>
        <v>801000</v>
      </c>
      <c r="J176" s="50">
        <f t="shared" si="2"/>
        <v>0.11978918169146778</v>
      </c>
    </row>
    <row r="177" ht="21" customHeight="1">
      <c r="C177" s="27" t="s">
        <v>36</v>
      </c>
      <c r="D177" s="38"/>
      <c r="E177" s="47">
        <f>E164</f>
        <v>182141.27999998588</v>
      </c>
      <c r="F177" s="47">
        <f t="shared" si="0"/>
        <v>182141.27999998588</v>
      </c>
      <c r="G177" s="47">
        <f t="shared" si="0"/>
        <v>182141.27999998588</v>
      </c>
      <c r="H177" s="53">
        <f t="shared" si="1"/>
        <v>546423.83999995771</v>
      </c>
      <c r="J177" s="50">
        <f t="shared" si="2"/>
        <v>0.081717434020355112</v>
      </c>
    </row>
    <row r="178" ht="21" customHeight="1">
      <c r="C178" s="49">
        <v>1000000</v>
      </c>
      <c r="D178" s="126"/>
      <c r="E178" s="126">
        <f>SUM(E169:E177)</f>
        <v>2228915.8021606021</v>
      </c>
      <c r="F178" s="126">
        <f ref="F178:G178" t="shared" si="3">SUM(F169:F177)</f>
        <v>2228915.8021606021</v>
      </c>
      <c r="G178" s="126">
        <f t="shared" si="3"/>
        <v>2228915.8021606021</v>
      </c>
      <c r="H178" s="129">
        <f>SUM(H169:H177)</f>
        <v>6686747.4064818071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Costs!F27</f>
        <v>957039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Costs!F24</f>
        <v>402579</v>
      </c>
      <c r="E185" s="38">
        <v>0</v>
      </c>
      <c r="F185" s="38"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Costs!F25</f>
        <v>946537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354" t="s">
        <v>232</v>
      </c>
      <c r="D187" s="40">
        <f>Costs!F26</f>
        <v>333099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2639254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Costs!F20</f>
        <v>13270.6</v>
      </c>
      <c r="E192" s="38">
        <f>D192</f>
        <v>13270.6</v>
      </c>
      <c r="F192" s="38">
        <f>E192</f>
        <v>13270.6</v>
      </c>
      <c r="G192" s="38"/>
      <c r="H192" s="131">
        <f ref="H192:H195" t="shared" si="5">SUM(D192:G192)</f>
        <v>39811.8</v>
      </c>
      <c r="I192" s="650"/>
      <c r="J192" s="650"/>
    </row>
    <row r="193">
      <c r="C193" s="0" t="s">
        <v>284</v>
      </c>
      <c r="D193" s="165">
        <f>Costs!F21</f>
        <v>4800</v>
      </c>
      <c r="E193" s="38">
        <f ref="E193:F195" t="shared" si="6">D193</f>
        <v>4800</v>
      </c>
      <c r="F193" s="38">
        <f t="shared" si="6"/>
        <v>4800</v>
      </c>
      <c r="G193" s="35"/>
      <c r="H193" s="131">
        <f t="shared" si="5"/>
        <v>14400</v>
      </c>
      <c r="I193" s="650"/>
      <c r="J193" s="650"/>
    </row>
    <row r="194">
      <c r="C194" s="0" t="s">
        <v>228</v>
      </c>
      <c r="D194" s="165">
        <f>Costs!F22</f>
        <v>25200</v>
      </c>
      <c r="E194" s="165">
        <f>D194</f>
        <v>25200</v>
      </c>
      <c r="F194" s="165">
        <f>E194</f>
        <v>25200</v>
      </c>
      <c r="G194" s="165"/>
      <c r="H194" s="131">
        <f>SUM(D194:G194)</f>
        <v>75600</v>
      </c>
      <c r="I194" s="650"/>
      <c r="J194" s="650"/>
    </row>
    <row r="195">
      <c r="C195" s="0" t="s">
        <v>229</v>
      </c>
      <c r="D195" s="165">
        <f>Costs!F23</f>
        <v>502756.6</v>
      </c>
      <c r="E195" s="38">
        <f t="shared" si="6"/>
        <v>502756.6</v>
      </c>
      <c r="F195" s="38">
        <f t="shared" si="6"/>
        <v>502756.6</v>
      </c>
      <c r="G195" s="35"/>
      <c r="H195" s="131">
        <f t="shared" si="5"/>
        <v>1508269.7999999998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546027.2</v>
      </c>
      <c r="E197" s="128">
        <f>SUM(E192:E196)</f>
        <v>546027.2</v>
      </c>
      <c r="F197" s="128">
        <f>SUM(F192:F196)</f>
        <v>546027.2</v>
      </c>
      <c r="G197" s="128">
        <f>SUM(G192:G196)</f>
        <v>0</v>
      </c>
      <c r="H197" s="140">
        <f>SUM(D197:G197)</f>
        <v>1638081.5999999999</v>
      </c>
      <c r="I197" s="650"/>
      <c r="J197" s="650"/>
      <c r="L197" s="165">
        <f>SUM(H192:H196)</f>
        <v>1638081.5999999999</v>
      </c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957039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957039</v>
      </c>
      <c r="I201" s="650"/>
      <c r="J201" s="650"/>
    </row>
    <row r="202">
      <c r="C202" s="27" t="s">
        <v>23</v>
      </c>
      <c r="D202" s="38">
        <f>SUM(D185:D187)</f>
        <v>1682215</v>
      </c>
      <c r="E202" s="38">
        <f>SUM(E185:E187)</f>
        <v>0</v>
      </c>
      <c r="F202" s="38">
        <f>SUM(F185:F187)</f>
        <v>0</v>
      </c>
      <c r="G202" s="38"/>
      <c r="H202" s="52">
        <f>SUM(D202:G202)</f>
        <v>1682215</v>
      </c>
      <c r="I202" s="650"/>
      <c r="J202" s="650"/>
    </row>
    <row r="203" ht="15">
      <c r="C203" s="27" t="s">
        <v>24</v>
      </c>
      <c r="D203" s="51">
        <f>D197</f>
        <v>546027.2</v>
      </c>
      <c r="E203" s="51">
        <f>E197</f>
        <v>546027.2</v>
      </c>
      <c r="F203" s="51">
        <f>F197</f>
        <v>546027.2</v>
      </c>
      <c r="G203" s="51">
        <f>G197</f>
        <v>0</v>
      </c>
      <c r="H203" s="52">
        <f>SUM(D203:G203)</f>
        <v>1638081.5999999999</v>
      </c>
      <c r="I203" s="650"/>
      <c r="J203" s="650"/>
    </row>
    <row r="204" ht="15">
      <c r="C204" s="134" t="s">
        <v>40</v>
      </c>
      <c r="D204" s="135">
        <f>SUM(D201:D203)</f>
        <v>3185281.2</v>
      </c>
      <c r="E204" s="135">
        <f>SUM(E201:E203)</f>
        <v>546027.2</v>
      </c>
      <c r="F204" s="135">
        <f>SUM(F201:F203)</f>
        <v>546027.2</v>
      </c>
      <c r="G204" s="135">
        <f>SUM(G201:G203)</f>
        <v>0</v>
      </c>
      <c r="H204" s="136">
        <f>SUM(H201:H203)</f>
        <v>4277335.6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3185281.2</v>
      </c>
      <c r="E206" s="138">
        <f ref="E206:H206" t="shared" si="7">E204*(1+E205)</f>
        <v>546027.2</v>
      </c>
      <c r="F206" s="138">
        <f t="shared" si="7"/>
        <v>546027.2</v>
      </c>
      <c r="G206" s="138">
        <f t="shared" si="7"/>
        <v>0</v>
      </c>
      <c r="H206" s="139">
        <f t="shared" si="7"/>
        <v>4277335.6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2228915.8021606021</v>
      </c>
      <c r="F211" s="66">
        <f>F178</f>
        <v>2228915.8021606021</v>
      </c>
      <c r="G211" s="66">
        <f>G178</f>
        <v>2228915.8021606021</v>
      </c>
      <c r="H211" s="67">
        <f>H178</f>
        <v>6686747.4064818071</v>
      </c>
      <c r="I211" s="650"/>
      <c r="J211" s="650"/>
    </row>
    <row r="212" ht="15">
      <c r="C212" s="16" t="s">
        <v>16</v>
      </c>
      <c r="D212" s="58">
        <f>D206</f>
        <v>3185281.2</v>
      </c>
      <c r="E212" s="58">
        <f ref="E212:H212" t="shared" si="8">E206</f>
        <v>546027.2</v>
      </c>
      <c r="F212" s="58">
        <f t="shared" si="8"/>
        <v>546027.2</v>
      </c>
      <c r="G212" s="58">
        <f t="shared" si="8"/>
        <v>0</v>
      </c>
      <c r="H212" s="275">
        <f t="shared" si="8"/>
        <v>4277335.6</v>
      </c>
      <c r="I212" s="650"/>
      <c r="J212" s="650"/>
    </row>
    <row r="213" ht="15">
      <c r="C213" s="10" t="s">
        <v>49</v>
      </c>
      <c r="D213" s="34">
        <f>D211-D212</f>
        <v>-3185281.2</v>
      </c>
      <c r="E213" s="34">
        <f ref="E213:H213" t="shared" si="9">E211-E212</f>
        <v>1682888.6021606021</v>
      </c>
      <c r="F213" s="34">
        <f t="shared" si="9"/>
        <v>1682888.6021606021</v>
      </c>
      <c r="G213" s="34">
        <f t="shared" si="9"/>
        <v>2228915.8021606021</v>
      </c>
      <c r="H213" s="68">
        <f t="shared" si="9"/>
        <v>2409411.8064818075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2228915.8021606021</v>
      </c>
      <c r="F216" s="34">
        <f t="shared" si="10"/>
        <v>2228915.8021606021</v>
      </c>
      <c r="G216" s="34">
        <f t="shared" si="10"/>
        <v>2228915.8021606021</v>
      </c>
      <c r="H216" s="68">
        <f t="shared" si="10"/>
        <v>6686747.4064818071</v>
      </c>
      <c r="I216" s="650"/>
      <c r="J216" s="650"/>
    </row>
    <row r="217">
      <c r="C217" s="10" t="s">
        <v>52</v>
      </c>
      <c r="D217" s="34">
        <f>-D213</f>
        <v>3185281.2</v>
      </c>
      <c r="E217" s="34">
        <f>-($D$213+SUM($E$216:E216))</f>
        <v>956365.39783939812</v>
      </c>
      <c r="F217" s="34">
        <f>-($D$213+SUM($E$216:F216))</f>
        <v>-1272550.4043212039</v>
      </c>
      <c r="G217" s="34">
        <f>-($D$213+SUM($E$216:G216))</f>
        <v>-3501466.206481806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  <c r="K218" s="143">
        <f>E211/12</f>
        <v>185742.98351338352</v>
      </c>
    </row>
    <row r="219" ht="15">
      <c r="C219" s="10"/>
      <c r="D219" s="34"/>
      <c r="E219" s="34"/>
      <c r="F219" s="34"/>
      <c r="G219" s="34"/>
      <c r="H219" s="68"/>
      <c r="I219" s="650"/>
      <c r="J219" s="650"/>
      <c r="K219" s="0">
        <f>D213/K218</f>
        <v>-17.148864197987258</v>
      </c>
    </row>
    <row r="220" ht="13.95" customHeight="1">
      <c r="C220" s="59" t="s">
        <v>53</v>
      </c>
      <c r="D220" s="60">
        <f>(H211-H212)/H212</f>
        <v>0.56329734951866006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3107527.3590557491</v>
      </c>
      <c r="E221" s="34"/>
      <c r="F221" s="34"/>
      <c r="G221" s="34"/>
      <c r="H221" s="68"/>
      <c r="I221" s="650"/>
      <c r="J221" s="650"/>
    </row>
    <row r="222">
      <c r="C222" s="61" t="s">
        <v>476</v>
      </c>
      <c r="D222" s="273">
        <f>12+(ABS(E217/F216)*12)</f>
        <v>17.148864197987258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4277335.6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8" tint="0.39997558519241921"/>
  </sheetPr>
  <dimension ref="A2:O223"/>
  <sheetViews>
    <sheetView showGridLines="0" topLeftCell="A159" zoomScale="96" zoomScaleNormal="96" workbookViewId="0">
      <selection activeCell="E139" sqref="E139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9.5546875" customWidth="1"/>
    <col min="10" max="10" width="22.6640625" customWidth="1"/>
    <col min="11" max="11" bestFit="1" width="9.88671875" customWidth="1"/>
    <col min="13" max="13" bestFit="1" width="10.3320312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Assumptions!G5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Assumptions!G7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Assumptions!G9</f>
        <v>0.2</v>
      </c>
      <c r="F8" s="45"/>
      <c r="G8" s="45"/>
      <c r="H8" s="269"/>
    </row>
    <row r="9" ht="15">
      <c r="C9" s="144" t="s">
        <v>354</v>
      </c>
      <c r="D9" s="145"/>
      <c r="E9" s="146">
        <f>Benefits!G7</f>
        <v>0.22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17600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Assumptions!G8</f>
        <v>6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Assumptions!G10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Benefits!G8</f>
        <v>0.22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Benefits!G8</f>
        <v>0.22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101640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119240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119240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Assumptions!G12</f>
        <v>3</v>
      </c>
      <c r="F24" s="9"/>
      <c r="G24" s="9"/>
      <c r="H24" s="11"/>
    </row>
    <row r="25">
      <c r="C25" s="10" t="s">
        <v>366</v>
      </c>
      <c r="D25" s="31"/>
      <c r="E25" s="12">
        <f>Assumptions!G13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Benefits!G10</f>
        <v>0.3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180000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Assumptions!G14</f>
        <v>4</v>
      </c>
      <c r="F29" s="9"/>
      <c r="G29" s="9"/>
      <c r="H29" s="11"/>
    </row>
    <row r="30">
      <c r="C30" s="10" t="s">
        <v>370</v>
      </c>
      <c r="D30" s="31"/>
      <c r="E30" s="46">
        <f>Assumptions!G15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Benefits!G11</f>
        <v>0.3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180000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Assumptions!G16</f>
        <v>5</v>
      </c>
      <c r="F34" s="9"/>
      <c r="G34" s="9"/>
      <c r="H34" s="11"/>
    </row>
    <row r="35">
      <c r="C35" s="10" t="s">
        <v>374</v>
      </c>
      <c r="D35" s="31"/>
      <c r="E35" s="46">
        <f>Assumptions!G17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Benefits!G12</f>
        <v>0.3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180000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540000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540000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Assumptions!G19</f>
        <v>50</v>
      </c>
      <c r="F46" s="9"/>
      <c r="G46" s="9"/>
      <c r="H46" s="11"/>
    </row>
    <row r="47">
      <c r="C47" s="10" t="s">
        <v>380</v>
      </c>
      <c r="D47" s="31"/>
      <c r="E47" s="15">
        <f>Assumptions!G21</f>
        <v>120000</v>
      </c>
      <c r="F47" s="9"/>
      <c r="G47" s="9"/>
      <c r="H47" s="11"/>
    </row>
    <row r="48">
      <c r="C48" s="10" t="s">
        <v>381</v>
      </c>
      <c r="D48" s="31"/>
      <c r="E48" s="17">
        <f>Assumptions!G20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Benefits!G14</f>
        <v>0.3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180000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Assumptions!H22</f>
        <v>150</v>
      </c>
      <c r="F52" s="9"/>
      <c r="G52" s="9"/>
      <c r="H52" s="11"/>
    </row>
    <row r="53">
      <c r="C53" s="10" t="s">
        <v>385</v>
      </c>
      <c r="D53" s="31"/>
      <c r="E53" s="15">
        <f>Assumptions!H24</f>
        <v>100000</v>
      </c>
      <c r="F53" s="9"/>
      <c r="G53" s="9"/>
      <c r="H53" s="11"/>
    </row>
    <row r="54">
      <c r="C54" s="10" t="s">
        <v>381</v>
      </c>
      <c r="D54" s="31"/>
      <c r="E54" s="17">
        <f>Assumptions!H23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Benefits!G15</f>
        <v>0.3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450000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630000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630000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Assumptions!H26</f>
        <v>2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Benefits!G18</f>
        <v>0.25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Assumptions!H27</f>
        <v>12000000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Assumptions!H28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840000.00000000012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840000.00000000012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840000.00000000012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Assumptions!H30</f>
        <v>6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Benefits!G20</f>
        <v>0.48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Assumptions!H31</f>
        <v>2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Assumptions!H32</f>
        <v>12000000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Assumptions!H33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806400.00000000012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806400.00000000012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806400.00000000012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Assumptions!H35</f>
        <v>4547500.5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Assumptions!H36</f>
        <v>0.105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Benefits!G22</f>
        <v>0.22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105047.26155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Assumptions!H39</f>
        <v>3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Benefits!G23</f>
        <v>0.22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Assumptions!H37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Assumptions!H38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26400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131447.26155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131447.26155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216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Assumptions!H41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Assumptions!H42</f>
        <v>10.350000000000001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77.107500000000016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Benefits!G26</f>
        <v>0.15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Benefits!G27</f>
        <v>0.22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51.122272500000008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Assumptions!H43</f>
        <v>4500000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12328.767123287671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630274.59246575355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Assumptions!H44</f>
        <v>3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51.122272500000008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Assumptions!H45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11502.511312500003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641777.10377825354</v>
      </c>
      <c r="F123" s="91"/>
      <c r="G123" s="91"/>
      <c r="H123" s="92"/>
    </row>
    <row r="124" ht="15">
      <c r="C124" s="168" t="s">
        <v>433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641777.10377825354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Assumptions!G47</f>
        <v>3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Assumptions!G48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Assumptions!G49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Benefits!G29</f>
        <v>0.4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90000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Assumptions!G50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Assumptions!G51</f>
        <v>0.025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Benefits!G30</f>
        <v>0.65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406250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496250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496250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Assumptions!G53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Assumptions!G54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Assumptions!F55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Benefits!G32</f>
        <v>0.4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311996.16000006458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Assumptions!G56</f>
        <v>3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Assumptions!G57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Assumptions!G58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Benefits!G33</f>
        <v>0.3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135000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446996.16000006458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446996.16000006458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119240</v>
      </c>
      <c r="F169" s="47">
        <f>E169</f>
        <v>119240</v>
      </c>
      <c r="G169" s="47">
        <f>F169</f>
        <v>119240</v>
      </c>
      <c r="H169" s="53">
        <f>SUM(E169:G169)</f>
        <v>357720</v>
      </c>
      <c r="J169" s="50">
        <f>E169/$E$178</f>
        <v>0.025631377275066949</v>
      </c>
    </row>
    <row r="170" ht="17.4" customHeight="1">
      <c r="C170" s="25" t="s">
        <v>27</v>
      </c>
      <c r="D170" s="36"/>
      <c r="E170" s="47">
        <f>E41</f>
        <v>540000</v>
      </c>
      <c r="F170" s="47">
        <f ref="F170:G177" t="shared" si="0">E170</f>
        <v>540000</v>
      </c>
      <c r="G170" s="47">
        <f t="shared" si="0"/>
        <v>540000</v>
      </c>
      <c r="H170" s="53">
        <f ref="H170:H177" t="shared" si="1">SUM(E170:G170)</f>
        <v>1620000</v>
      </c>
      <c r="J170" s="50">
        <f ref="J170:J177" t="shared" si="2">E170/$E$178</f>
        <v>0.11607634794143032</v>
      </c>
    </row>
    <row r="171" ht="21" customHeight="1">
      <c r="C171" s="27" t="s">
        <v>28</v>
      </c>
      <c r="D171" s="37"/>
      <c r="E171" s="47">
        <f>E60</f>
        <v>630000</v>
      </c>
      <c r="F171" s="47">
        <f t="shared" si="0"/>
        <v>630000</v>
      </c>
      <c r="G171" s="47">
        <f t="shared" si="0"/>
        <v>630000</v>
      </c>
      <c r="H171" s="53">
        <f t="shared" si="1"/>
        <v>1890000</v>
      </c>
      <c r="J171" s="50">
        <f t="shared" si="2"/>
        <v>0.13542240593166871</v>
      </c>
    </row>
    <row r="172" ht="21" customHeight="1">
      <c r="C172" s="27" t="s">
        <v>30</v>
      </c>
      <c r="D172" s="36"/>
      <c r="E172" s="47">
        <f>E72</f>
        <v>840000.00000000012</v>
      </c>
      <c r="F172" s="47">
        <f t="shared" si="0"/>
        <v>840000.00000000012</v>
      </c>
      <c r="G172" s="47">
        <f t="shared" si="0"/>
        <v>840000.00000000012</v>
      </c>
      <c r="H172" s="53">
        <f t="shared" si="1"/>
        <v>2520000.0000000005</v>
      </c>
      <c r="J172" s="50">
        <f t="shared" si="2"/>
        <v>0.18056320790889163</v>
      </c>
    </row>
    <row r="173" ht="21" customHeight="1">
      <c r="C173" s="27" t="s">
        <v>31</v>
      </c>
      <c r="D173" s="35"/>
      <c r="E173" s="47">
        <f>E86</f>
        <v>806400.00000000012</v>
      </c>
      <c r="F173" s="47">
        <f t="shared" si="0"/>
        <v>806400.00000000012</v>
      </c>
      <c r="G173" s="47">
        <f t="shared" si="0"/>
        <v>806400.00000000012</v>
      </c>
      <c r="H173" s="53">
        <f t="shared" si="1"/>
        <v>2419200.0000000005</v>
      </c>
      <c r="J173" s="50">
        <f t="shared" si="2"/>
        <v>0.17334067959253596</v>
      </c>
    </row>
    <row r="174" ht="21" customHeight="1">
      <c r="C174" s="27" t="s">
        <v>32</v>
      </c>
      <c r="E174" s="47">
        <f>E103</f>
        <v>131447.26155</v>
      </c>
      <c r="F174" s="47">
        <f t="shared" si="0"/>
        <v>131447.26155</v>
      </c>
      <c r="G174" s="47">
        <f t="shared" si="0"/>
        <v>131447.26155</v>
      </c>
      <c r="H174" s="53">
        <f t="shared" si="1"/>
        <v>394341.78465</v>
      </c>
      <c r="J174" s="50">
        <f t="shared" si="2"/>
        <v>0.028255403828937029</v>
      </c>
    </row>
    <row r="175" ht="21" customHeight="1">
      <c r="C175" s="27" t="s">
        <v>34</v>
      </c>
      <c r="D175" s="38"/>
      <c r="E175" s="47">
        <f>E125</f>
        <v>641777.10377825354</v>
      </c>
      <c r="F175" s="47">
        <f t="shared" si="0"/>
        <v>641777.10377825354</v>
      </c>
      <c r="G175" s="47">
        <f t="shared" si="0"/>
        <v>641777.10377825354</v>
      </c>
      <c r="H175" s="53">
        <f t="shared" si="1"/>
        <v>1925331.3113347606</v>
      </c>
      <c r="J175" s="50">
        <f t="shared" si="2"/>
        <v>0.13795396740557037</v>
      </c>
    </row>
    <row r="176" ht="21" customHeight="1">
      <c r="C176" s="27" t="s">
        <v>35</v>
      </c>
      <c r="D176" s="38"/>
      <c r="E176" s="47">
        <f>E143</f>
        <v>496250</v>
      </c>
      <c r="F176" s="47">
        <f t="shared" si="0"/>
        <v>496250</v>
      </c>
      <c r="G176" s="47">
        <f t="shared" si="0"/>
        <v>496250</v>
      </c>
      <c r="H176" s="53">
        <f t="shared" si="1"/>
        <v>1488750</v>
      </c>
      <c r="J176" s="50">
        <f t="shared" si="2"/>
        <v>0.10667201419617556</v>
      </c>
    </row>
    <row r="177" ht="21" customHeight="1">
      <c r="C177" s="27" t="s">
        <v>36</v>
      </c>
      <c r="D177" s="38"/>
      <c r="E177" s="47">
        <f>E164</f>
        <v>446996.16000006458</v>
      </c>
      <c r="F177" s="47">
        <f t="shared" si="0"/>
        <v>446996.16000006458</v>
      </c>
      <c r="G177" s="47">
        <f t="shared" si="0"/>
        <v>446996.16000006458</v>
      </c>
      <c r="H177" s="53">
        <f t="shared" si="1"/>
        <v>1340988.4800001937</v>
      </c>
      <c r="J177" s="50">
        <f t="shared" si="2"/>
        <v>0.096084595919723625</v>
      </c>
    </row>
    <row r="178" ht="21" customHeight="1">
      <c r="C178" s="49">
        <v>1000000</v>
      </c>
      <c r="D178" s="126"/>
      <c r="E178" s="126">
        <f>SUM(E169:E177)</f>
        <v>4652110.5253283177</v>
      </c>
      <c r="F178" s="126">
        <f ref="F178:G178" t="shared" si="3">SUM(F169:F177)</f>
        <v>4652110.5253283177</v>
      </c>
      <c r="G178" s="126">
        <f t="shared" si="3"/>
        <v>4652110.5253283177</v>
      </c>
      <c r="H178" s="129">
        <f>SUM(H169:H177)</f>
        <v>13956331.575984955</v>
      </c>
      <c r="J178" s="441">
        <f>SUM(J169:J177)</f>
        <v>1</v>
      </c>
    </row>
    <row r="179" ht="15">
      <c r="C179" s="21"/>
      <c r="D179" s="32"/>
      <c r="E179" s="13"/>
      <c r="F179" s="13"/>
      <c r="G179" s="13"/>
      <c r="H179" s="54"/>
    </row>
    <row r="180" ht="16.95" customHeight="1">
      <c r="J180" s="165">
        <f>SUM(E178:G178)</f>
        <v>13956331.575984953</v>
      </c>
    </row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404"/>
      <c r="J183" s="404"/>
    </row>
    <row r="184" ht="20.4" customHeight="1">
      <c r="C184" s="25" t="s">
        <v>469</v>
      </c>
      <c r="D184" s="33">
        <f>Costs!G27</f>
        <v>1257800</v>
      </c>
      <c r="E184" s="23"/>
      <c r="F184" s="23"/>
      <c r="G184" s="23"/>
      <c r="H184" s="24"/>
      <c r="I184" s="404"/>
      <c r="J184" s="404"/>
    </row>
    <row r="185" ht="20.4" customHeight="1">
      <c r="C185" s="9" t="s">
        <v>230</v>
      </c>
      <c r="D185" s="38">
        <f>Costs!G24</f>
        <v>0</v>
      </c>
      <c r="E185" s="38">
        <f>D185</f>
        <v>0</v>
      </c>
      <c r="F185" s="38">
        <f>E185</f>
        <v>0</v>
      </c>
      <c r="G185" s="35"/>
      <c r="H185" s="132"/>
      <c r="I185" s="404"/>
      <c r="J185" s="404"/>
    </row>
    <row r="186" ht="20.4" customHeight="1">
      <c r="C186" s="9" t="s">
        <v>231</v>
      </c>
      <c r="D186" s="38">
        <f>Costs!G25</f>
        <v>40000</v>
      </c>
      <c r="E186" s="38">
        <v>0</v>
      </c>
      <c r="F186" s="38">
        <f ref="F186:F187" t="shared" si="4">E186</f>
        <v>0</v>
      </c>
      <c r="G186" s="35"/>
      <c r="H186" s="132"/>
      <c r="I186" s="404"/>
      <c r="J186" s="404"/>
    </row>
    <row r="187" ht="20.4" customHeight="1">
      <c r="C187" s="9" t="s">
        <v>232</v>
      </c>
      <c r="D187" s="38">
        <f>Costs!G26</f>
        <v>576482</v>
      </c>
      <c r="E187" s="40">
        <v>0</v>
      </c>
      <c r="F187" s="40">
        <f t="shared" si="4"/>
        <v>0</v>
      </c>
      <c r="G187" s="133"/>
      <c r="H187" s="261"/>
      <c r="I187" s="404"/>
      <c r="J187" s="404"/>
    </row>
    <row r="188" ht="20.4" customHeight="1">
      <c r="C188" s="262" t="s">
        <v>470</v>
      </c>
      <c r="D188" s="49">
        <f>SUM(D184:D187)</f>
        <v>1874282</v>
      </c>
      <c r="E188" s="49">
        <f>SUM(E185:E187)</f>
        <v>0</v>
      </c>
      <c r="F188" s="49">
        <f>SUM(F185:F187)</f>
        <v>0</v>
      </c>
      <c r="G188" s="259"/>
      <c r="H188" s="260"/>
      <c r="I188" s="404"/>
      <c r="J188" s="404"/>
    </row>
    <row r="189" ht="20.4" customHeight="1">
      <c r="C189" s="9"/>
      <c r="D189" s="38"/>
      <c r="E189" s="35"/>
      <c r="F189" s="35"/>
      <c r="G189" s="35"/>
      <c r="H189" s="35"/>
      <c r="I189" s="404"/>
      <c r="J189" s="404"/>
    </row>
    <row r="190" ht="15">
      <c r="I190" s="404"/>
      <c r="J190" s="404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404"/>
      <c r="J191" s="404"/>
    </row>
    <row r="192">
      <c r="C192" s="0" t="s">
        <v>290</v>
      </c>
      <c r="D192" s="165">
        <f>Costs!G20</f>
        <v>0</v>
      </c>
      <c r="E192" s="38">
        <f>D192</f>
        <v>0</v>
      </c>
      <c r="F192" s="38">
        <f>E192</f>
        <v>0</v>
      </c>
      <c r="G192" s="38"/>
      <c r="H192" s="131">
        <f ref="H192:H194" t="shared" si="5">SUM(D192:G192)</f>
        <v>0</v>
      </c>
      <c r="I192" s="404"/>
      <c r="J192" s="404"/>
    </row>
    <row r="193">
      <c r="C193" s="0" t="s">
        <v>284</v>
      </c>
      <c r="D193" s="165">
        <f>Costs!G21</f>
        <v>0</v>
      </c>
      <c r="E193" s="38">
        <f ref="E193:F194" t="shared" si="6">D193</f>
        <v>0</v>
      </c>
      <c r="F193" s="38">
        <f t="shared" si="6"/>
        <v>0</v>
      </c>
      <c r="G193" s="35"/>
      <c r="H193" s="131">
        <f t="shared" si="5"/>
        <v>0</v>
      </c>
      <c r="I193" s="404"/>
      <c r="J193" s="404"/>
    </row>
    <row r="194">
      <c r="C194" s="0" t="s">
        <v>229</v>
      </c>
      <c r="D194" s="165">
        <f>Costs!G23</f>
        <v>205406.2</v>
      </c>
      <c r="E194" s="38">
        <f t="shared" si="6"/>
        <v>205406.2</v>
      </c>
      <c r="F194" s="38">
        <f t="shared" si="6"/>
        <v>205406.2</v>
      </c>
      <c r="G194" s="35"/>
      <c r="H194" s="131">
        <f t="shared" si="5"/>
        <v>616218.60000000009</v>
      </c>
      <c r="I194" s="404"/>
      <c r="J194" s="404"/>
    </row>
    <row r="195">
      <c r="C195" s="27"/>
      <c r="D195" s="38"/>
      <c r="E195" s="38"/>
      <c r="F195" s="38"/>
      <c r="G195" s="38"/>
      <c r="H195" s="131">
        <f>SUM(D195:G195)</f>
        <v>0</v>
      </c>
      <c r="I195" s="404"/>
      <c r="J195" s="404"/>
    </row>
    <row r="196" ht="15">
      <c r="C196" s="130" t="s">
        <v>24</v>
      </c>
      <c r="D196" s="128">
        <f>SUM(D192:D195)</f>
        <v>205406.2</v>
      </c>
      <c r="E196" s="128">
        <f>SUM(E192:E195)</f>
        <v>205406.2</v>
      </c>
      <c r="F196" s="128">
        <f>SUM(F192:F195)</f>
        <v>205406.2</v>
      </c>
      <c r="G196" s="128">
        <f>SUM(G192:G195)</f>
        <v>0</v>
      </c>
      <c r="H196" s="140">
        <f>SUM(D196:G196)</f>
        <v>616218.60000000009</v>
      </c>
      <c r="I196" s="404"/>
      <c r="J196" s="404"/>
    </row>
    <row r="197">
      <c r="D197" s="55"/>
      <c r="I197" s="404"/>
      <c r="J197" s="404"/>
    </row>
    <row r="198" ht="15">
      <c r="I198" s="404"/>
      <c r="J198" s="404"/>
    </row>
    <row r="199">
      <c r="C199" s="18" t="s">
        <v>40</v>
      </c>
      <c r="D199" s="30" t="s">
        <v>41</v>
      </c>
      <c r="E199" s="19" t="s">
        <v>42</v>
      </c>
      <c r="F199" s="19" t="s">
        <v>43</v>
      </c>
      <c r="G199" s="19" t="s">
        <v>44</v>
      </c>
      <c r="H199" s="20" t="s">
        <v>45</v>
      </c>
      <c r="I199" s="404"/>
      <c r="J199" s="404"/>
    </row>
    <row r="200">
      <c r="C200" s="27" t="s">
        <v>22</v>
      </c>
      <c r="D200" s="38">
        <f>D184</f>
        <v>1257800</v>
      </c>
      <c r="E200" s="38">
        <f>E184</f>
        <v>0</v>
      </c>
      <c r="F200" s="38">
        <f>F184</f>
        <v>0</v>
      </c>
      <c r="G200" s="38">
        <f>G184</f>
        <v>0</v>
      </c>
      <c r="H200" s="52">
        <f>SUM(D200:G200)</f>
        <v>1257800</v>
      </c>
      <c r="I200" s="404"/>
      <c r="J200" s="404"/>
    </row>
    <row r="201">
      <c r="C201" s="27" t="s">
        <v>23</v>
      </c>
      <c r="D201" s="38">
        <f>SUM(D185:D187)</f>
        <v>616482</v>
      </c>
      <c r="E201" s="38">
        <f>SUM(E185:E187)</f>
        <v>0</v>
      </c>
      <c r="F201" s="38">
        <f>SUM(F185:F187)</f>
        <v>0</v>
      </c>
      <c r="G201" s="38"/>
      <c r="H201" s="52">
        <f>SUM(D201:G201)</f>
        <v>616482</v>
      </c>
      <c r="I201" s="404"/>
      <c r="J201" s="404"/>
    </row>
    <row r="202" ht="15">
      <c r="C202" s="27" t="s">
        <v>24</v>
      </c>
      <c r="D202" s="51">
        <f>D196</f>
        <v>205406.2</v>
      </c>
      <c r="E202" s="51">
        <f>E196</f>
        <v>205406.2</v>
      </c>
      <c r="F202" s="51">
        <f>F196</f>
        <v>205406.2</v>
      </c>
      <c r="G202" s="51">
        <f>G196</f>
        <v>0</v>
      </c>
      <c r="H202" s="52">
        <f>SUM(D202:G202)</f>
        <v>616218.60000000009</v>
      </c>
      <c r="I202" s="404"/>
      <c r="J202" s="404"/>
      <c r="M202" s="165">
        <f>SUM(H200:H202)</f>
        <v>2490500.6</v>
      </c>
    </row>
    <row r="203" ht="15">
      <c r="C203" s="134" t="s">
        <v>40</v>
      </c>
      <c r="D203" s="135">
        <f>SUM(D200:D202)</f>
        <v>2079688.2</v>
      </c>
      <c r="E203" s="135">
        <f>SUM(E200:E202)</f>
        <v>205406.2</v>
      </c>
      <c r="F203" s="135">
        <f>SUM(F200:F202)</f>
        <v>205406.2</v>
      </c>
      <c r="G203" s="135">
        <f>SUM(G200:G202)</f>
        <v>0</v>
      </c>
      <c r="H203" s="136">
        <f>SUM(D203:G203)</f>
        <v>2490500.6</v>
      </c>
      <c r="I203" s="404"/>
      <c r="J203" s="404"/>
    </row>
    <row r="204" ht="15">
      <c r="C204" s="39" t="s">
        <v>46</v>
      </c>
      <c r="D204" s="119">
        <v>0</v>
      </c>
      <c r="E204" s="119">
        <v>0</v>
      </c>
      <c r="F204" s="119">
        <v>0</v>
      </c>
      <c r="G204" s="119">
        <v>0</v>
      </c>
      <c r="H204" s="119">
        <v>0</v>
      </c>
      <c r="I204" s="404"/>
      <c r="J204" s="404"/>
    </row>
    <row r="205" ht="15.6">
      <c r="C205" s="127" t="s">
        <v>47</v>
      </c>
      <c r="D205" s="138">
        <f>D203*(1+D204)</f>
        <v>2079688.2</v>
      </c>
      <c r="E205" s="138">
        <f ref="E205:G205" t="shared" si="7">E203*(1+E204)</f>
        <v>205406.2</v>
      </c>
      <c r="F205" s="138">
        <f t="shared" si="7"/>
        <v>205406.2</v>
      </c>
      <c r="G205" s="138">
        <f t="shared" si="7"/>
        <v>0</v>
      </c>
      <c r="H205" s="139">
        <f>SUM(D203:G203)</f>
        <v>2490500.6</v>
      </c>
      <c r="I205" s="404"/>
      <c r="J205" s="404"/>
      <c r="M205" s="165">
        <f>SUM(H200:H202)</f>
        <v>2490500.6</v>
      </c>
    </row>
    <row r="206">
      <c r="C206" s="121"/>
      <c r="D206" s="51"/>
      <c r="E206" s="35"/>
      <c r="F206" s="28"/>
      <c r="G206" s="28"/>
      <c r="H206" s="28"/>
      <c r="I206" s="404"/>
      <c r="J206" s="404"/>
    </row>
    <row r="207">
      <c r="I207" s="404"/>
      <c r="J207" s="404"/>
    </row>
    <row r="208" ht="15">
      <c r="I208" s="404"/>
      <c r="J208" s="404"/>
    </row>
    <row r="209" ht="15">
      <c r="C209" s="57" t="s">
        <v>48</v>
      </c>
      <c r="D209" s="19" t="s">
        <v>41</v>
      </c>
      <c r="E209" s="19" t="s">
        <v>42</v>
      </c>
      <c r="F209" s="19" t="s">
        <v>43</v>
      </c>
      <c r="G209" s="19" t="s">
        <v>44</v>
      </c>
      <c r="H209" s="20" t="s">
        <v>45</v>
      </c>
      <c r="I209" s="404"/>
      <c r="J209" s="404"/>
    </row>
    <row r="210">
      <c r="C210" s="56" t="s">
        <v>15</v>
      </c>
      <c r="D210" s="65"/>
      <c r="E210" s="66">
        <f>E178</f>
        <v>4652110.5253283177</v>
      </c>
      <c r="F210" s="66">
        <f>F178</f>
        <v>4652110.5253283177</v>
      </c>
      <c r="G210" s="66">
        <f>G178</f>
        <v>4652110.5253283177</v>
      </c>
      <c r="H210" s="67">
        <f>H178</f>
        <v>13956331.575984955</v>
      </c>
      <c r="I210" s="404"/>
      <c r="J210" s="404"/>
    </row>
    <row r="211" ht="15">
      <c r="C211" s="16" t="s">
        <v>16</v>
      </c>
      <c r="D211" s="58">
        <f>D205</f>
        <v>2079688.2</v>
      </c>
      <c r="E211" s="58">
        <f ref="E211:H211" t="shared" si="8">E205</f>
        <v>205406.2</v>
      </c>
      <c r="F211" s="58">
        <f t="shared" si="8"/>
        <v>205406.2</v>
      </c>
      <c r="G211" s="58">
        <f t="shared" si="8"/>
        <v>0</v>
      </c>
      <c r="H211" s="275">
        <f t="shared" si="8"/>
        <v>2490500.6</v>
      </c>
      <c r="I211" s="404"/>
      <c r="J211" s="404"/>
    </row>
    <row r="212" ht="15">
      <c r="C212" s="10" t="s">
        <v>49</v>
      </c>
      <c r="D212" s="34">
        <f>D210-D211</f>
        <v>-2079688.2</v>
      </c>
      <c r="E212" s="34">
        <f ref="E212:H212" t="shared" si="9">E210-E211</f>
        <v>4446704.3253283175</v>
      </c>
      <c r="F212" s="34">
        <f t="shared" si="9"/>
        <v>4446704.3253283175</v>
      </c>
      <c r="G212" s="34">
        <f t="shared" si="9"/>
        <v>4652110.5253283177</v>
      </c>
      <c r="H212" s="68">
        <f t="shared" si="9"/>
        <v>11465830.975984955</v>
      </c>
      <c r="I212" s="404"/>
      <c r="J212" s="404"/>
    </row>
    <row r="213">
      <c r="C213" s="10"/>
      <c r="D213" s="34"/>
      <c r="E213" s="34"/>
      <c r="F213" s="34"/>
      <c r="G213" s="34"/>
      <c r="H213" s="68"/>
      <c r="I213" s="404"/>
      <c r="J213" s="404"/>
    </row>
    <row r="214">
      <c r="C214" s="10" t="s">
        <v>50</v>
      </c>
      <c r="D214" s="271">
        <v>0</v>
      </c>
      <c r="E214" s="271">
        <v>1</v>
      </c>
      <c r="F214" s="271">
        <v>2</v>
      </c>
      <c r="G214" s="271">
        <v>3</v>
      </c>
      <c r="H214" s="272"/>
      <c r="I214" s="404"/>
      <c r="J214" s="404"/>
    </row>
    <row r="215">
      <c r="C215" s="10" t="s">
        <v>51</v>
      </c>
      <c r="D215" s="34">
        <f>D210</f>
        <v>0</v>
      </c>
      <c r="E215" s="34">
        <f ref="E215:H215" t="shared" si="10">E210</f>
        <v>4652110.5253283177</v>
      </c>
      <c r="F215" s="34">
        <f t="shared" si="10"/>
        <v>4652110.5253283177</v>
      </c>
      <c r="G215" s="34">
        <f t="shared" si="10"/>
        <v>4652110.5253283177</v>
      </c>
      <c r="H215" s="68">
        <f t="shared" si="10"/>
        <v>13956331.575984955</v>
      </c>
      <c r="I215" s="404"/>
      <c r="J215" s="404"/>
    </row>
    <row r="216">
      <c r="C216" s="10" t="s">
        <v>52</v>
      </c>
      <c r="D216" s="34">
        <f>-D212</f>
        <v>2079688.2</v>
      </c>
      <c r="E216" s="34">
        <f>-($D$212+SUM($E$215:E215))</f>
        <v>-2572422.3253283175</v>
      </c>
      <c r="F216" s="34">
        <f>-($D$212+SUM($E$215:F215))</f>
        <v>-7224532.8506566351</v>
      </c>
      <c r="G216" s="34">
        <f>-($D$212+SUM($E$215:G215))</f>
        <v>-11876643.375984954</v>
      </c>
      <c r="H216" s="68"/>
      <c r="I216" s="404"/>
      <c r="J216" s="404"/>
    </row>
    <row r="217">
      <c r="C217" s="10"/>
      <c r="D217" s="34"/>
      <c r="E217" s="34"/>
      <c r="F217" s="34"/>
      <c r="G217" s="34"/>
      <c r="H217" s="68"/>
      <c r="I217" s="404"/>
      <c r="J217" s="404"/>
    </row>
    <row r="218" ht="15">
      <c r="C218" s="10"/>
      <c r="D218" s="34"/>
      <c r="E218" s="34"/>
      <c r="F218" s="34"/>
      <c r="G218" s="34"/>
      <c r="H218" s="68"/>
      <c r="I218" s="404"/>
      <c r="J218" s="404"/>
    </row>
    <row r="219" ht="13.95" customHeight="1">
      <c r="C219" s="59" t="s">
        <v>53</v>
      </c>
      <c r="D219" s="60">
        <f>(H210-H211)/H211</f>
        <v>4.6038258236054848</v>
      </c>
      <c r="E219" s="34"/>
      <c r="F219" s="34"/>
      <c r="G219" s="34"/>
      <c r="H219" s="68"/>
      <c r="I219" s="404"/>
      <c r="J219" s="404"/>
    </row>
    <row r="220">
      <c r="C220" s="61" t="s">
        <v>54</v>
      </c>
      <c r="D220" s="62">
        <f>NPV(8%,D212:H212)</f>
        <v>16639524.294924434</v>
      </c>
      <c r="E220" s="34"/>
      <c r="F220" s="34"/>
      <c r="G220" s="34"/>
      <c r="H220" s="68"/>
      <c r="I220" s="404"/>
      <c r="J220" s="404"/>
    </row>
    <row r="221">
      <c r="C221" s="61" t="s">
        <v>476</v>
      </c>
      <c r="D221" s="273">
        <f>ABS(D216/E215)*12</f>
        <v>5.3645024691752647</v>
      </c>
      <c r="E221" s="34"/>
      <c r="F221" s="34"/>
      <c r="G221" s="34"/>
      <c r="H221" s="68"/>
      <c r="I221" s="404"/>
      <c r="J221" s="404"/>
    </row>
    <row r="222" ht="15">
      <c r="C222" s="63" t="s">
        <v>56</v>
      </c>
      <c r="D222" s="64">
        <f>H211</f>
        <v>2490500.6</v>
      </c>
      <c r="E222" s="34"/>
      <c r="F222" s="34"/>
      <c r="G222" s="34"/>
      <c r="H222" s="68"/>
      <c r="I222" s="404"/>
      <c r="J222" s="404"/>
    </row>
    <row r="223" ht="15">
      <c r="C223" s="21"/>
      <c r="D223" s="32"/>
      <c r="E223" s="13"/>
      <c r="F223" s="13"/>
      <c r="G223" s="13"/>
      <c r="H223" s="22"/>
      <c r="I223" s="404"/>
      <c r="J223" s="404"/>
    </row>
  </sheetData>
  <pageMargins left="0.7" right="0.7" top="0.75" bottom="0.75" header="0.3" footer="0.3"/>
  <pageSetup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rgb="FF00B0F0"/>
  </sheetPr>
  <dimension ref="A2:O224"/>
  <sheetViews>
    <sheetView showGridLines="0" topLeftCell="A198" zoomScale="96" zoomScaleNormal="96" workbookViewId="0">
      <selection activeCell="D222" sqref="D222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Assumptions!H5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Assumptions!H7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Assumptions!H9</f>
        <v>0.2</v>
      </c>
      <c r="F8" s="45"/>
      <c r="G8" s="45"/>
      <c r="H8" s="269"/>
    </row>
    <row r="9" ht="15">
      <c r="C9" s="144" t="s">
        <v>354</v>
      </c>
      <c r="D9" s="145"/>
      <c r="E9" s="146">
        <v>0.12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9600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Assumptions!H8</f>
        <v>6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Assumptions!H10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Benefits!H8</f>
        <v>0.2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Benefits!H8</f>
        <v>0.2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84000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93600</v>
      </c>
      <c r="F18" s="9"/>
      <c r="G18" s="9"/>
      <c r="H18" s="11"/>
    </row>
    <row r="19" ht="15">
      <c r="C19" s="168" t="s">
        <v>46</v>
      </c>
      <c r="D19" s="169"/>
      <c r="E19" s="170"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93600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Assumptions!H12</f>
        <v>3</v>
      </c>
      <c r="F24" s="9"/>
      <c r="G24" s="9"/>
      <c r="H24" s="11"/>
    </row>
    <row r="25">
      <c r="C25" s="10" t="s">
        <v>366</v>
      </c>
      <c r="D25" s="31"/>
      <c r="E25" s="12">
        <f>Assumptions!H13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Benefits!H10</f>
        <v>0.2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120000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Assumptions!H14</f>
        <v>4</v>
      </c>
      <c r="F29" s="9"/>
      <c r="G29" s="9"/>
      <c r="H29" s="11"/>
    </row>
    <row r="30">
      <c r="C30" s="10" t="s">
        <v>370</v>
      </c>
      <c r="D30" s="31"/>
      <c r="E30" s="46">
        <f>Assumptions!H15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Benefits!H11</f>
        <v>0.2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120000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Assumptions!H16</f>
        <v>5</v>
      </c>
      <c r="F34" s="9"/>
      <c r="G34" s="9"/>
      <c r="H34" s="11"/>
    </row>
    <row r="35">
      <c r="C35" s="10" t="s">
        <v>374</v>
      </c>
      <c r="D35" s="31"/>
      <c r="E35" s="46">
        <f>Assumptions!H17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Benefits!H12</f>
        <v>0.2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360000</v>
      </c>
      <c r="F39" s="9"/>
      <c r="G39" s="9"/>
      <c r="H39" s="11"/>
    </row>
    <row r="40" ht="15">
      <c r="C40" s="168" t="s">
        <v>46</v>
      </c>
      <c r="D40" s="169"/>
      <c r="E40" s="170"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360000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Assumptions!H19</f>
        <v>50</v>
      </c>
      <c r="F46" s="9"/>
      <c r="G46" s="9"/>
      <c r="H46" s="11"/>
    </row>
    <row r="47">
      <c r="C47" s="10" t="s">
        <v>380</v>
      </c>
      <c r="D47" s="31"/>
      <c r="E47" s="15">
        <f>Assumptions!H21</f>
        <v>120000</v>
      </c>
      <c r="F47" s="9"/>
      <c r="G47" s="9"/>
      <c r="H47" s="11"/>
    </row>
    <row r="48">
      <c r="C48" s="10" t="s">
        <v>381</v>
      </c>
      <c r="D48" s="31"/>
      <c r="E48" s="17">
        <f>Assumptions!H20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Benefits!H14</f>
        <v>0.26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156000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Assumptions!H22</f>
        <v>150</v>
      </c>
      <c r="F52" s="9"/>
      <c r="G52" s="9"/>
      <c r="H52" s="11"/>
    </row>
    <row r="53">
      <c r="C53" s="10" t="s">
        <v>385</v>
      </c>
      <c r="D53" s="31"/>
      <c r="E53" s="15">
        <f>Assumptions!H24</f>
        <v>100000</v>
      </c>
      <c r="F53" s="9"/>
      <c r="G53" s="9"/>
      <c r="H53" s="11"/>
    </row>
    <row r="54">
      <c r="C54" s="10" t="s">
        <v>381</v>
      </c>
      <c r="D54" s="31"/>
      <c r="E54" s="17">
        <f>Assumptions!H23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Benefits!H15</f>
        <v>0.26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390000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546000</v>
      </c>
      <c r="F58" s="9"/>
      <c r="G58" s="9"/>
      <c r="H58" s="11"/>
    </row>
    <row r="59" ht="15">
      <c r="C59" s="168" t="s">
        <v>46</v>
      </c>
      <c r="D59" s="169"/>
      <c r="E59" s="170"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546000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Assumptions!H26</f>
        <v>2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Benefits!H18</f>
        <v>0.22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Assumptions!H27</f>
        <v>12000000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Assumptions!H28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739200.00000000012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739200.00000000012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739200.00000000012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Assumptions!H30</f>
        <v>6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Benefits!H20</f>
        <v>0.4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Assumptions!H31</f>
        <v>2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Assumptions!H32</f>
        <v>12000000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Assumptions!H33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672000.00000000023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672000.00000000023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672000.00000000023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Assumptions!H35</f>
        <v>4547500.5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Assumptions!H36</f>
        <v>0.105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Benefits!H22</f>
        <v>0.2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95497.5105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Assumptions!H39</f>
        <v>3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Benefits!H23</f>
        <v>0.2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Assumptions!H37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Assumptions!H38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24000.000000000004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119497.5105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119497.5105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Assumptions!H41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Assumptions!H42</f>
        <v>10.350000000000001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77.107500000000016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Benefits!H26</f>
        <v>0.22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Benefits!H27</f>
        <v>0.25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45.107887500000004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Assumptions!H43</f>
        <v>4500000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12328.767123287671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556124.64041095891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Assumptions!H44</f>
        <v>3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45.107887500000004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Assumptions!H45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10149.274687500001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566273.91509845888</v>
      </c>
      <c r="F123" s="91"/>
      <c r="G123" s="91"/>
      <c r="H123" s="92"/>
    </row>
    <row r="124" ht="15">
      <c r="C124" s="168" t="s">
        <v>433</v>
      </c>
      <c r="D124" s="174"/>
      <c r="E124" s="175"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566273.91509845888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Assumptions!H47</f>
        <v>3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Assumptions!H48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Assumptions!H49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Benefits!H29</f>
        <v>0.28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63000.000000000007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Assumptions!H50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Assumptions!H51</f>
        <v>0.025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Benefits!H30</f>
        <v>0.6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375000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438000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438000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Assumptions!H53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0.65699999999944136</v>
      </c>
    </row>
    <row r="151" ht="15.6" customHeight="1">
      <c r="C151" s="27" t="s">
        <v>454</v>
      </c>
      <c r="D151" s="36"/>
      <c r="E151" s="36">
        <f>Assumptions!H54</f>
        <v>0.999925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0.65700000000041392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0.65699999999944136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Assumptions!H55</f>
        <v>954000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Benefits!H32</f>
        <v>0.36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225640.07999980814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Assumptions!H56</f>
        <v>3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Assumptions!H57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Assumptions!H58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Benefits!H33</f>
        <v>0.2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90000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315640.07999980811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315640.07999980811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93600</v>
      </c>
      <c r="F169" s="47">
        <f>E169</f>
        <v>93600</v>
      </c>
      <c r="G169" s="47">
        <f>F169</f>
        <v>93600</v>
      </c>
      <c r="H169" s="53">
        <f>SUM(E169:G169)</f>
        <v>280800</v>
      </c>
      <c r="J169" s="50">
        <f>E169/$E$178</f>
        <v>0.024310352785529874</v>
      </c>
    </row>
    <row r="170" ht="17.4" customHeight="1">
      <c r="C170" s="25" t="s">
        <v>27</v>
      </c>
      <c r="D170" s="36"/>
      <c r="E170" s="47">
        <f>E41</f>
        <v>360000</v>
      </c>
      <c r="F170" s="47">
        <f ref="F170:G177" t="shared" si="0">E170</f>
        <v>360000</v>
      </c>
      <c r="G170" s="47">
        <f t="shared" si="0"/>
        <v>360000</v>
      </c>
      <c r="H170" s="53">
        <f ref="H170:H177" t="shared" si="1">SUM(E170:G170)</f>
        <v>1080000</v>
      </c>
      <c r="J170" s="50">
        <f ref="J170:J177" t="shared" si="2">E170/$E$178</f>
        <v>0.093501356867422586</v>
      </c>
    </row>
    <row r="171" ht="21" customHeight="1">
      <c r="C171" s="27" t="s">
        <v>28</v>
      </c>
      <c r="D171" s="37"/>
      <c r="E171" s="47">
        <f>E60</f>
        <v>546000</v>
      </c>
      <c r="F171" s="47">
        <f t="shared" si="0"/>
        <v>546000</v>
      </c>
      <c r="G171" s="47">
        <f t="shared" si="0"/>
        <v>546000</v>
      </c>
      <c r="H171" s="53">
        <f t="shared" si="1"/>
        <v>1638000</v>
      </c>
      <c r="J171" s="50">
        <f t="shared" si="2"/>
        <v>0.14181039124892425</v>
      </c>
    </row>
    <row r="172" ht="21" customHeight="1">
      <c r="C172" s="27" t="s">
        <v>30</v>
      </c>
      <c r="D172" s="36"/>
      <c r="E172" s="47">
        <f>E72</f>
        <v>739200.00000000012</v>
      </c>
      <c r="F172" s="47">
        <f t="shared" si="0"/>
        <v>739200.00000000012</v>
      </c>
      <c r="G172" s="47">
        <f t="shared" si="0"/>
        <v>739200.00000000012</v>
      </c>
      <c r="H172" s="53">
        <f t="shared" si="1"/>
        <v>2217600.0000000005</v>
      </c>
      <c r="J172" s="50">
        <f t="shared" si="2"/>
        <v>0.1919894527677744</v>
      </c>
    </row>
    <row r="173" ht="21" customHeight="1">
      <c r="C173" s="27" t="s">
        <v>31</v>
      </c>
      <c r="D173" s="35"/>
      <c r="E173" s="47">
        <f>E86</f>
        <v>672000.00000000023</v>
      </c>
      <c r="F173" s="47">
        <f t="shared" si="0"/>
        <v>672000.00000000023</v>
      </c>
      <c r="G173" s="47">
        <f t="shared" si="0"/>
        <v>672000.00000000023</v>
      </c>
      <c r="H173" s="53">
        <f t="shared" si="1"/>
        <v>2016000.0000000007</v>
      </c>
      <c r="J173" s="50">
        <f t="shared" si="2"/>
        <v>0.17453586615252223</v>
      </c>
    </row>
    <row r="174" ht="21" customHeight="1">
      <c r="C174" s="27" t="s">
        <v>32</v>
      </c>
      <c r="E174" s="47">
        <f>E103</f>
        <v>119497.5105</v>
      </c>
      <c r="F174" s="47">
        <f t="shared" si="0"/>
        <v>119497.5105</v>
      </c>
      <c r="G174" s="47">
        <f t="shared" si="0"/>
        <v>119497.5105</v>
      </c>
      <c r="H174" s="53">
        <f t="shared" si="1"/>
        <v>358492.53150000004</v>
      </c>
      <c r="J174" s="50">
        <f t="shared" si="2"/>
        <v>0.031036609372302997</v>
      </c>
    </row>
    <row r="175" ht="21" customHeight="1">
      <c r="C175" s="27" t="s">
        <v>34</v>
      </c>
      <c r="D175" s="38"/>
      <c r="E175" s="47">
        <f>E125</f>
        <v>566273.91509845888</v>
      </c>
      <c r="F175" s="47">
        <f t="shared" si="0"/>
        <v>566273.91509845888</v>
      </c>
      <c r="G175" s="47">
        <f t="shared" si="0"/>
        <v>566273.91509845888</v>
      </c>
      <c r="H175" s="53">
        <f t="shared" si="1"/>
        <v>1698821.7452953765</v>
      </c>
      <c r="J175" s="50">
        <f t="shared" si="2"/>
        <v>0.14707605394537102</v>
      </c>
    </row>
    <row r="176" ht="21" customHeight="1">
      <c r="C176" s="27" t="s">
        <v>35</v>
      </c>
      <c r="D176" s="38"/>
      <c r="E176" s="47">
        <f>E143</f>
        <v>438000</v>
      </c>
      <c r="F176" s="47">
        <f t="shared" si="0"/>
        <v>438000</v>
      </c>
      <c r="G176" s="47">
        <f t="shared" si="0"/>
        <v>438000</v>
      </c>
      <c r="H176" s="53">
        <f t="shared" si="1"/>
        <v>1314000</v>
      </c>
      <c r="J176" s="50">
        <f t="shared" si="2"/>
        <v>0.11375998418869748</v>
      </c>
    </row>
    <row r="177" ht="21" customHeight="1">
      <c r="C177" s="27" t="s">
        <v>36</v>
      </c>
      <c r="D177" s="38"/>
      <c r="E177" s="47">
        <f>E164</f>
        <v>315640.07999980811</v>
      </c>
      <c r="F177" s="47">
        <f t="shared" si="0"/>
        <v>315640.07999980811</v>
      </c>
      <c r="G177" s="47">
        <f t="shared" si="0"/>
        <v>315640.07999980811</v>
      </c>
      <c r="H177" s="53">
        <f t="shared" si="1"/>
        <v>946920.23999942432</v>
      </c>
      <c r="J177" s="50">
        <f t="shared" si="2"/>
        <v>0.0819799326714552</v>
      </c>
    </row>
    <row r="178" ht="21" customHeight="1">
      <c r="C178" s="49">
        <v>1000000</v>
      </c>
      <c r="D178" s="126"/>
      <c r="E178" s="126">
        <f>SUM(E169:E177)</f>
        <v>3850211.5055982671</v>
      </c>
      <c r="F178" s="126">
        <f ref="F178:G178" t="shared" si="3">SUM(F169:F177)</f>
        <v>3850211.5055982671</v>
      </c>
      <c r="G178" s="126">
        <f t="shared" si="3"/>
        <v>3850211.5055982671</v>
      </c>
      <c r="H178" s="129">
        <f>SUM(H169:H177)</f>
        <v>11550634.5167948</v>
      </c>
      <c r="J178" s="441">
        <f>SUM(J169:J177)</f>
        <v>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Costs!H27</f>
        <v>1106382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Costs!H24</f>
        <v>640082</v>
      </c>
      <c r="E185" s="38"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Costs!H25</f>
        <v>1577039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Costs!H26</f>
        <v>379963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3703466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Costs!H20</f>
        <v>15648.4</v>
      </c>
      <c r="E192" s="38">
        <f>D192</f>
        <v>15648.4</v>
      </c>
      <c r="F192" s="38">
        <f>E192</f>
        <v>15648.4</v>
      </c>
      <c r="G192" s="38"/>
      <c r="H192" s="131">
        <f ref="H192:H195" t="shared" si="5">SUM(D192:G192)</f>
        <v>46945.2</v>
      </c>
      <c r="I192" s="650"/>
      <c r="J192" s="650"/>
    </row>
    <row r="193">
      <c r="C193" s="0" t="s">
        <v>284</v>
      </c>
      <c r="D193" s="165">
        <f>Costs!H21</f>
        <v>5485.8</v>
      </c>
      <c r="E193" s="38">
        <f ref="E193:F195" t="shared" si="6">D193</f>
        <v>5485.8</v>
      </c>
      <c r="F193" s="38">
        <f t="shared" si="6"/>
        <v>5485.8</v>
      </c>
      <c r="G193" s="35"/>
      <c r="H193" s="131">
        <f t="shared" si="5"/>
        <v>16457.4</v>
      </c>
      <c r="I193" s="650"/>
      <c r="J193" s="650"/>
    </row>
    <row r="194">
      <c r="C194" s="0" t="s">
        <v>290</v>
      </c>
      <c r="D194" s="165">
        <f>Costs!H22</f>
        <v>29400</v>
      </c>
      <c r="E194" s="165">
        <f>D194</f>
        <v>29400</v>
      </c>
      <c r="F194" s="165">
        <f>E194</f>
        <v>29400</v>
      </c>
      <c r="G194" s="165"/>
      <c r="H194" s="131">
        <f t="shared" si="5"/>
        <v>88200</v>
      </c>
      <c r="I194" s="650"/>
      <c r="J194" s="650"/>
    </row>
    <row r="195">
      <c r="C195" s="0" t="s">
        <v>229</v>
      </c>
      <c r="D195" s="165">
        <f>Costs!H23</f>
        <v>507872.6</v>
      </c>
      <c r="E195" s="38">
        <f t="shared" si="6"/>
        <v>507872.6</v>
      </c>
      <c r="F195" s="38">
        <f t="shared" si="6"/>
        <v>507872.6</v>
      </c>
      <c r="G195" s="35"/>
      <c r="H195" s="131">
        <f t="shared" si="5"/>
        <v>1523617.7999999998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558406.79999999993</v>
      </c>
      <c r="E197" s="128">
        <f>SUM(E192:E196)</f>
        <v>558406.79999999993</v>
      </c>
      <c r="F197" s="128">
        <f>SUM(F192:F196)</f>
        <v>558406.79999999993</v>
      </c>
      <c r="G197" s="128">
        <f>SUM(G192:G196)</f>
        <v>0</v>
      </c>
      <c r="H197" s="140">
        <f>SUM(D197:G197)</f>
        <v>1675220.4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1106382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1106382</v>
      </c>
      <c r="I201" s="650"/>
      <c r="J201" s="650"/>
    </row>
    <row r="202">
      <c r="C202" s="27" t="s">
        <v>23</v>
      </c>
      <c r="D202" s="38">
        <f>SUM(D185:D187)</f>
        <v>2597084</v>
      </c>
      <c r="E202" s="38">
        <f>SUM(E185:E187)</f>
        <v>0</v>
      </c>
      <c r="F202" s="38">
        <f>SUM(F185:F187)</f>
        <v>0</v>
      </c>
      <c r="G202" s="38"/>
      <c r="H202" s="52">
        <f>SUM(D202:G202)</f>
        <v>2597084</v>
      </c>
      <c r="I202" s="650"/>
      <c r="J202" s="650"/>
    </row>
    <row r="203" ht="15">
      <c r="C203" s="27" t="s">
        <v>24</v>
      </c>
      <c r="D203" s="51">
        <f>D197</f>
        <v>558406.79999999993</v>
      </c>
      <c r="E203" s="51">
        <f>E197</f>
        <v>558406.79999999993</v>
      </c>
      <c r="F203" s="51">
        <f>F197</f>
        <v>558406.79999999993</v>
      </c>
      <c r="G203" s="51">
        <f>G197</f>
        <v>0</v>
      </c>
      <c r="H203" s="52">
        <f>SUM(D203:G203)</f>
        <v>1675220.4</v>
      </c>
      <c r="I203" s="650"/>
      <c r="J203" s="650"/>
    </row>
    <row r="204" ht="15">
      <c r="C204" s="134" t="s">
        <v>40</v>
      </c>
      <c r="D204" s="135">
        <f>SUM(D201:D203)</f>
        <v>4261872.8</v>
      </c>
      <c r="E204" s="135">
        <f>SUM(E201:E203)</f>
        <v>558406.79999999993</v>
      </c>
      <c r="F204" s="135">
        <f>SUM(F201:F203)</f>
        <v>558406.79999999993</v>
      </c>
      <c r="G204" s="135">
        <f>SUM(G201:G203)</f>
        <v>0</v>
      </c>
      <c r="H204" s="136">
        <f>SUM(H201:H203)</f>
        <v>5378686.4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4261872.8</v>
      </c>
      <c r="E206" s="138">
        <f ref="E206:H206" t="shared" si="7">E204*(1+E205)</f>
        <v>558406.79999999993</v>
      </c>
      <c r="F206" s="138">
        <f t="shared" si="7"/>
        <v>558406.79999999993</v>
      </c>
      <c r="G206" s="138">
        <f t="shared" si="7"/>
        <v>0</v>
      </c>
      <c r="H206" s="139">
        <f t="shared" si="7"/>
        <v>5378686.4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3850211.5055982671</v>
      </c>
      <c r="F211" s="66">
        <f>F178</f>
        <v>3850211.5055982671</v>
      </c>
      <c r="G211" s="66">
        <f>G178</f>
        <v>3850211.5055982671</v>
      </c>
      <c r="H211" s="67">
        <f>H178</f>
        <v>11550634.5167948</v>
      </c>
      <c r="I211" s="650"/>
      <c r="J211" s="650"/>
    </row>
    <row r="212" ht="15">
      <c r="C212" s="16" t="s">
        <v>16</v>
      </c>
      <c r="D212" s="58">
        <f>D206</f>
        <v>4261872.8</v>
      </c>
      <c r="E212" s="58">
        <f ref="E212:H212" t="shared" si="8">E206</f>
        <v>558406.79999999993</v>
      </c>
      <c r="F212" s="58">
        <f t="shared" si="8"/>
        <v>558406.79999999993</v>
      </c>
      <c r="G212" s="58">
        <f t="shared" si="8"/>
        <v>0</v>
      </c>
      <c r="H212" s="275">
        <f t="shared" si="8"/>
        <v>5378686.4</v>
      </c>
      <c r="I212" s="650"/>
      <c r="J212" s="650"/>
    </row>
    <row r="213" ht="15">
      <c r="C213" s="10" t="s">
        <v>49</v>
      </c>
      <c r="D213" s="34">
        <f>D211-D212</f>
        <v>-4261872.8</v>
      </c>
      <c r="E213" s="34">
        <f ref="E213:H213" t="shared" si="9">E211-E212</f>
        <v>3291804.7055982673</v>
      </c>
      <c r="F213" s="34">
        <f t="shared" si="9"/>
        <v>3291804.7055982673</v>
      </c>
      <c r="G213" s="34">
        <f t="shared" si="9"/>
        <v>3850211.5055982671</v>
      </c>
      <c r="H213" s="68">
        <f t="shared" si="9"/>
        <v>6171948.1167948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3850211.5055982671</v>
      </c>
      <c r="F216" s="34">
        <f t="shared" si="10"/>
        <v>3850211.5055982671</v>
      </c>
      <c r="G216" s="34">
        <f t="shared" si="10"/>
        <v>3850211.5055982671</v>
      </c>
      <c r="H216" s="68">
        <f t="shared" si="10"/>
        <v>11550634.5167948</v>
      </c>
      <c r="I216" s="650"/>
      <c r="J216" s="650"/>
    </row>
    <row r="217">
      <c r="C217" s="10" t="s">
        <v>52</v>
      </c>
      <c r="D217" s="34">
        <f>-D213</f>
        <v>4261872.8</v>
      </c>
      <c r="E217" s="34">
        <f>-($D$213+SUM($E$216:E216))</f>
        <v>411661.29440173274</v>
      </c>
      <c r="F217" s="34">
        <f>-($D$213+SUM($E$216:F216))</f>
        <v>-3438550.2111965343</v>
      </c>
      <c r="G217" s="34">
        <f>-($D$213+SUM($E$216:G216))</f>
        <v>-7288761.7167948009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</row>
    <row r="219" ht="15">
      <c r="C219" s="10"/>
      <c r="D219" s="34"/>
      <c r="E219" s="34"/>
      <c r="F219" s="34"/>
      <c r="G219" s="34"/>
      <c r="H219" s="68"/>
      <c r="I219" s="650"/>
      <c r="J219" s="650"/>
      <c r="K219" s="0">
        <f>1+F216/E217</f>
        <v>10.352862554624618</v>
      </c>
    </row>
    <row r="220" ht="13.95" customHeight="1">
      <c r="C220" s="59" t="s">
        <v>53</v>
      </c>
      <c r="D220" s="60">
        <f>(H211-H212)/H212</f>
        <v>1.1474824255964802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8519698.7283385322</v>
      </c>
      <c r="E221" s="34"/>
      <c r="F221" s="34"/>
      <c r="G221" s="34"/>
      <c r="H221" s="68"/>
      <c r="I221" s="650"/>
      <c r="J221" s="650"/>
    </row>
    <row r="222">
      <c r="C222" s="61" t="s">
        <v>476</v>
      </c>
      <c r="D222" s="273">
        <f>12+(ABS(E217/F216)*12)</f>
        <v>13.283029653212051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5378686.4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  <c r="L224" s="0" t="s">
        <v>678</v>
      </c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>
    <tabColor theme="5" tint="0.39997558519241921"/>
  </sheetPr>
  <dimension ref="A2:O223"/>
  <sheetViews>
    <sheetView showGridLines="0" topLeftCell="A139" zoomScale="96" zoomScaleNormal="96" workbookViewId="0">
      <selection activeCell="K119" sqref="K119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width="12.109375" customWidth="1"/>
    <col min="13" max="13" bestFit="1" width="10.3320312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Assumptions!I5</f>
        <v>2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Assumptions!I7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Assumptions!I9</f>
        <v>0.2</v>
      </c>
      <c r="F8" s="45"/>
      <c r="G8" s="45"/>
      <c r="H8" s="269"/>
    </row>
    <row r="9" ht="15">
      <c r="C9" s="144" t="s">
        <v>354</v>
      </c>
      <c r="D9" s="145"/>
      <c r="E9" s="146">
        <f>Benefits!I7</f>
        <v>0.25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40000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Assumptions!I8</f>
        <v>8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Assumptions!I10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Benefits!I8</f>
        <v>0.25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Benefits!I8</f>
        <v>0.25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175000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215000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215000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Assumptions!I12</f>
        <v>4</v>
      </c>
      <c r="F24" s="9"/>
      <c r="G24" s="9"/>
      <c r="H24" s="11"/>
    </row>
    <row r="25">
      <c r="C25" s="10" t="s">
        <v>366</v>
      </c>
      <c r="D25" s="31"/>
      <c r="E25" s="12">
        <f>Assumptions!I13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Benefits!I10</f>
        <v>0.35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280000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Assumptions!I14</f>
        <v>5</v>
      </c>
      <c r="F29" s="9"/>
      <c r="G29" s="9"/>
      <c r="H29" s="11"/>
    </row>
    <row r="30">
      <c r="C30" s="10" t="s">
        <v>370</v>
      </c>
      <c r="D30" s="31"/>
      <c r="E30" s="46">
        <f>Assumptions!I15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Benefits!I11</f>
        <v>0.35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262500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Assumptions!I16</f>
        <v>6</v>
      </c>
      <c r="F34" s="9"/>
      <c r="G34" s="9"/>
      <c r="H34" s="11"/>
    </row>
    <row r="35">
      <c r="C35" s="10" t="s">
        <v>374</v>
      </c>
      <c r="D35" s="31"/>
      <c r="E35" s="46">
        <f>Assumptions!I17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Benefits!I12</f>
        <v>0.35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251999.99999999997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794500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794500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Assumptions!I19</f>
        <v>75</v>
      </c>
      <c r="F46" s="9"/>
      <c r="G46" s="9"/>
      <c r="H46" s="11"/>
    </row>
    <row r="47">
      <c r="C47" s="10" t="s">
        <v>380</v>
      </c>
      <c r="D47" s="31"/>
      <c r="E47" s="15">
        <f>Assumptions!I21</f>
        <v>120000</v>
      </c>
      <c r="F47" s="9"/>
      <c r="G47" s="9"/>
      <c r="H47" s="11"/>
    </row>
    <row r="48">
      <c r="C48" s="10" t="s">
        <v>381</v>
      </c>
      <c r="D48" s="31"/>
      <c r="E48" s="17">
        <f>Assumptions!I20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Benefits!I14</f>
        <v>0.4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360000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Assumptions!I22</f>
        <v>200</v>
      </c>
      <c r="F52" s="9"/>
      <c r="G52" s="9"/>
      <c r="H52" s="11"/>
    </row>
    <row r="53">
      <c r="C53" s="10" t="s">
        <v>385</v>
      </c>
      <c r="D53" s="31"/>
      <c r="E53" s="15">
        <f>Assumptions!I24</f>
        <v>100000</v>
      </c>
      <c r="F53" s="9"/>
      <c r="G53" s="9"/>
      <c r="H53" s="11"/>
    </row>
    <row r="54">
      <c r="C54" s="10" t="s">
        <v>381</v>
      </c>
      <c r="D54" s="31"/>
      <c r="E54" s="17">
        <f>Assumptions!I23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Benefits!I15</f>
        <v>0.4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800000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1160000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1160000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Assumptions!I26</f>
        <v>1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Benefits!I18</f>
        <v>0.3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Assumptions!I27</f>
        <v>22000000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Assumptions!I28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924000.00000000012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924000.00000000012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0"/>
      <c r="G71" s="171"/>
      <c r="H71" s="172"/>
    </row>
    <row r="72" ht="15.6">
      <c r="C72" s="76" t="s">
        <v>396</v>
      </c>
      <c r="D72" s="77"/>
      <c r="E72" s="94">
        <f>E70*(1-E71)</f>
        <v>924000.00000000012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Assumptions!I30</f>
        <v>9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Benefits!I20</f>
        <v>0.58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Assumptions!I31</f>
        <v>1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Assumptions!I32</f>
        <v>30000000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Assumptions!I33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1827000.0000000002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1827000.0000000002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1827000.0000000002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Assumptions!I35</f>
        <v>6063334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Assumptions!I36</f>
        <v>0.13124999999999998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Benefits!I22</f>
        <v>0.25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198953.14687499998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Assumptions!I39</f>
        <v>4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Benefits!I23</f>
        <v>0.25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Assumptions!I37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Assumptions!I38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40000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238953.14687499998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238953.14687499998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34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Assumptions!I41</f>
        <v>7.45</v>
      </c>
      <c r="F108" s="23"/>
      <c r="G108" s="23"/>
      <c r="H108" s="24"/>
      <c r="J108" s="232">
        <f>E108</f>
        <v>7.45</v>
      </c>
      <c r="K108" s="0">
        <f>J108*80%</f>
        <v>5.9600000000000009</v>
      </c>
    </row>
    <row r="109" ht="19.95" customHeight="1">
      <c r="C109" s="27" t="s">
        <v>419</v>
      </c>
      <c r="D109" s="44"/>
      <c r="E109" s="44">
        <f>Assumptions!I42</f>
        <v>13.8</v>
      </c>
      <c r="F109" s="23"/>
      <c r="G109" s="23"/>
      <c r="H109" s="24"/>
      <c r="J109" s="232">
        <f>E109</f>
        <v>13.8</v>
      </c>
      <c r="K109" s="0">
        <f>J109*75%</f>
        <v>10.350000000000001</v>
      </c>
    </row>
    <row r="110" ht="18" customHeight="1">
      <c r="C110" s="99" t="s">
        <v>420</v>
      </c>
      <c r="D110" s="284"/>
      <c r="E110" s="284">
        <f>E108*E109</f>
        <v>102.81</v>
      </c>
      <c r="F110" s="100"/>
      <c r="G110" s="100"/>
      <c r="H110" s="101"/>
      <c r="J110" s="165">
        <f>E114</f>
        <v>6000000</v>
      </c>
      <c r="K110" s="165">
        <f>J114*K109</f>
        <v>4500000.0000000009</v>
      </c>
    </row>
    <row r="111" ht="18.6" customHeight="1">
      <c r="C111" s="149" t="s">
        <v>421</v>
      </c>
      <c r="D111" s="160"/>
      <c r="E111" s="160">
        <f>Benefits!I26</f>
        <v>0.2</v>
      </c>
      <c r="F111" s="151"/>
      <c r="G111" s="151"/>
      <c r="H111" s="152"/>
      <c r="J111" s="142"/>
    </row>
    <row r="112" ht="19.95" customHeight="1">
      <c r="C112" s="149" t="s">
        <v>422</v>
      </c>
      <c r="D112" s="160"/>
      <c r="E112" s="160">
        <f>Benefits!I27</f>
        <v>0.25</v>
      </c>
      <c r="F112" s="151"/>
      <c r="G112" s="151"/>
      <c r="H112" s="152"/>
      <c r="J112" s="165">
        <f>J108*J110</f>
        <v>44700000</v>
      </c>
      <c r="K112" s="165">
        <f>K108*K110</f>
        <v>26820000.000000011</v>
      </c>
    </row>
    <row r="113" ht="18" customHeight="1">
      <c r="C113" s="99" t="s">
        <v>423</v>
      </c>
      <c r="D113" s="284"/>
      <c r="E113" s="284">
        <f>(E108*(1-E111))*(E109*(1-E112))</f>
        <v>61.686000000000014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Assumptions!I43</f>
        <v>6000000</v>
      </c>
      <c r="F114" s="23"/>
      <c r="G114" s="23"/>
      <c r="H114" s="24"/>
      <c r="J114" s="165">
        <f>J110/J109</f>
        <v>434782.60869565216</v>
      </c>
      <c r="K114" s="165">
        <f>J112-K112</f>
        <v>17879999.999999989</v>
      </c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  <c r="K115" s="165">
        <f>K114*6%</f>
        <v>1072799.9999999993</v>
      </c>
    </row>
    <row r="116" ht="16.95" customHeight="1">
      <c r="C116" s="285" t="s">
        <v>426</v>
      </c>
      <c r="D116" s="286"/>
      <c r="E116" s="286">
        <f>E114/E115</f>
        <v>16438.35616438356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1014016.4383561645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Assumptions!I44</f>
        <v>4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61.686000000000014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Assumptions!I45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18505.800000000003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1032522.2383561645</v>
      </c>
      <c r="F123" s="91"/>
      <c r="G123" s="91"/>
      <c r="H123" s="92"/>
    </row>
    <row r="124" ht="15">
      <c r="C124" s="168" t="s">
        <v>433</v>
      </c>
      <c r="D124" s="174"/>
      <c r="E124" s="175"/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1032522.2383561645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Assumptions!I47</f>
        <v>4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Assumptions!I48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Assumptions!I49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Benefits!I29</f>
        <v>0.5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150000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Assumptions!I50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Assumptions!I51</f>
        <v>0.03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Benefits!I30</f>
        <v>0.7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525000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675000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675000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Assumptions!I53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Assumptions!I54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Assumptions!I55</f>
        <v>1908000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Benefits!I32</f>
        <v>0.48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1123186.1760002326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Assumptions!I56</f>
        <v>4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Assumptions!I57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Assumptions!I58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Benefits!I33</f>
        <v>0.3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180000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1303186.1760002326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396</v>
      </c>
      <c r="D164" s="123"/>
      <c r="E164" s="126">
        <f>E162*(1-E163)</f>
        <v>1303186.1760002326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215000</v>
      </c>
      <c r="F169" s="47">
        <f>E169</f>
        <v>215000</v>
      </c>
      <c r="G169" s="47">
        <f>F169</f>
        <v>215000</v>
      </c>
      <c r="H169" s="53">
        <f>SUM(E169:G169)</f>
        <v>645000</v>
      </c>
      <c r="J169" s="50">
        <f>E169/$E$178</f>
        <v>0.026315269090908339</v>
      </c>
    </row>
    <row r="170" ht="17.4" customHeight="1">
      <c r="C170" s="25" t="s">
        <v>27</v>
      </c>
      <c r="D170" s="36"/>
      <c r="E170" s="47">
        <f>E41</f>
        <v>794500</v>
      </c>
      <c r="F170" s="47">
        <f ref="F170:G177" t="shared" si="0">E170</f>
        <v>794500</v>
      </c>
      <c r="G170" s="47">
        <f t="shared" si="0"/>
        <v>794500</v>
      </c>
      <c r="H170" s="53">
        <f ref="H170:H177" t="shared" si="1">SUM(E170:G170)</f>
        <v>2383500</v>
      </c>
      <c r="J170" s="50">
        <f ref="J170:J177" t="shared" si="2">E170/$E$178</f>
        <v>0.097244099035938017</v>
      </c>
    </row>
    <row r="171" ht="21" customHeight="1">
      <c r="C171" s="27" t="s">
        <v>28</v>
      </c>
      <c r="D171" s="37"/>
      <c r="E171" s="47">
        <f>E60</f>
        <v>1160000</v>
      </c>
      <c r="F171" s="47">
        <f t="shared" si="0"/>
        <v>1160000</v>
      </c>
      <c r="G171" s="47">
        <f t="shared" si="0"/>
        <v>1160000</v>
      </c>
      <c r="H171" s="53">
        <f t="shared" si="1"/>
        <v>3480000</v>
      </c>
      <c r="J171" s="50">
        <f t="shared" si="2"/>
        <v>0.1419800564904822</v>
      </c>
    </row>
    <row r="172" ht="21" customHeight="1">
      <c r="C172" s="27" t="s">
        <v>30</v>
      </c>
      <c r="D172" s="36"/>
      <c r="E172" s="47">
        <f>E72</f>
        <v>924000.00000000012</v>
      </c>
      <c r="F172" s="47">
        <f t="shared" si="0"/>
        <v>924000.00000000012</v>
      </c>
      <c r="G172" s="47">
        <f t="shared" si="0"/>
        <v>924000.00000000012</v>
      </c>
      <c r="H172" s="53">
        <f t="shared" si="1"/>
        <v>2772000.0000000005</v>
      </c>
      <c r="J172" s="50">
        <f t="shared" si="2"/>
        <v>0.11309445879069445</v>
      </c>
    </row>
    <row r="173" ht="21" customHeight="1">
      <c r="C173" s="27" t="s">
        <v>31</v>
      </c>
      <c r="D173" s="35"/>
      <c r="E173" s="47">
        <f>E86</f>
        <v>1827000.0000000002</v>
      </c>
      <c r="F173" s="47">
        <f t="shared" si="0"/>
        <v>1827000.0000000002</v>
      </c>
      <c r="G173" s="47">
        <f t="shared" si="0"/>
        <v>1827000.0000000002</v>
      </c>
      <c r="H173" s="53">
        <f t="shared" si="1"/>
        <v>5481000.0000000009</v>
      </c>
      <c r="J173" s="50">
        <f t="shared" si="2"/>
        <v>0.2236185889725095</v>
      </c>
    </row>
    <row r="174" ht="21" customHeight="1">
      <c r="C174" s="27" t="s">
        <v>32</v>
      </c>
      <c r="E174" s="47">
        <f>E103</f>
        <v>238953.14687499998</v>
      </c>
      <c r="F174" s="47">
        <f t="shared" si="0"/>
        <v>238953.14687499998</v>
      </c>
      <c r="G174" s="47">
        <f t="shared" si="0"/>
        <v>238953.14687499998</v>
      </c>
      <c r="H174" s="53">
        <f t="shared" si="1"/>
        <v>716859.44062499993</v>
      </c>
      <c r="J174" s="50">
        <f t="shared" si="2"/>
        <v>0.029247052837837059</v>
      </c>
    </row>
    <row r="175" ht="21" customHeight="1">
      <c r="C175" s="27" t="s">
        <v>34</v>
      </c>
      <c r="D175" s="38"/>
      <c r="E175" s="47">
        <f>E125</f>
        <v>1032522.2383561645</v>
      </c>
      <c r="F175" s="47">
        <f t="shared" si="0"/>
        <v>1032522.2383561645</v>
      </c>
      <c r="G175" s="47">
        <f t="shared" si="0"/>
        <v>1032522.2383561645</v>
      </c>
      <c r="H175" s="53">
        <f t="shared" si="1"/>
        <v>3097566.7150684935</v>
      </c>
      <c r="J175" s="50">
        <f t="shared" si="2"/>
        <v>0.12637721183576497</v>
      </c>
    </row>
    <row r="176" ht="21" customHeight="1">
      <c r="C176" s="27" t="s">
        <v>35</v>
      </c>
      <c r="D176" s="38"/>
      <c r="E176" s="47">
        <f>E143</f>
        <v>675000</v>
      </c>
      <c r="F176" s="47">
        <f t="shared" si="0"/>
        <v>675000</v>
      </c>
      <c r="G176" s="47">
        <f t="shared" si="0"/>
        <v>675000</v>
      </c>
      <c r="H176" s="53">
        <f t="shared" si="1"/>
        <v>2025000</v>
      </c>
      <c r="J176" s="50">
        <f t="shared" si="2"/>
        <v>0.0826177052854099</v>
      </c>
    </row>
    <row r="177" ht="21" customHeight="1">
      <c r="C177" s="27" t="s">
        <v>36</v>
      </c>
      <c r="D177" s="38"/>
      <c r="E177" s="47">
        <f>E164</f>
        <v>1303186.1760002326</v>
      </c>
      <c r="F177" s="47">
        <f t="shared" si="0"/>
        <v>1303186.1760002326</v>
      </c>
      <c r="G177" s="47">
        <f t="shared" si="0"/>
        <v>1303186.1760002326</v>
      </c>
      <c r="H177" s="53">
        <f t="shared" si="1"/>
        <v>3909558.5280006975</v>
      </c>
      <c r="J177" s="50">
        <f t="shared" si="2"/>
        <v>0.1595055576604556</v>
      </c>
    </row>
    <row r="178" ht="21" customHeight="1">
      <c r="C178" s="49">
        <v>1000000</v>
      </c>
      <c r="D178" s="126"/>
      <c r="E178" s="126">
        <f>SUM(E169:E177)</f>
        <v>8170161.5612313971</v>
      </c>
      <c r="F178" s="126">
        <f ref="F178:G178" t="shared" si="3">SUM(F169:F177)</f>
        <v>8170161.5612313971</v>
      </c>
      <c r="G178" s="126">
        <f t="shared" si="3"/>
        <v>8170161.5612313971</v>
      </c>
      <c r="H178" s="129">
        <f>SUM(H169:H177)</f>
        <v>24510484.683694191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Costs!I27</f>
        <v>2034240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Costs!I24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Costs!I25</f>
        <v>80000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Costs!I26</f>
        <v>814856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2929096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Costs!I20</f>
        <v>0</v>
      </c>
      <c r="E192" s="38">
        <f>D192</f>
        <v>0</v>
      </c>
      <c r="F192" s="38">
        <f>E192</f>
        <v>0</v>
      </c>
      <c r="G192" s="38"/>
      <c r="H192" s="131">
        <f ref="H192:H194" t="shared" si="5">SUM(D192:G192)</f>
        <v>0</v>
      </c>
      <c r="I192" s="650"/>
      <c r="J192" s="650"/>
    </row>
    <row r="193">
      <c r="C193" s="0" t="s">
        <v>284</v>
      </c>
      <c r="D193" s="165">
        <f>Costs!I21</f>
        <v>0</v>
      </c>
      <c r="E193" s="38">
        <f ref="E193:F194" t="shared" si="6">D193</f>
        <v>0</v>
      </c>
      <c r="F193" s="38">
        <f t="shared" si="6"/>
        <v>0</v>
      </c>
      <c r="G193" s="35"/>
      <c r="H193" s="131">
        <f t="shared" si="5"/>
        <v>0</v>
      </c>
      <c r="I193" s="650"/>
      <c r="J193" s="650"/>
    </row>
    <row r="194">
      <c r="C194" s="0" t="s">
        <v>229</v>
      </c>
      <c r="D194" s="165">
        <f>Costs!I23</f>
        <v>205406.2</v>
      </c>
      <c r="E194" s="38">
        <f t="shared" si="6"/>
        <v>205406.2</v>
      </c>
      <c r="F194" s="38">
        <f t="shared" si="6"/>
        <v>205406.2</v>
      </c>
      <c r="G194" s="35"/>
      <c r="H194" s="131">
        <f t="shared" si="5"/>
        <v>616218.60000000009</v>
      </c>
      <c r="I194" s="650"/>
      <c r="J194" s="650"/>
    </row>
    <row r="195">
      <c r="C195" s="27"/>
      <c r="D195" s="38"/>
      <c r="E195" s="38"/>
      <c r="F195" s="38"/>
      <c r="G195" s="38"/>
      <c r="H195" s="131">
        <f>SUM(D195:G195)</f>
        <v>0</v>
      </c>
      <c r="I195" s="650"/>
      <c r="J195" s="650"/>
    </row>
    <row r="196" ht="15">
      <c r="C196" s="130" t="s">
        <v>24</v>
      </c>
      <c r="D196" s="128">
        <f>SUM(D192:D195)</f>
        <v>205406.2</v>
      </c>
      <c r="E196" s="128">
        <f>SUM(E192:E195)</f>
        <v>205406.2</v>
      </c>
      <c r="F196" s="128">
        <f>SUM(F192:F195)</f>
        <v>205406.2</v>
      </c>
      <c r="G196" s="128">
        <f>SUM(G192:G195)</f>
        <v>0</v>
      </c>
      <c r="H196" s="140">
        <f>SUM(D196:G196)</f>
        <v>616218.60000000009</v>
      </c>
      <c r="I196" s="650"/>
      <c r="J196" s="650"/>
    </row>
    <row r="197">
      <c r="D197" s="55"/>
      <c r="I197" s="650"/>
      <c r="J197" s="650"/>
    </row>
    <row r="198" ht="15">
      <c r="I198" s="650"/>
      <c r="J198" s="650"/>
    </row>
    <row r="199">
      <c r="C199" s="18" t="s">
        <v>40</v>
      </c>
      <c r="D199" s="30" t="s">
        <v>41</v>
      </c>
      <c r="E199" s="19" t="s">
        <v>42</v>
      </c>
      <c r="F199" s="19" t="s">
        <v>43</v>
      </c>
      <c r="G199" s="19" t="s">
        <v>44</v>
      </c>
      <c r="H199" s="20" t="s">
        <v>45</v>
      </c>
      <c r="I199" s="650"/>
      <c r="J199" s="650"/>
    </row>
    <row r="200">
      <c r="C200" s="27" t="s">
        <v>22</v>
      </c>
      <c r="D200" s="38">
        <f>D184</f>
        <v>2034240</v>
      </c>
      <c r="E200" s="38">
        <f>E184</f>
        <v>0</v>
      </c>
      <c r="F200" s="38">
        <f>F184</f>
        <v>0</v>
      </c>
      <c r="G200" s="38">
        <f>G184</f>
        <v>0</v>
      </c>
      <c r="H200" s="52">
        <f>SUM(D200:G200)</f>
        <v>2034240</v>
      </c>
      <c r="I200" s="650"/>
      <c r="J200" s="650"/>
    </row>
    <row r="201">
      <c r="C201" s="27" t="s">
        <v>23</v>
      </c>
      <c r="D201" s="38">
        <f>SUM(D185:D187)</f>
        <v>894856</v>
      </c>
      <c r="E201" s="38">
        <f>SUM(E185:E187)</f>
        <v>0</v>
      </c>
      <c r="F201" s="38">
        <f>SUM(F185:F187)</f>
        <v>0</v>
      </c>
      <c r="G201" s="38"/>
      <c r="H201" s="52">
        <f>SUM(D201:G201)</f>
        <v>894856</v>
      </c>
      <c r="I201" s="650"/>
      <c r="J201" s="650"/>
    </row>
    <row r="202" ht="15">
      <c r="C202" s="27" t="s">
        <v>24</v>
      </c>
      <c r="D202" s="51">
        <f>D196</f>
        <v>205406.2</v>
      </c>
      <c r="E202" s="51">
        <f>E196</f>
        <v>205406.2</v>
      </c>
      <c r="F202" s="51">
        <f>F196</f>
        <v>205406.2</v>
      </c>
      <c r="G202" s="51">
        <f>G196</f>
        <v>0</v>
      </c>
      <c r="H202" s="52">
        <f>SUM(D202:G202)</f>
        <v>616218.60000000009</v>
      </c>
      <c r="I202" s="650"/>
      <c r="J202" s="650"/>
    </row>
    <row r="203" ht="15">
      <c r="C203" s="134" t="s">
        <v>40</v>
      </c>
      <c r="D203" s="135">
        <f>SUM(D200:D202)</f>
        <v>3134502.2</v>
      </c>
      <c r="E203" s="135">
        <f>SUM(E200:E202)</f>
        <v>205406.2</v>
      </c>
      <c r="F203" s="135">
        <f>SUM(F200:F202)</f>
        <v>205406.2</v>
      </c>
      <c r="G203" s="135">
        <f>SUM(G200:G202)</f>
        <v>0</v>
      </c>
      <c r="H203" s="136">
        <f>SUM(H200:H202)</f>
        <v>3545314.6</v>
      </c>
      <c r="I203" s="650"/>
      <c r="J203" s="650"/>
      <c r="M203" s="165">
        <f>SUM(D205:G205)</f>
        <v>3545314.6000000006</v>
      </c>
    </row>
    <row r="204" ht="15">
      <c r="C204" s="39" t="s">
        <v>46</v>
      </c>
      <c r="D204" s="119">
        <v>0</v>
      </c>
      <c r="E204" s="119">
        <v>0</v>
      </c>
      <c r="F204" s="119">
        <v>0</v>
      </c>
      <c r="G204" s="119">
        <v>0</v>
      </c>
      <c r="H204" s="137">
        <v>0</v>
      </c>
      <c r="I204" s="650"/>
      <c r="J204" s="650"/>
    </row>
    <row r="205" ht="15.6">
      <c r="C205" s="127" t="s">
        <v>47</v>
      </c>
      <c r="D205" s="138">
        <f>D203*(1+D204)</f>
        <v>3134502.2</v>
      </c>
      <c r="E205" s="138">
        <f ref="E205:H205" t="shared" si="7">E203*(1+E204)</f>
        <v>205406.2</v>
      </c>
      <c r="F205" s="138">
        <f t="shared" si="7"/>
        <v>205406.2</v>
      </c>
      <c r="G205" s="138">
        <f t="shared" si="7"/>
        <v>0</v>
      </c>
      <c r="H205" s="139">
        <f t="shared" si="7"/>
        <v>3545314.6</v>
      </c>
      <c r="I205" s="650"/>
      <c r="J205" s="650"/>
    </row>
    <row r="206">
      <c r="C206" s="121"/>
      <c r="D206" s="51"/>
      <c r="E206" s="35"/>
      <c r="F206" s="28"/>
      <c r="G206" s="28"/>
      <c r="H206" s="28"/>
      <c r="I206" s="650"/>
      <c r="J206" s="650"/>
    </row>
    <row r="207">
      <c r="I207" s="650"/>
      <c r="J207" s="650"/>
    </row>
    <row r="208" ht="15">
      <c r="I208" s="650"/>
      <c r="J208" s="650"/>
    </row>
    <row r="209" ht="15">
      <c r="C209" s="57" t="s">
        <v>48</v>
      </c>
      <c r="D209" s="19" t="s">
        <v>41</v>
      </c>
      <c r="E209" s="19" t="s">
        <v>42</v>
      </c>
      <c r="F209" s="19" t="s">
        <v>43</v>
      </c>
      <c r="G209" s="19" t="s">
        <v>44</v>
      </c>
      <c r="H209" s="20" t="s">
        <v>45</v>
      </c>
      <c r="I209" s="650"/>
      <c r="J209" s="650"/>
    </row>
    <row r="210">
      <c r="C210" s="56" t="s">
        <v>15</v>
      </c>
      <c r="D210" s="65"/>
      <c r="E210" s="66">
        <f>E178</f>
        <v>8170161.5612313971</v>
      </c>
      <c r="F210" s="66">
        <f>F178</f>
        <v>8170161.5612313971</v>
      </c>
      <c r="G210" s="66">
        <f>G178</f>
        <v>8170161.5612313971</v>
      </c>
      <c r="H210" s="67">
        <f>H178</f>
        <v>24510484.683694191</v>
      </c>
      <c r="I210" s="650"/>
      <c r="J210" s="650"/>
    </row>
    <row r="211" ht="15">
      <c r="C211" s="16" t="s">
        <v>16</v>
      </c>
      <c r="D211" s="58">
        <f>D205</f>
        <v>3134502.2</v>
      </c>
      <c r="E211" s="58">
        <f ref="E211:H211" t="shared" si="8">E205</f>
        <v>205406.2</v>
      </c>
      <c r="F211" s="58">
        <f t="shared" si="8"/>
        <v>205406.2</v>
      </c>
      <c r="G211" s="58">
        <f t="shared" si="8"/>
        <v>0</v>
      </c>
      <c r="H211" s="275">
        <f t="shared" si="8"/>
        <v>3545314.6</v>
      </c>
      <c r="I211" s="650"/>
      <c r="J211" s="650"/>
    </row>
    <row r="212" ht="15">
      <c r="C212" s="10" t="s">
        <v>49</v>
      </c>
      <c r="D212" s="34">
        <f>D210-D211</f>
        <v>-3134502.2</v>
      </c>
      <c r="E212" s="34">
        <f ref="E212:H212" t="shared" si="9">E210-E211</f>
        <v>7964755.3612313969</v>
      </c>
      <c r="F212" s="34">
        <f t="shared" si="9"/>
        <v>7964755.3612313969</v>
      </c>
      <c r="G212" s="34">
        <f t="shared" si="9"/>
        <v>8170161.5612313971</v>
      </c>
      <c r="H212" s="68">
        <f t="shared" si="9"/>
        <v>20965170.08369419</v>
      </c>
      <c r="I212" s="650"/>
      <c r="J212" s="650"/>
    </row>
    <row r="213">
      <c r="C213" s="10"/>
      <c r="D213" s="34"/>
      <c r="E213" s="34"/>
      <c r="F213" s="34"/>
      <c r="G213" s="34"/>
      <c r="H213" s="68"/>
      <c r="I213" s="650"/>
      <c r="J213" s="650"/>
    </row>
    <row r="214">
      <c r="C214" s="10" t="s">
        <v>50</v>
      </c>
      <c r="D214" s="271">
        <v>0</v>
      </c>
      <c r="E214" s="271">
        <v>1</v>
      </c>
      <c r="F214" s="271">
        <v>2</v>
      </c>
      <c r="G214" s="271">
        <v>3</v>
      </c>
      <c r="H214" s="272"/>
      <c r="I214" s="650"/>
      <c r="J214" s="650"/>
    </row>
    <row r="215">
      <c r="C215" s="10" t="s">
        <v>51</v>
      </c>
      <c r="D215" s="34">
        <f>D210</f>
        <v>0</v>
      </c>
      <c r="E215" s="34">
        <f ref="E215:H215" t="shared" si="10">E210</f>
        <v>8170161.5612313971</v>
      </c>
      <c r="F215" s="34">
        <f t="shared" si="10"/>
        <v>8170161.5612313971</v>
      </c>
      <c r="G215" s="34">
        <f t="shared" si="10"/>
        <v>8170161.5612313971</v>
      </c>
      <c r="H215" s="68">
        <f t="shared" si="10"/>
        <v>24510484.683694191</v>
      </c>
      <c r="I215" s="650"/>
      <c r="J215" s="650"/>
    </row>
    <row r="216">
      <c r="C216" s="10" t="s">
        <v>52</v>
      </c>
      <c r="D216" s="34">
        <f>-D212</f>
        <v>3134502.2</v>
      </c>
      <c r="E216" s="34">
        <f>-($D$212+SUM($E$215:E215))</f>
        <v>-5035659.3612313969</v>
      </c>
      <c r="F216" s="34">
        <f>-($D$212+SUM($E$215:F215))</f>
        <v>-13205820.922462795</v>
      </c>
      <c r="G216" s="34">
        <f>-($D$212+SUM($E$215:G215))</f>
        <v>-21375982.483694192</v>
      </c>
      <c r="H216" s="68"/>
      <c r="I216" s="650"/>
      <c r="J216" s="650"/>
    </row>
    <row r="217">
      <c r="C217" s="10"/>
      <c r="D217" s="34"/>
      <c r="E217" s="34"/>
      <c r="F217" s="34"/>
      <c r="G217" s="34"/>
      <c r="H217" s="68"/>
      <c r="I217" s="650"/>
      <c r="J217" s="650"/>
    </row>
    <row r="218" ht="15">
      <c r="C218" s="10"/>
      <c r="D218" s="34"/>
      <c r="E218" s="34"/>
      <c r="F218" s="34"/>
      <c r="G218" s="34"/>
      <c r="H218" s="68"/>
      <c r="I218" s="650"/>
      <c r="J218" s="650"/>
    </row>
    <row r="219" ht="13.95" customHeight="1">
      <c r="C219" s="59" t="s">
        <v>53</v>
      </c>
      <c r="D219" s="60">
        <f>(H210-H211)/H211</f>
        <v>5.913486516455885</v>
      </c>
      <c r="E219" s="34"/>
      <c r="F219" s="34"/>
      <c r="G219" s="34"/>
      <c r="H219" s="68"/>
      <c r="I219" s="650"/>
      <c r="J219" s="650"/>
    </row>
    <row r="220">
      <c r="C220" s="61" t="s">
        <v>54</v>
      </c>
      <c r="D220" s="62">
        <f>NPV(8%,D212:H212)</f>
        <v>30522711.842714448</v>
      </c>
      <c r="E220" s="34"/>
      <c r="F220" s="34"/>
      <c r="G220" s="34"/>
      <c r="H220" s="68"/>
      <c r="I220" s="650"/>
      <c r="J220" s="650"/>
    </row>
    <row r="221">
      <c r="C221" s="61" t="s">
        <v>476</v>
      </c>
      <c r="D221" s="273">
        <f>ABS(D216/E215)*12</f>
        <v>4.6038289595745594</v>
      </c>
      <c r="E221" s="34"/>
      <c r="F221" s="34"/>
      <c r="G221" s="34"/>
      <c r="H221" s="68"/>
      <c r="I221" s="650"/>
      <c r="J221" s="650"/>
    </row>
    <row r="222" ht="15">
      <c r="C222" s="63" t="s">
        <v>56</v>
      </c>
      <c r="D222" s="64">
        <f>H211</f>
        <v>3545314.6</v>
      </c>
      <c r="E222" s="34"/>
      <c r="F222" s="34"/>
      <c r="G222" s="34"/>
      <c r="H222" s="68"/>
      <c r="I222" s="650"/>
      <c r="J222" s="650"/>
    </row>
    <row r="223" ht="15">
      <c r="C223" s="21"/>
      <c r="D223" s="32"/>
      <c r="E223" s="13"/>
      <c r="F223" s="13"/>
      <c r="G223" s="13"/>
      <c r="H223" s="22"/>
      <c r="I223" s="650"/>
      <c r="J223" s="650"/>
    </row>
  </sheetData>
  <mergeCells>
    <mergeCell ref="I183:J223"/>
  </mergeCells>
  <pageMargins left="0.7" right="0.7" top="0.75" bottom="0.75" header="0.3" footer="0.3"/>
  <pageSetup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5" tint="0.39997558519241921"/>
  </sheetPr>
  <dimension ref="A2:O224"/>
  <sheetViews>
    <sheetView showGridLines="0" topLeftCell="A142" zoomScale="96" zoomScaleNormal="96" workbookViewId="0">
      <selection activeCell="J166" sqref="J166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Assumptions!J5</f>
        <v>2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Assumptions!J7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Assumptions!J9</f>
        <v>0.2</v>
      </c>
      <c r="F8" s="45"/>
      <c r="G8" s="45"/>
      <c r="H8" s="269"/>
    </row>
    <row r="9" ht="15">
      <c r="C9" s="144" t="s">
        <v>354</v>
      </c>
      <c r="D9" s="145"/>
      <c r="E9" s="146">
        <f>Benefits!J7</f>
        <v>0.22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35200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Assumptions!J8</f>
        <v>8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Assumptions!J10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Benefits!J8</f>
        <v>0.22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Benefits!J8</f>
        <v>0.22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135520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170720</v>
      </c>
      <c r="F18" s="9"/>
      <c r="G18" s="9"/>
      <c r="H18" s="11"/>
    </row>
    <row r="19" ht="15">
      <c r="C19" s="168" t="s">
        <v>46</v>
      </c>
      <c r="D19" s="169"/>
      <c r="E19" s="170"/>
      <c r="F19" s="171"/>
      <c r="G19" s="171"/>
      <c r="H19" s="172"/>
    </row>
    <row r="20" ht="15.6">
      <c r="C20" s="72" t="s">
        <v>363</v>
      </c>
      <c r="D20" s="73"/>
      <c r="E20" s="85">
        <f>E18*(1-E19)</f>
        <v>170720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Assumptions!J12</f>
        <v>4</v>
      </c>
      <c r="F24" s="9"/>
      <c r="G24" s="9"/>
      <c r="H24" s="11"/>
    </row>
    <row r="25">
      <c r="C25" s="10" t="s">
        <v>366</v>
      </c>
      <c r="D25" s="31"/>
      <c r="E25" s="12">
        <f>Assumptions!J13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Benefits!J10</f>
        <v>0.32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256000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Assumptions!J14</f>
        <v>5</v>
      </c>
      <c r="F29" s="9"/>
      <c r="G29" s="9"/>
      <c r="H29" s="11"/>
    </row>
    <row r="30">
      <c r="C30" s="10" t="s">
        <v>370</v>
      </c>
      <c r="D30" s="31"/>
      <c r="E30" s="46">
        <f>Assumptions!J15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Benefits!J11</f>
        <v>0.32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240000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Assumptions!J16</f>
        <v>6</v>
      </c>
      <c r="F34" s="9"/>
      <c r="G34" s="9"/>
      <c r="H34" s="11"/>
    </row>
    <row r="35">
      <c r="C35" s="10" t="s">
        <v>374</v>
      </c>
      <c r="D35" s="31"/>
      <c r="E35" s="46">
        <f>Assumptions!J17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Benefits!J12</f>
        <v>0.32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230400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726400</v>
      </c>
      <c r="F39" s="9"/>
      <c r="G39" s="9"/>
      <c r="H39" s="11"/>
    </row>
    <row r="40" ht="15">
      <c r="C40" s="168" t="s">
        <v>46</v>
      </c>
      <c r="D40" s="169"/>
      <c r="E40" s="170"/>
      <c r="F40" s="171"/>
      <c r="G40" s="171"/>
      <c r="H40" s="172"/>
    </row>
    <row r="41" ht="15.6">
      <c r="C41" s="72" t="s">
        <v>378</v>
      </c>
      <c r="D41" s="73"/>
      <c r="E41" s="93">
        <f>E39*(1-E40)</f>
        <v>726400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Assumptions!J19</f>
        <v>75</v>
      </c>
      <c r="F46" s="9"/>
      <c r="G46" s="9"/>
      <c r="H46" s="11"/>
    </row>
    <row r="47">
      <c r="C47" s="10" t="s">
        <v>380</v>
      </c>
      <c r="D47" s="31"/>
      <c r="E47" s="15">
        <f>Assumptions!J21</f>
        <v>120000</v>
      </c>
      <c r="F47" s="9"/>
      <c r="G47" s="9"/>
      <c r="H47" s="11"/>
    </row>
    <row r="48">
      <c r="C48" s="10" t="s">
        <v>381</v>
      </c>
      <c r="D48" s="31"/>
      <c r="E48" s="17">
        <f>Assumptions!J20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Benefits!J14</f>
        <v>0.35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315000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Assumptions!J22</f>
        <v>200</v>
      </c>
      <c r="F52" s="9"/>
      <c r="G52" s="9"/>
      <c r="H52" s="11"/>
    </row>
    <row r="53">
      <c r="C53" s="10" t="s">
        <v>385</v>
      </c>
      <c r="D53" s="31"/>
      <c r="E53" s="15">
        <f>Assumptions!J24</f>
        <v>100000</v>
      </c>
      <c r="F53" s="9"/>
      <c r="G53" s="9"/>
      <c r="H53" s="11"/>
    </row>
    <row r="54">
      <c r="C54" s="10" t="s">
        <v>381</v>
      </c>
      <c r="D54" s="31"/>
      <c r="E54" s="17">
        <f>Assumptions!J23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Benefits!J15</f>
        <v>0.35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700000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1015000</v>
      </c>
      <c r="F58" s="9"/>
      <c r="G58" s="9"/>
      <c r="H58" s="11"/>
    </row>
    <row r="59" ht="15">
      <c r="C59" s="168" t="s">
        <v>46</v>
      </c>
      <c r="D59" s="169"/>
      <c r="E59" s="170"/>
      <c r="F59" s="171"/>
      <c r="G59" s="171"/>
      <c r="H59" s="172"/>
    </row>
    <row r="60" ht="15.6">
      <c r="C60" s="76" t="s">
        <v>389</v>
      </c>
      <c r="D60" s="77"/>
      <c r="E60" s="86">
        <f>E58*(1-E59)</f>
        <v>1015000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Assumptions!J26</f>
        <v>1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Benefits!J18</f>
        <v>0.28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Assumptions!J27</f>
        <v>22000000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Assumptions!J28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862400.00000000023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862400.00000000023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862400.00000000023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Assumptions!J30</f>
        <v>9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Benefits!J20</f>
        <v>0.5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Assumptions!J31</f>
        <v>1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Assumptions!J32</f>
        <v>30000000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Assumptions!J33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1575000.0000000002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1575000.0000000002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1575000.0000000002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Assumptions!J35</f>
        <v>6063334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Assumptions!J36</f>
        <v>0.13124999999999998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Benefits!J22</f>
        <v>0.22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175078.76924999998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Assumptions!J39</f>
        <v>4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Benefits!J23</f>
        <v>0.22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Assumptions!J37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Assumptions!J38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35200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210278.76924999998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210278.76924999998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  <c r="J107" s="143">
        <f>E108*E114</f>
        <v>44700000</v>
      </c>
    </row>
    <row r="108" ht="18" customHeight="1">
      <c r="C108" s="27" t="s">
        <v>418</v>
      </c>
      <c r="D108" s="37"/>
      <c r="E108" s="37">
        <f>Assumptions!J41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Assumptions!J42</f>
        <v>13.8</v>
      </c>
      <c r="F109" s="23"/>
      <c r="G109" s="23"/>
      <c r="H109" s="24"/>
      <c r="J109" s="0">
        <f>7.45*75%</f>
        <v>5.5875</v>
      </c>
    </row>
    <row r="110" ht="18" customHeight="1">
      <c r="C110" s="99" t="s">
        <v>420</v>
      </c>
      <c r="D110" s="284"/>
      <c r="E110" s="284">
        <f>E108*E109</f>
        <v>102.81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Benefits!J26</f>
        <v>0.25</v>
      </c>
      <c r="F111" s="151"/>
      <c r="G111" s="151"/>
      <c r="H111" s="152"/>
      <c r="J111" s="165">
        <f>E114*75%</f>
        <v>4500000</v>
      </c>
    </row>
    <row r="112" ht="19.95" customHeight="1">
      <c r="C112" s="149" t="s">
        <v>422</v>
      </c>
      <c r="D112" s="160"/>
      <c r="E112" s="160">
        <f>Benefits!J27</f>
        <v>0.3</v>
      </c>
      <c r="F112" s="151"/>
      <c r="G112" s="151"/>
      <c r="H112" s="152"/>
      <c r="J112" s="143">
        <f>J109*J111</f>
        <v>25143750</v>
      </c>
    </row>
    <row r="113" ht="18" customHeight="1">
      <c r="C113" s="99" t="s">
        <v>423</v>
      </c>
      <c r="D113" s="284"/>
      <c r="E113" s="284">
        <f>(E108*(1-E111))*(E109*(1-E112))</f>
        <v>53.97525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Assumptions!J43</f>
        <v>6000000</v>
      </c>
      <c r="F114" s="23"/>
      <c r="G114" s="23"/>
      <c r="H114" s="24"/>
      <c r="J114" s="143">
        <f>J107-J112</f>
        <v>19556250</v>
      </c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  <c r="J115" s="165">
        <f>+J114*5%</f>
        <v>977812.5</v>
      </c>
    </row>
    <row r="116" ht="16.95" customHeight="1">
      <c r="C116" s="285" t="s">
        <v>426</v>
      </c>
      <c r="D116" s="286"/>
      <c r="E116" s="286">
        <f>E114/E115</f>
        <v>16438.35616438356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887264.38356164377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Assumptions!J44</f>
        <v>4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53.97525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Assumptions!J45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16192.575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903456.95856164373</v>
      </c>
      <c r="F123" s="91"/>
      <c r="G123" s="91"/>
      <c r="H123" s="92"/>
    </row>
    <row r="124" ht="15">
      <c r="C124" s="168" t="s">
        <v>433</v>
      </c>
      <c r="D124" s="174"/>
      <c r="E124" s="175"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903456.95856164373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Assumptions!J47</f>
        <v>4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Assumptions!J48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Assumptions!J49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Benefits!J29</f>
        <v>0.28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84000.000000000015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Assumptions!J50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Assumptions!J51</f>
        <v>0.03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Benefits!J30</f>
        <v>0.65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487500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571500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571500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Assumptions!J53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0.87599999999990352</v>
      </c>
    </row>
    <row r="151" ht="15.6" customHeight="1">
      <c r="C151" s="27" t="s">
        <v>454</v>
      </c>
      <c r="D151" s="36"/>
      <c r="E151" s="36">
        <f>Assumptions!J54</f>
        <v>0.99995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0.43799999999995176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0.87599999999990352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Assumptions!J55</f>
        <v>1908000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Benefits!J32</f>
        <v>0.46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768847.6799999153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Assumptions!J56</f>
        <v>4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Assumptions!J57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Assumptions!J58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Benefits!J33</f>
        <v>0.28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168000.00000000003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936847.6799999153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936847.6799999153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170720</v>
      </c>
      <c r="F169" s="47">
        <f>E169</f>
        <v>170720</v>
      </c>
      <c r="G169" s="47">
        <f>F169</f>
        <v>170720</v>
      </c>
      <c r="H169" s="53">
        <f>SUM(E169:G169)</f>
        <v>512160</v>
      </c>
      <c r="J169" s="50">
        <f>E169/$E$178</f>
        <v>0.024487910458118035</v>
      </c>
    </row>
    <row r="170" ht="17.4" customHeight="1">
      <c r="C170" s="25" t="s">
        <v>27</v>
      </c>
      <c r="D170" s="36"/>
      <c r="E170" s="47">
        <f>E41</f>
        <v>726400</v>
      </c>
      <c r="F170" s="47">
        <f ref="F170:G177" t="shared" si="0">E170</f>
        <v>726400</v>
      </c>
      <c r="G170" s="47">
        <f t="shared" si="0"/>
        <v>726400</v>
      </c>
      <c r="H170" s="53">
        <f ref="H170:H177" t="shared" si="1">SUM(E170:G170)</f>
        <v>2179200</v>
      </c>
      <c r="J170" s="50">
        <f ref="J170:J177" t="shared" si="2">E170/$E$178</f>
        <v>0.10419410822854347</v>
      </c>
    </row>
    <row r="171" ht="21" customHeight="1">
      <c r="C171" s="27" t="s">
        <v>28</v>
      </c>
      <c r="D171" s="37"/>
      <c r="E171" s="47">
        <f>E60</f>
        <v>1015000</v>
      </c>
      <c r="F171" s="47">
        <f t="shared" si="0"/>
        <v>1015000</v>
      </c>
      <c r="G171" s="47">
        <f t="shared" si="0"/>
        <v>1015000</v>
      </c>
      <c r="H171" s="53">
        <f t="shared" si="1"/>
        <v>3045000</v>
      </c>
      <c r="J171" s="50">
        <f t="shared" si="2"/>
        <v>0.14559061102969662</v>
      </c>
    </row>
    <row r="172" ht="21" customHeight="1">
      <c r="C172" s="27" t="s">
        <v>30</v>
      </c>
      <c r="D172" s="36"/>
      <c r="E172" s="47">
        <f>E72</f>
        <v>862400.00000000023</v>
      </c>
      <c r="F172" s="47">
        <f t="shared" si="0"/>
        <v>862400.00000000023</v>
      </c>
      <c r="G172" s="47">
        <f t="shared" si="0"/>
        <v>862400.00000000023</v>
      </c>
      <c r="H172" s="53">
        <f t="shared" si="1"/>
        <v>2587200.0000000009</v>
      </c>
      <c r="J172" s="50">
        <f t="shared" si="2"/>
        <v>0.1237018157162664</v>
      </c>
    </row>
    <row r="173" ht="21" customHeight="1">
      <c r="C173" s="27" t="s">
        <v>31</v>
      </c>
      <c r="D173" s="35"/>
      <c r="E173" s="47">
        <f>E86</f>
        <v>1575000.0000000002</v>
      </c>
      <c r="F173" s="47">
        <f t="shared" si="0"/>
        <v>1575000.0000000002</v>
      </c>
      <c r="G173" s="47">
        <f t="shared" si="0"/>
        <v>1575000.0000000002</v>
      </c>
      <c r="H173" s="53">
        <f t="shared" si="1"/>
        <v>4725000.0000000009</v>
      </c>
      <c r="J173" s="50">
        <f t="shared" si="2"/>
        <v>0.22591646539090857</v>
      </c>
    </row>
    <row r="174" ht="21" customHeight="1">
      <c r="C174" s="27" t="s">
        <v>32</v>
      </c>
      <c r="E174" s="47">
        <f>E103</f>
        <v>210278.76924999998</v>
      </c>
      <c r="F174" s="47">
        <f t="shared" si="0"/>
        <v>210278.76924999998</v>
      </c>
      <c r="G174" s="47">
        <f t="shared" si="0"/>
        <v>210278.76924999998</v>
      </c>
      <c r="H174" s="53">
        <f t="shared" si="1"/>
        <v>630836.30774999992</v>
      </c>
      <c r="J174" s="50">
        <f t="shared" si="2"/>
        <v>0.03016218177505426</v>
      </c>
    </row>
    <row r="175" ht="21" customHeight="1">
      <c r="C175" s="27" t="s">
        <v>34</v>
      </c>
      <c r="D175" s="38"/>
      <c r="E175" s="47">
        <f>E125</f>
        <v>903456.95856164373</v>
      </c>
      <c r="F175" s="47">
        <f t="shared" si="0"/>
        <v>903456.95856164373</v>
      </c>
      <c r="G175" s="47">
        <f t="shared" si="0"/>
        <v>903456.95856164373</v>
      </c>
      <c r="H175" s="53">
        <f t="shared" si="1"/>
        <v>2710370.8756849309</v>
      </c>
      <c r="J175" s="50">
        <f t="shared" si="2"/>
        <v>0.12959098584829656</v>
      </c>
    </row>
    <row r="176" ht="21" customHeight="1">
      <c r="C176" s="27" t="s">
        <v>35</v>
      </c>
      <c r="D176" s="38"/>
      <c r="E176" s="47">
        <f>E143</f>
        <v>571500</v>
      </c>
      <c r="F176" s="47">
        <f t="shared" si="0"/>
        <v>571500</v>
      </c>
      <c r="G176" s="47">
        <f t="shared" si="0"/>
        <v>571500</v>
      </c>
      <c r="H176" s="53">
        <f t="shared" si="1"/>
        <v>1714500</v>
      </c>
      <c r="J176" s="50">
        <f t="shared" si="2"/>
        <v>0.081975403156129667</v>
      </c>
    </row>
    <row r="177" ht="21" customHeight="1">
      <c r="C177" s="27" t="s">
        <v>36</v>
      </c>
      <c r="D177" s="38"/>
      <c r="E177" s="47">
        <f>E164</f>
        <v>936847.6799999153</v>
      </c>
      <c r="F177" s="47">
        <f t="shared" si="0"/>
        <v>936847.6799999153</v>
      </c>
      <c r="G177" s="47">
        <f t="shared" si="0"/>
        <v>936847.6799999153</v>
      </c>
      <c r="H177" s="53">
        <f t="shared" si="1"/>
        <v>2810543.0399997458</v>
      </c>
      <c r="J177" s="50">
        <f t="shared" si="2"/>
        <v>0.13438051839698656</v>
      </c>
    </row>
    <row r="178" ht="21" customHeight="1">
      <c r="C178" s="49">
        <v>1000000</v>
      </c>
      <c r="D178" s="126"/>
      <c r="E178" s="126">
        <f>SUM(E169:E177)</f>
        <v>6971603.4078115588</v>
      </c>
      <c r="F178" s="126">
        <f ref="F178:G178" t="shared" si="3">SUM(F169:F177)</f>
        <v>6971603.4078115588</v>
      </c>
      <c r="G178" s="126">
        <f t="shared" si="3"/>
        <v>6971603.4078115588</v>
      </c>
      <c r="H178" s="129">
        <f>SUM(H169:H177)</f>
        <v>20914810.223434679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Costs!J27</f>
        <v>1428221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Costs!J24</f>
        <v>859766</v>
      </c>
      <c r="E185" s="38"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Costs!J25</f>
        <v>2510576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Costs!J26</f>
        <v>507347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5305910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Costs!J20</f>
        <v>20724.6</v>
      </c>
      <c r="E192" s="38">
        <f>D192</f>
        <v>20724.6</v>
      </c>
      <c r="F192" s="38">
        <f>E192</f>
        <v>20724.6</v>
      </c>
      <c r="G192" s="38"/>
      <c r="H192" s="131">
        <f ref="H192:H195" t="shared" si="5">SUM(D192:G192)</f>
        <v>62173.799999999996</v>
      </c>
      <c r="I192" s="650"/>
      <c r="J192" s="650"/>
    </row>
    <row r="193">
      <c r="C193" s="0" t="s">
        <v>284</v>
      </c>
      <c r="D193" s="165">
        <f>Costs!J21</f>
        <v>7200</v>
      </c>
      <c r="E193" s="38">
        <f ref="E193:F195" t="shared" si="6">D193</f>
        <v>7200</v>
      </c>
      <c r="F193" s="38">
        <f t="shared" si="6"/>
        <v>7200</v>
      </c>
      <c r="G193" s="35"/>
      <c r="H193" s="131">
        <f t="shared" si="5"/>
        <v>21600</v>
      </c>
      <c r="I193" s="650"/>
      <c r="J193" s="650"/>
    </row>
    <row r="194">
      <c r="C194" s="0" t="s">
        <v>677</v>
      </c>
      <c r="D194" s="165">
        <f>Costs!J22</f>
        <v>39900</v>
      </c>
      <c r="E194" s="38">
        <f>D194</f>
        <v>39900</v>
      </c>
      <c r="F194" s="38">
        <f>E194</f>
        <v>39900</v>
      </c>
      <c r="G194" s="35"/>
      <c r="H194" s="131">
        <f t="shared" si="5"/>
        <v>119700</v>
      </c>
      <c r="I194" s="650"/>
      <c r="J194" s="650"/>
    </row>
    <row r="195">
      <c r="C195" s="0" t="s">
        <v>229</v>
      </c>
      <c r="D195" s="165">
        <f>Costs!J23</f>
        <v>620333.8</v>
      </c>
      <c r="E195" s="38">
        <f t="shared" si="6"/>
        <v>620333.8</v>
      </c>
      <c r="F195" s="38">
        <f t="shared" si="6"/>
        <v>620333.8</v>
      </c>
      <c r="G195" s="35"/>
      <c r="H195" s="131">
        <f t="shared" si="5"/>
        <v>1861001.4000000001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688158.4</v>
      </c>
      <c r="E197" s="128">
        <f>SUM(E192:E196)</f>
        <v>688158.4</v>
      </c>
      <c r="F197" s="128">
        <f>SUM(F192:F196)</f>
        <v>688158.4</v>
      </c>
      <c r="G197" s="128">
        <f>SUM(G192:G196)</f>
        <v>0</v>
      </c>
      <c r="H197" s="140">
        <f>SUM(D197:G197)</f>
        <v>2064475.2000000002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1428221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1428221</v>
      </c>
      <c r="I201" s="650"/>
      <c r="J201" s="650"/>
    </row>
    <row r="202">
      <c r="C202" s="27" t="s">
        <v>23</v>
      </c>
      <c r="D202" s="38">
        <f>SUM(D185:D187)</f>
        <v>3877689</v>
      </c>
      <c r="E202" s="38">
        <f>SUM(E185:E187)</f>
        <v>0</v>
      </c>
      <c r="F202" s="38">
        <f>SUM(F185:F187)</f>
        <v>0</v>
      </c>
      <c r="G202" s="38"/>
      <c r="H202" s="52">
        <f>SUM(D202:G202)</f>
        <v>3877689</v>
      </c>
      <c r="I202" s="650"/>
      <c r="J202" s="650"/>
    </row>
    <row r="203" ht="15">
      <c r="C203" s="27" t="s">
        <v>24</v>
      </c>
      <c r="D203" s="51">
        <f>D197</f>
        <v>688158.4</v>
      </c>
      <c r="E203" s="51">
        <f>E197</f>
        <v>688158.4</v>
      </c>
      <c r="F203" s="51">
        <f>F197</f>
        <v>688158.4</v>
      </c>
      <c r="G203" s="51">
        <f>G197</f>
        <v>0</v>
      </c>
      <c r="H203" s="52">
        <f>SUM(D203:G203)</f>
        <v>2064475.2000000002</v>
      </c>
      <c r="I203" s="650"/>
      <c r="J203" s="650"/>
    </row>
    <row r="204" ht="15">
      <c r="C204" s="134" t="s">
        <v>40</v>
      </c>
      <c r="D204" s="135">
        <f>SUM(D201:D203)</f>
        <v>5994068.4</v>
      </c>
      <c r="E204" s="135">
        <f>SUM(E201:E203)</f>
        <v>688158.4</v>
      </c>
      <c r="F204" s="135">
        <f>SUM(F201:F203)</f>
        <v>688158.4</v>
      </c>
      <c r="G204" s="135">
        <f>SUM(G201:G203)</f>
        <v>0</v>
      </c>
      <c r="H204" s="136">
        <f>SUM(H201:H203)</f>
        <v>7370385.2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5994068.4</v>
      </c>
      <c r="E206" s="138">
        <f ref="E206:H206" t="shared" si="7">E204*(1+E205)</f>
        <v>688158.4</v>
      </c>
      <c r="F206" s="138">
        <f t="shared" si="7"/>
        <v>688158.4</v>
      </c>
      <c r="G206" s="138">
        <f t="shared" si="7"/>
        <v>0</v>
      </c>
      <c r="H206" s="139">
        <f t="shared" si="7"/>
        <v>7370385.2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6971603.4078115588</v>
      </c>
      <c r="F211" s="66">
        <f>F178</f>
        <v>6971603.4078115588</v>
      </c>
      <c r="G211" s="66">
        <f>G178</f>
        <v>6971603.4078115588</v>
      </c>
      <c r="H211" s="67">
        <f>H178</f>
        <v>20914810.223434679</v>
      </c>
      <c r="I211" s="650"/>
      <c r="J211" s="650"/>
    </row>
    <row r="212" ht="15">
      <c r="C212" s="16" t="s">
        <v>16</v>
      </c>
      <c r="D212" s="58">
        <f>D206</f>
        <v>5994068.4</v>
      </c>
      <c r="E212" s="58">
        <f ref="E212:H212" t="shared" si="8">E206</f>
        <v>688158.4</v>
      </c>
      <c r="F212" s="58">
        <f t="shared" si="8"/>
        <v>688158.4</v>
      </c>
      <c r="G212" s="58">
        <f t="shared" si="8"/>
        <v>0</v>
      </c>
      <c r="H212" s="275">
        <f t="shared" si="8"/>
        <v>7370385.2</v>
      </c>
      <c r="I212" s="650"/>
      <c r="J212" s="650"/>
    </row>
    <row r="213" ht="15">
      <c r="C213" s="10" t="s">
        <v>49</v>
      </c>
      <c r="D213" s="34">
        <f>D211-D212</f>
        <v>-5994068.4</v>
      </c>
      <c r="E213" s="34">
        <f ref="E213:H213" t="shared" si="9">E211-E212</f>
        <v>6283445.0078115584</v>
      </c>
      <c r="F213" s="34">
        <f t="shared" si="9"/>
        <v>6283445.0078115584</v>
      </c>
      <c r="G213" s="34">
        <f t="shared" si="9"/>
        <v>6971603.4078115588</v>
      </c>
      <c r="H213" s="68">
        <f t="shared" si="9"/>
        <v>13544425.02343468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6971603.4078115588</v>
      </c>
      <c r="F216" s="34">
        <f t="shared" si="10"/>
        <v>6971603.4078115588</v>
      </c>
      <c r="G216" s="34">
        <f t="shared" si="10"/>
        <v>6971603.4078115588</v>
      </c>
      <c r="H216" s="68">
        <f t="shared" si="10"/>
        <v>20914810.223434679</v>
      </c>
      <c r="I216" s="650"/>
      <c r="J216" s="650"/>
    </row>
    <row r="217">
      <c r="C217" s="10" t="s">
        <v>52</v>
      </c>
      <c r="D217" s="34">
        <f>-D213</f>
        <v>5994068.4</v>
      </c>
      <c r="E217" s="34">
        <f>-($D$213+SUM($E$216:E216))</f>
        <v>-977535.00781155843</v>
      </c>
      <c r="F217" s="34">
        <f>-($D$213+SUM($E$216:F216))</f>
        <v>-7949138.4156231172</v>
      </c>
      <c r="G217" s="34">
        <f>-($D$213+SUM($E$216:G216))</f>
        <v>-14920741.823434675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</row>
    <row r="219" ht="15">
      <c r="C219" s="10"/>
      <c r="D219" s="34"/>
      <c r="E219" s="34"/>
      <c r="F219" s="34"/>
      <c r="G219" s="34"/>
      <c r="H219" s="68"/>
      <c r="I219" s="650"/>
      <c r="J219" s="650"/>
    </row>
    <row r="220" ht="13.95" customHeight="1">
      <c r="C220" s="59" t="s">
        <v>53</v>
      </c>
      <c r="D220" s="60">
        <f>(H211-H212)/H212</f>
        <v>1.8376821096724605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19167423.940005124</v>
      </c>
      <c r="E221" s="34"/>
      <c r="F221" s="34"/>
      <c r="G221" s="34"/>
      <c r="H221" s="68"/>
      <c r="I221" s="650"/>
      <c r="J221" s="650"/>
    </row>
    <row r="222">
      <c r="C222" s="61" t="s">
        <v>236</v>
      </c>
      <c r="D222" s="273">
        <f>(ABS(D217/E216)*12)</f>
        <v>10.317399971347342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7370385.2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2:P65"/>
  <sheetViews>
    <sheetView workbookViewId="0">
      <selection activeCell="H27" sqref="H27"/>
    </sheetView>
  </sheetViews>
  <sheetFormatPr defaultColWidth="8.88671875" defaultRowHeight="13.2" x14ac:dyDescent="0.25"/>
  <cols>
    <col min="1" max="1" width="7.88671875" customWidth="1" style="5"/>
    <col min="2" max="2" width="33.6640625" customWidth="1" style="5"/>
    <col min="3" max="3" width="18.109375" customWidth="1" style="5"/>
    <col min="4" max="4" width="19.33203125" customWidth="1" style="5"/>
    <col min="5" max="5" width="15.88671875" customWidth="1" style="5"/>
    <col min="6" max="6" width="8.88671875" customWidth="1" style="5"/>
    <col min="7" max="7" width="25.6640625" customWidth="1" style="5"/>
    <col min="8" max="8" width="19.33203125" customWidth="1" style="5"/>
    <col min="9" max="9" width="17.5546875" customWidth="1" style="5"/>
    <col min="10" max="13" width="12.6640625" customWidth="1" style="5"/>
    <col min="14" max="14" width="21.33203125" customWidth="1" style="5"/>
    <col min="15" max="15" width="14.44140625" customWidth="1" style="5"/>
    <col min="16" max="16" width="12.109375" customWidth="1" style="5"/>
    <col min="17" max="16384" width="8.88671875" customWidth="1" style="5"/>
  </cols>
  <sheetData>
    <row r="2">
      <c r="B2" s="5" t="s">
        <v>477</v>
      </c>
      <c r="C2" s="235">
        <v>10.526315789473685</v>
      </c>
    </row>
    <row r="5" ht="13.8"/>
    <row r="6">
      <c r="B6" s="236"/>
      <c r="C6" s="236" t="s">
        <v>11</v>
      </c>
      <c r="D6" s="236" t="s">
        <v>12</v>
      </c>
      <c r="G6" s="238"/>
      <c r="H6" s="182" t="s">
        <v>478</v>
      </c>
      <c r="I6" s="182" t="s">
        <v>479</v>
      </c>
      <c r="J6" s="182" t="s">
        <v>480</v>
      </c>
      <c r="K6" s="182" t="s">
        <v>12</v>
      </c>
      <c r="L6" s="182" t="s">
        <v>481</v>
      </c>
      <c r="M6" s="182"/>
      <c r="N6" s="185" t="s">
        <v>482</v>
      </c>
    </row>
    <row r="7">
      <c r="G7" s="186" t="s">
        <v>117</v>
      </c>
      <c r="H7" s="187">
        <v>187</v>
      </c>
      <c r="I7" s="187">
        <f>H7/C2</f>
        <v>17.764999999999997</v>
      </c>
      <c r="J7" s="187">
        <v>18</v>
      </c>
      <c r="K7" s="187">
        <v>198</v>
      </c>
      <c r="L7" s="187">
        <f>K7/18</f>
        <v>11</v>
      </c>
      <c r="M7" s="240">
        <f>'From TCO Paper'!D20</f>
        <v>64767.73684210526</v>
      </c>
      <c r="N7" s="239">
        <f>M7*J7</f>
        <v>1165819.2631578946</v>
      </c>
      <c r="O7" s="241">
        <v>1387</v>
      </c>
      <c r="P7" s="241">
        <f>K7*O7</f>
        <v>274626</v>
      </c>
    </row>
    <row r="8">
      <c r="B8" s="5" t="s">
        <v>483</v>
      </c>
      <c r="C8" s="221">
        <v>64767.73684210526</v>
      </c>
      <c r="D8" s="221">
        <v>1387.365</v>
      </c>
      <c r="G8" s="186" t="s">
        <v>118</v>
      </c>
      <c r="H8" s="187">
        <v>329</v>
      </c>
      <c r="I8" s="187">
        <f>H8/C2</f>
        <v>31.255</v>
      </c>
      <c r="J8" s="187">
        <v>32</v>
      </c>
      <c r="K8" s="187">
        <v>342</v>
      </c>
      <c r="L8" s="187">
        <f>K8/18</f>
        <v>19</v>
      </c>
      <c r="M8" s="240">
        <f>M7</f>
        <v>64767.73684210526</v>
      </c>
      <c r="N8" s="239">
        <f ref="N8:N10" t="shared" si="0">M8*J8</f>
        <v>2072567.5789473683</v>
      </c>
    </row>
    <row r="9">
      <c r="B9" s="5" t="s">
        <v>156</v>
      </c>
      <c r="C9" s="221">
        <v>14367.71052631579</v>
      </c>
      <c r="D9" s="221">
        <v>208.105</v>
      </c>
      <c r="G9" s="186" t="s">
        <v>119</v>
      </c>
      <c r="H9" s="187">
        <v>472</v>
      </c>
      <c r="I9" s="187">
        <f>H9/C2</f>
        <v>44.839999999999996</v>
      </c>
      <c r="J9" s="187">
        <v>45</v>
      </c>
      <c r="K9" s="187">
        <v>486</v>
      </c>
      <c r="L9" s="187">
        <f>K9/18</f>
        <v>27</v>
      </c>
      <c r="M9" s="240">
        <f ref="M9:M10" t="shared" si="1">M8</f>
        <v>64767.73684210526</v>
      </c>
      <c r="N9" s="239">
        <f t="shared" si="0"/>
        <v>2914548.1578947366</v>
      </c>
    </row>
    <row r="10" ht="13.8">
      <c r="G10" s="191"/>
      <c r="H10" s="192" t="s">
        <v>19</v>
      </c>
      <c r="I10" s="192"/>
      <c r="J10" s="192">
        <v>90</v>
      </c>
      <c r="K10" s="192">
        <v>954</v>
      </c>
      <c r="L10" s="187"/>
      <c r="M10" s="240">
        <f t="shared" si="1"/>
        <v>64767.73684210526</v>
      </c>
      <c r="N10" s="239">
        <f t="shared" si="0"/>
        <v>5829096.3157894732</v>
      </c>
    </row>
    <row r="11">
      <c r="B11" s="5" t="s">
        <v>280</v>
      </c>
      <c r="C11" s="221">
        <v>44415</v>
      </c>
      <c r="D11" s="221">
        <v>22207.5</v>
      </c>
    </row>
    <row r="12">
      <c r="B12" s="5" t="s">
        <v>484</v>
      </c>
      <c r="C12" s="221">
        <v>15187.5</v>
      </c>
      <c r="D12" s="221">
        <v>10631.25</v>
      </c>
    </row>
    <row r="13">
      <c r="B13" s="5" t="s">
        <v>485</v>
      </c>
      <c r="C13" s="221">
        <v>66315.789473684214</v>
      </c>
      <c r="D13" s="221">
        <v>3587.5</v>
      </c>
      <c r="G13" s="5" t="s">
        <v>117</v>
      </c>
      <c r="H13" s="5" t="s">
        <v>486</v>
      </c>
    </row>
    <row r="14">
      <c r="B14" s="5" t="s">
        <v>487</v>
      </c>
      <c r="C14" s="221">
        <f>D14*2</f>
        <v>3584</v>
      </c>
      <c r="D14" s="221">
        <f>7168/4</f>
        <v>1792</v>
      </c>
      <c r="G14" s="5" t="s">
        <v>118</v>
      </c>
      <c r="H14" s="5" t="s">
        <v>488</v>
      </c>
    </row>
    <row r="15">
      <c r="G15" s="5" t="s">
        <v>119</v>
      </c>
      <c r="H15" s="5" t="s">
        <v>489</v>
      </c>
      <c r="J15" s="5">
        <f>J8*C2</f>
        <v>336.84210526315792</v>
      </c>
    </row>
    <row r="16">
      <c r="B16" s="5" t="s">
        <v>338</v>
      </c>
      <c r="C16" s="221">
        <v>1844.2105263157894</v>
      </c>
      <c r="D16" s="221">
        <v>401.2075</v>
      </c>
    </row>
    <row r="17">
      <c r="B17" s="5" t="s">
        <v>284</v>
      </c>
      <c r="C17" s="221">
        <v>2631.5789473684213</v>
      </c>
      <c r="D17" s="221">
        <v>500</v>
      </c>
    </row>
    <row r="18">
      <c r="G18" s="5" t="s">
        <v>490</v>
      </c>
    </row>
    <row r="19">
      <c r="C19" s="221">
        <f>SUM(C8:C17)</f>
        <v>213113.5263157895</v>
      </c>
    </row>
    <row r="20">
      <c r="B20" s="5" t="s">
        <v>491</v>
      </c>
    </row>
    <row r="21">
      <c r="I21" s="5">
        <f>90*10.53</f>
        <v>947.69999999999993</v>
      </c>
    </row>
    <row r="22">
      <c r="B22" s="5" t="s">
        <v>492</v>
      </c>
      <c r="I22" s="5">
        <f>I21/18</f>
        <v>52.65</v>
      </c>
    </row>
    <row r="23">
      <c r="I23" s="5">
        <f>53*18</f>
        <v>954</v>
      </c>
    </row>
    <row r="24">
      <c r="B24" s="5" t="s">
        <v>493</v>
      </c>
    </row>
    <row r="26">
      <c r="B26" s="5" t="s">
        <v>494</v>
      </c>
      <c r="C26" s="221">
        <f>C8/5</f>
        <v>12953.547368421052</v>
      </c>
      <c r="D26" s="221">
        <f>D8</f>
        <v>1387.365</v>
      </c>
    </row>
    <row r="27">
      <c r="B27" s="5" t="s">
        <v>495</v>
      </c>
      <c r="C27" s="221">
        <f>C9/5</f>
        <v>2873.5421052631582</v>
      </c>
      <c r="D27" s="221">
        <f>D9/5</f>
        <v>41.620999999999995</v>
      </c>
    </row>
    <row r="29">
      <c r="B29" s="5" t="str">
        <f>B11</f>
        <v>Software Oracle</v>
      </c>
      <c r="C29" s="221">
        <f>C11/5</f>
        <v>8883</v>
      </c>
      <c r="D29" s="221">
        <f>D11/5</f>
        <v>4441.5</v>
      </c>
    </row>
    <row r="30">
      <c r="B30" s="5" t="str">
        <f ref="B30:B32" t="shared" si="2">B12</f>
        <v>Software IBM</v>
      </c>
      <c r="C30" s="221">
        <f ref="C30:D31" t="shared" si="3">C12/5</f>
        <v>3037.5</v>
      </c>
      <c r="D30" s="221">
        <f t="shared" si="3"/>
        <v>2126.25</v>
      </c>
    </row>
    <row r="31">
      <c r="B31" s="5" t="str">
        <f t="shared" si="2"/>
        <v>Linux and other software</v>
      </c>
      <c r="C31" s="221">
        <f t="shared" si="3"/>
        <v>13263.157894736843</v>
      </c>
      <c r="D31" s="221">
        <f t="shared" si="3"/>
        <v>717.5</v>
      </c>
    </row>
    <row r="32">
      <c r="B32" s="5" t="str">
        <f t="shared" si="2"/>
        <v>Big Data Hadoop Software / year</v>
      </c>
      <c r="C32" s="221">
        <f>C14</f>
        <v>3584</v>
      </c>
      <c r="D32" s="221">
        <f>D14</f>
        <v>1792</v>
      </c>
    </row>
    <row r="33">
      <c r="C33" s="221"/>
      <c r="D33" s="221"/>
    </row>
    <row r="34">
      <c r="B34" s="5" t="s">
        <v>496</v>
      </c>
      <c r="C34" s="221">
        <f>C16/5</f>
        <v>368.84210526315786</v>
      </c>
      <c r="D34" s="221">
        <f>D16/5</f>
        <v>80.2415</v>
      </c>
    </row>
    <row r="35">
      <c r="B35" s="5" t="s">
        <v>497</v>
      </c>
      <c r="C35" s="221">
        <f>C17/5</f>
        <v>526.31578947368428</v>
      </c>
      <c r="D35" s="221">
        <f>D17/5</f>
        <v>100</v>
      </c>
    </row>
    <row r="38">
      <c r="B38" s="5" t="s">
        <v>498</v>
      </c>
      <c r="C38" s="216">
        <v>7962122</v>
      </c>
      <c r="D38" s="216">
        <v>15569171</v>
      </c>
    </row>
    <row r="39">
      <c r="B39" s="5" t="s">
        <v>499</v>
      </c>
      <c r="C39" s="216">
        <f>C38/5</f>
        <v>1592424.4</v>
      </c>
      <c r="D39" s="216">
        <f>D38/5</f>
        <v>3113834.2</v>
      </c>
    </row>
    <row r="40">
      <c r="B40" s="5" t="s">
        <v>339</v>
      </c>
      <c r="C40" s="5">
        <f>38</f>
        <v>38</v>
      </c>
      <c r="D40" s="5">
        <f>400</f>
        <v>400</v>
      </c>
    </row>
    <row r="42">
      <c r="B42" s="5" t="s">
        <v>500</v>
      </c>
      <c r="C42" s="216">
        <f>C39/C40</f>
        <v>41905.905263157889</v>
      </c>
      <c r="D42" s="221">
        <f>D39/D40</f>
        <v>7784.5855</v>
      </c>
    </row>
    <row r="44">
      <c r="B44" s="5" t="s">
        <v>501</v>
      </c>
      <c r="C44" s="216">
        <f>C42*3</f>
        <v>125717.71578947367</v>
      </c>
      <c r="D44" s="216">
        <f>D42*3*10</f>
        <v>233537.565</v>
      </c>
    </row>
    <row r="46">
      <c r="B46" s="5" t="s">
        <v>502</v>
      </c>
      <c r="C46" s="195">
        <f>200000/C42</f>
        <v>4.7725970539009586</v>
      </c>
      <c r="D46" s="195">
        <f>C46*10.53</f>
        <v>50.255446977577094</v>
      </c>
    </row>
    <row r="47">
      <c r="C47" s="195"/>
      <c r="D47" s="195"/>
    </row>
    <row r="48">
      <c r="B48" s="5" t="s">
        <v>503</v>
      </c>
      <c r="C48" s="5">
        <f>C39/C42</f>
        <v>38</v>
      </c>
      <c r="D48" s="5">
        <f>159</f>
        <v>159</v>
      </c>
    </row>
    <row r="51">
      <c r="B51" s="5" t="s">
        <v>3</v>
      </c>
      <c r="C51" s="5">
        <v>420000</v>
      </c>
    </row>
    <row r="52">
      <c r="B52" s="5" t="s">
        <v>504</v>
      </c>
      <c r="C52" s="221">
        <f>C42</f>
        <v>41905.905263157889</v>
      </c>
    </row>
    <row r="53">
      <c r="B53" s="5" t="s">
        <v>481</v>
      </c>
      <c r="C53" s="235">
        <f>C51/C52</f>
        <v>10.022453813192012</v>
      </c>
      <c r="D53" s="5">
        <v>100</v>
      </c>
    </row>
    <row r="55">
      <c r="B55" s="5" t="s">
        <v>505</v>
      </c>
      <c r="C55" s="221">
        <f>C26*C53</f>
        <v>129826.33021699493</v>
      </c>
    </row>
    <row r="56">
      <c r="B56" s="5" t="s">
        <v>506</v>
      </c>
      <c r="C56" s="221">
        <f>C27*C53</f>
        <v>28799.943030262541</v>
      </c>
    </row>
    <row r="59">
      <c r="B59" s="5" t="s">
        <v>3</v>
      </c>
      <c r="C59" s="5" t="s">
        <v>507</v>
      </c>
      <c r="D59" s="5" t="s">
        <v>508</v>
      </c>
    </row>
    <row r="61">
      <c r="B61" s="216">
        <v>500000</v>
      </c>
      <c r="C61" s="237">
        <f>D61/C2</f>
        <v>6.1018020805346671</v>
      </c>
      <c r="D61" s="237">
        <f>B61/(D42)</f>
        <v>64.229495584575446</v>
      </c>
      <c r="G61" s="5" t="s">
        <v>240</v>
      </c>
      <c r="H61" s="5" t="s">
        <v>509</v>
      </c>
    </row>
    <row r="62">
      <c r="B62" s="216">
        <v>1000000</v>
      </c>
      <c r="C62" s="237">
        <f>C61*2</f>
        <v>12.203604161069334</v>
      </c>
      <c r="D62" s="237">
        <f>D61*2</f>
        <v>128.45899116915089</v>
      </c>
      <c r="G62" s="5" t="s">
        <v>118</v>
      </c>
      <c r="H62" s="5" t="s">
        <v>510</v>
      </c>
    </row>
    <row r="63">
      <c r="B63" s="216">
        <v>3000000</v>
      </c>
      <c r="C63" s="237">
        <f>C61*6</f>
        <v>36.610812483208</v>
      </c>
      <c r="D63" s="237">
        <f>D61*6</f>
        <v>385.3769735074527</v>
      </c>
      <c r="G63" s="5" t="s">
        <v>119</v>
      </c>
    </row>
    <row r="64">
      <c r="B64" s="216">
        <v>5000000</v>
      </c>
      <c r="C64" s="237">
        <f>C61*10</f>
        <v>61.018020805346673</v>
      </c>
      <c r="D64" s="237">
        <v>643</v>
      </c>
    </row>
    <row r="65">
      <c r="B65" s="216"/>
    </row>
  </sheetData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2:O226"/>
  <sheetViews>
    <sheetView showGridLines="0" topLeftCell="A161" zoomScale="96" zoomScaleNormal="96" workbookViewId="0">
      <selection activeCell="H175" sqref="H175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  <col min="12" max="12" bestFit="1" width="13" customWidth="1"/>
    <col min="13" max="13" width="11.10937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467" t="s">
        <v>42</v>
      </c>
      <c r="F5" s="467" t="s">
        <v>43</v>
      </c>
      <c r="G5" s="467" t="s">
        <v>44</v>
      </c>
      <c r="H5" s="468" t="s">
        <v>45</v>
      </c>
    </row>
    <row r="6" ht="14.4" customHeight="1">
      <c r="C6" s="10" t="s">
        <v>349</v>
      </c>
      <c r="D6" s="31"/>
      <c r="E6" s="9">
        <f>Assumptions!E5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Assumptions!E7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Assumptions!E9</f>
        <v>0.2</v>
      </c>
      <c r="F8" s="45"/>
      <c r="G8" s="45"/>
      <c r="H8" s="269"/>
    </row>
    <row r="9" ht="15">
      <c r="C9" s="144" t="s">
        <v>354</v>
      </c>
      <c r="D9" s="145"/>
      <c r="E9" s="146">
        <f>Benefits!E7</f>
        <v>0.2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16000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Assumptions!E8</f>
        <v>4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Assumptions!E10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Benefits!E8</f>
        <v>0.2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Benefits!E8</f>
        <v>0.2</v>
      </c>
      <c r="F15" s="147"/>
      <c r="G15" s="147"/>
      <c r="H15" s="148"/>
      <c r="J15" s="0" t="s">
        <v>355</v>
      </c>
    </row>
    <row r="16" ht="15.6">
      <c r="C16" s="80" t="s">
        <v>361</v>
      </c>
      <c r="D16" s="81"/>
      <c r="E16" s="82">
        <f>E12*E13*E14*E15</f>
        <v>56000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72000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72000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467" t="s">
        <v>42</v>
      </c>
      <c r="F23" s="467" t="s">
        <v>43</v>
      </c>
      <c r="G23" s="467" t="s">
        <v>44</v>
      </c>
      <c r="H23" s="468" t="s">
        <v>45</v>
      </c>
    </row>
    <row r="24" ht="14.4" customHeight="1">
      <c r="C24" s="10" t="s">
        <v>365</v>
      </c>
      <c r="D24" s="31"/>
      <c r="E24" s="14">
        <f>Assumptions!E12</f>
        <v>2</v>
      </c>
      <c r="F24" s="9"/>
      <c r="G24" s="9"/>
      <c r="H24" s="11"/>
    </row>
    <row r="25">
      <c r="C25" s="10" t="s">
        <v>366</v>
      </c>
      <c r="D25" s="31"/>
      <c r="E25" s="12">
        <f>Assumptions!E13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Benefits!E10</f>
        <v>0.25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100000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Assumptions!E14</f>
        <v>3</v>
      </c>
      <c r="F29" s="9"/>
      <c r="G29" s="9"/>
      <c r="H29" s="11"/>
    </row>
    <row r="30">
      <c r="C30" s="10" t="s">
        <v>370</v>
      </c>
      <c r="D30" s="31"/>
      <c r="E30" s="46">
        <f>Assumptions!E15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Benefits!E11</f>
        <v>0.25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112500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Assumptions!E16</f>
        <v>4</v>
      </c>
      <c r="F34" s="9"/>
      <c r="G34" s="9"/>
      <c r="H34" s="11"/>
    </row>
    <row r="35">
      <c r="C35" s="10" t="s">
        <v>374</v>
      </c>
      <c r="D35" s="31"/>
      <c r="E35" s="46">
        <f>Assumptions!E17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Benefits!E12</f>
        <v>0.25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332500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332500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467" t="s">
        <v>42</v>
      </c>
      <c r="F45" s="467" t="s">
        <v>43</v>
      </c>
      <c r="G45" s="467" t="s">
        <v>44</v>
      </c>
      <c r="H45" s="468" t="s">
        <v>45</v>
      </c>
    </row>
    <row r="46" ht="14.4" customHeight="1">
      <c r="C46" s="10" t="s">
        <v>379</v>
      </c>
      <c r="D46" s="31"/>
      <c r="E46" s="14">
        <f>Assumptions!E19</f>
        <v>25</v>
      </c>
      <c r="F46" s="9"/>
      <c r="G46" s="9"/>
      <c r="H46" s="11"/>
    </row>
    <row r="47">
      <c r="C47" s="10" t="s">
        <v>380</v>
      </c>
      <c r="D47" s="31"/>
      <c r="E47" s="15">
        <f>Assumptions!E21</f>
        <v>120000</v>
      </c>
      <c r="F47" s="9"/>
      <c r="G47" s="9"/>
      <c r="H47" s="11"/>
    </row>
    <row r="48">
      <c r="C48" s="10" t="s">
        <v>381</v>
      </c>
      <c r="D48" s="31"/>
      <c r="E48" s="17">
        <f>Assumptions!E20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Benefits!E14</f>
        <v>0.25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75000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Assumptions!E22</f>
        <v>100</v>
      </c>
      <c r="F52" s="9"/>
      <c r="G52" s="9"/>
      <c r="H52" s="11"/>
    </row>
    <row r="53">
      <c r="C53" s="10" t="s">
        <v>385</v>
      </c>
      <c r="D53" s="31"/>
      <c r="E53" s="15">
        <f>Assumptions!E24</f>
        <v>100000</v>
      </c>
      <c r="F53" s="9"/>
      <c r="G53" s="9"/>
      <c r="H53" s="11"/>
    </row>
    <row r="54">
      <c r="C54" s="10" t="s">
        <v>381</v>
      </c>
      <c r="D54" s="31"/>
      <c r="E54" s="17">
        <f>Assumptions!E23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Benefits!E15</f>
        <v>0.25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250000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388</v>
      </c>
      <c r="D58" s="31"/>
      <c r="E58" s="15">
        <f>SUM(E50+E56)</f>
        <v>325000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325000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467" t="s">
        <v>42</v>
      </c>
      <c r="F63" s="467" t="s">
        <v>43</v>
      </c>
      <c r="G63" s="467" t="s">
        <v>44</v>
      </c>
      <c r="H63" s="468" t="s">
        <v>45</v>
      </c>
    </row>
    <row r="64" ht="17.4" customHeight="1">
      <c r="C64" s="25" t="s">
        <v>390</v>
      </c>
      <c r="D64" s="28"/>
      <c r="E64" s="35">
        <f>Assumptions!E26</f>
        <v>4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Benefits!E18</f>
        <v>0.2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Assumptions!E27</f>
        <v>5000000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Assumptions!E28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560000.00000000012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560000.00000000012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560000.00000000012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467" t="s">
        <v>42</v>
      </c>
      <c r="F76" s="467" t="s">
        <v>43</v>
      </c>
      <c r="G76" s="467" t="s">
        <v>44</v>
      </c>
      <c r="H76" s="468" t="s">
        <v>45</v>
      </c>
    </row>
    <row r="77" ht="21" customHeight="1">
      <c r="C77" s="25" t="s">
        <v>398</v>
      </c>
      <c r="D77" s="28"/>
      <c r="E77" s="280">
        <f>Assumptions!E30</f>
        <v>4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Benefits!E20</f>
        <v>0.38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Assumptions!E31</f>
        <v>4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Assumptions!E32</f>
        <v>5000000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Assumptions!E33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354666.66666666674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354666.66666666674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354666.66666666674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467" t="s">
        <v>42</v>
      </c>
      <c r="F89" s="467" t="s">
        <v>43</v>
      </c>
      <c r="G89" s="467" t="s">
        <v>44</v>
      </c>
      <c r="H89" s="468" t="s">
        <v>45</v>
      </c>
    </row>
    <row r="90" ht="17.4" customHeight="1">
      <c r="C90" s="25" t="s">
        <v>406</v>
      </c>
      <c r="D90" s="28"/>
      <c r="E90" s="38">
        <f>Assumptions!E35</f>
        <v>3031667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Assumptions!E36</f>
        <v>0.0875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Benefits!E22</f>
        <v>0.2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53054.1725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Assumptions!E39</f>
        <v>2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Benefits!E23</f>
        <v>0.2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Assumptions!E37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Assumptions!E38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16000.000000000004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69054.1725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69054.1725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467" t="s">
        <v>42</v>
      </c>
      <c r="F107" s="467" t="s">
        <v>43</v>
      </c>
      <c r="G107" s="467" t="s">
        <v>44</v>
      </c>
      <c r="H107" s="468" t="s">
        <v>45</v>
      </c>
    </row>
    <row r="108" ht="18" customHeight="1">
      <c r="C108" s="27" t="s">
        <v>418</v>
      </c>
      <c r="D108" s="37"/>
      <c r="E108" s="37">
        <f>Assumptions!E41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Assumptions!E42</f>
        <v>6.9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Benefits!E26</f>
        <v>0.12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Benefits!E27</f>
        <v>0.18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37.093848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Assumptions!E43</f>
        <v>3000000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8219.17808219178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304880.94246575341</v>
      </c>
      <c r="F117" s="115"/>
      <c r="G117" s="115"/>
      <c r="H117" s="116"/>
    </row>
    <row r="118" ht="17.4" customHeight="1">
      <c r="C118" s="25" t="s">
        <v>428</v>
      </c>
      <c r="D118" s="35"/>
      <c r="E118" s="35">
        <f>Assumptions!E44</f>
        <v>2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37.093848</v>
      </c>
      <c r="F119" s="100"/>
      <c r="G119" s="100"/>
      <c r="H119" s="101"/>
    </row>
    <row r="120" ht="16.2" customHeight="1">
      <c r="C120" s="27" t="s">
        <v>430</v>
      </c>
      <c r="D120" s="42"/>
      <c r="E120" s="263">
        <f>Assumptions!E45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5564.0772000000006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310445.01966575341</v>
      </c>
      <c r="F123" s="91"/>
      <c r="G123" s="91"/>
      <c r="H123" s="92"/>
    </row>
    <row r="124" ht="15">
      <c r="C124" s="168" t="s">
        <v>433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310445.01966575341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467" t="s">
        <v>42</v>
      </c>
      <c r="F129" s="467" t="s">
        <v>43</v>
      </c>
      <c r="G129" s="467" t="s">
        <v>44</v>
      </c>
      <c r="H129" s="468" t="s">
        <v>45</v>
      </c>
    </row>
    <row r="130" ht="17.4" customHeight="1">
      <c r="C130" s="25" t="s">
        <v>436</v>
      </c>
      <c r="D130" s="35"/>
      <c r="E130" s="35">
        <f>Assumptions!E47</f>
        <v>2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Assumptions!E48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Assumptions!E49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Benefits!E29</f>
        <v>0.3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45000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Assumptions!E50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Assumptions!E51</f>
        <v>0.02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445</v>
      </c>
      <c r="D138" s="161"/>
      <c r="E138" s="161">
        <f>Benefits!E30</f>
        <v>0.5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250000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295000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295000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467" t="s">
        <v>42</v>
      </c>
      <c r="F147" s="467" t="s">
        <v>43</v>
      </c>
      <c r="G147" s="467" t="s">
        <v>44</v>
      </c>
      <c r="H147" s="468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Assumptions!E53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Assumptions!E54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Assumptions!E55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Benefits!E32</f>
        <v>0.25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194997.60000004037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Assumptions!E56</f>
        <v>2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Assumptions!E57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Assumptions!E58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Benefits!E33</f>
        <v>0.2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60000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254997.60000004037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396</v>
      </c>
      <c r="D164" s="123"/>
      <c r="E164" s="126">
        <f>E162*(1-E163)</f>
        <v>254997.60000004037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467" t="s">
        <v>42</v>
      </c>
      <c r="F168" s="467" t="s">
        <v>43</v>
      </c>
      <c r="G168" s="467" t="s">
        <v>44</v>
      </c>
      <c r="H168" s="468" t="s">
        <v>45</v>
      </c>
    </row>
    <row r="169" ht="18" customHeight="1">
      <c r="C169" s="27" t="s">
        <v>26</v>
      </c>
      <c r="D169" s="35"/>
      <c r="E169" s="47">
        <f>E20</f>
        <v>72000</v>
      </c>
      <c r="F169" s="47">
        <f>E169</f>
        <v>72000</v>
      </c>
      <c r="G169" s="47">
        <f>F169</f>
        <v>72000</v>
      </c>
      <c r="H169" s="53">
        <f>SUM(E169:G169)</f>
        <v>216000</v>
      </c>
      <c r="J169" s="50">
        <f>E169/$E$178</f>
        <v>0.027975685691501686</v>
      </c>
    </row>
    <row r="170" ht="17.4" customHeight="1">
      <c r="C170" s="25" t="s">
        <v>27</v>
      </c>
      <c r="D170" s="36"/>
      <c r="E170" s="47">
        <f>E41</f>
        <v>332500</v>
      </c>
      <c r="F170" s="47">
        <f ref="F170:G177" t="shared" si="0">E170</f>
        <v>332500</v>
      </c>
      <c r="G170" s="47">
        <f t="shared" si="0"/>
        <v>332500</v>
      </c>
      <c r="H170" s="53">
        <f ref="H170:H177" t="shared" si="1">SUM(E170:G170)</f>
        <v>997500</v>
      </c>
      <c r="J170" s="50">
        <f ref="J170:J177" t="shared" si="2">E170/$E$178</f>
        <v>0.12919327072811543</v>
      </c>
    </row>
    <row r="171" ht="21" customHeight="1">
      <c r="C171" s="27" t="s">
        <v>28</v>
      </c>
      <c r="D171" s="37"/>
      <c r="E171" s="47">
        <f>E60</f>
        <v>325000</v>
      </c>
      <c r="F171" s="47">
        <f t="shared" si="0"/>
        <v>325000</v>
      </c>
      <c r="G171" s="47">
        <f t="shared" si="0"/>
        <v>325000</v>
      </c>
      <c r="H171" s="53">
        <f t="shared" si="1"/>
        <v>975000</v>
      </c>
      <c r="J171" s="50">
        <f t="shared" si="2"/>
        <v>0.12627913680191732</v>
      </c>
    </row>
    <row r="172" ht="21" customHeight="1">
      <c r="C172" s="27" t="s">
        <v>30</v>
      </c>
      <c r="D172" s="36"/>
      <c r="E172" s="47">
        <f>E72</f>
        <v>560000.00000000012</v>
      </c>
      <c r="F172" s="47">
        <f t="shared" si="0"/>
        <v>560000.00000000012</v>
      </c>
      <c r="G172" s="47">
        <f t="shared" si="0"/>
        <v>560000.00000000012</v>
      </c>
      <c r="H172" s="53">
        <f t="shared" si="1"/>
        <v>1680000.0000000005</v>
      </c>
      <c r="J172" s="50">
        <f t="shared" si="2"/>
        <v>0.2175886664894576</v>
      </c>
    </row>
    <row r="173" ht="21" customHeight="1">
      <c r="C173" s="27" t="s">
        <v>31</v>
      </c>
      <c r="D173" s="35"/>
      <c r="E173" s="47">
        <f>E86</f>
        <v>354666.66666666674</v>
      </c>
      <c r="F173" s="47">
        <f t="shared" si="0"/>
        <v>354666.66666666674</v>
      </c>
      <c r="G173" s="47">
        <f t="shared" si="0"/>
        <v>354666.66666666674</v>
      </c>
      <c r="H173" s="53">
        <f t="shared" si="1"/>
        <v>1064000.0000000002</v>
      </c>
      <c r="J173" s="50">
        <f t="shared" si="2"/>
        <v>0.13780615544332314</v>
      </c>
    </row>
    <row r="174" ht="21" customHeight="1">
      <c r="C174" s="27" t="s">
        <v>32</v>
      </c>
      <c r="E174" s="47">
        <f>E103</f>
        <v>69054.1725</v>
      </c>
      <c r="F174" s="47">
        <f t="shared" si="0"/>
        <v>69054.1725</v>
      </c>
      <c r="G174" s="47">
        <f t="shared" si="0"/>
        <v>69054.1725</v>
      </c>
      <c r="H174" s="53">
        <f t="shared" si="1"/>
        <v>207162.51750000002</v>
      </c>
      <c r="J174" s="50">
        <f t="shared" si="2"/>
        <v>0.026831080910371376</v>
      </c>
    </row>
    <row r="175" ht="21" customHeight="1">
      <c r="C175" s="27" t="s">
        <v>34</v>
      </c>
      <c r="D175" s="38"/>
      <c r="E175" s="47">
        <f>E125</f>
        <v>310445.01966575341</v>
      </c>
      <c r="F175" s="47">
        <f t="shared" si="0"/>
        <v>310445.01966575341</v>
      </c>
      <c r="G175" s="47">
        <f t="shared" si="0"/>
        <v>310445.01966575341</v>
      </c>
      <c r="H175" s="53">
        <f t="shared" si="1"/>
        <v>931335.05899726017</v>
      </c>
      <c r="J175" s="50">
        <f t="shared" si="2"/>
        <v>0.12062378187029413</v>
      </c>
    </row>
    <row r="176" ht="21" customHeight="1">
      <c r="C176" s="27" t="s">
        <v>35</v>
      </c>
      <c r="D176" s="38"/>
      <c r="E176" s="47">
        <f>E143</f>
        <v>295000</v>
      </c>
      <c r="F176" s="47">
        <f t="shared" si="0"/>
        <v>295000</v>
      </c>
      <c r="G176" s="47">
        <f t="shared" si="0"/>
        <v>295000</v>
      </c>
      <c r="H176" s="53">
        <f t="shared" si="1"/>
        <v>885000</v>
      </c>
      <c r="J176" s="50">
        <f t="shared" si="2"/>
        <v>0.11462260109712497</v>
      </c>
    </row>
    <row r="177" ht="21" customHeight="1">
      <c r="C177" s="27" t="s">
        <v>36</v>
      </c>
      <c r="D177" s="38"/>
      <c r="E177" s="47">
        <f>E164</f>
        <v>254997.60000004037</v>
      </c>
      <c r="F177" s="47">
        <f t="shared" si="0"/>
        <v>254997.60000004037</v>
      </c>
      <c r="G177" s="47">
        <f t="shared" si="0"/>
        <v>254997.60000004037</v>
      </c>
      <c r="H177" s="53">
        <f t="shared" si="1"/>
        <v>764992.80000012112</v>
      </c>
      <c r="J177" s="50">
        <f t="shared" si="2"/>
        <v>0.099079620967894438</v>
      </c>
    </row>
    <row r="178" ht="21" customHeight="1">
      <c r="C178" s="49" t="s">
        <v>45</v>
      </c>
      <c r="D178" s="126"/>
      <c r="E178" s="126">
        <f>SUM(E169:E177)</f>
        <v>2573663.4588324605</v>
      </c>
      <c r="F178" s="126">
        <f ref="F178:G178" t="shared" si="3">SUM(F169:F177)</f>
        <v>2573663.4588324605</v>
      </c>
      <c r="G178" s="126">
        <f t="shared" si="3"/>
        <v>2573663.4588324605</v>
      </c>
      <c r="H178" s="129">
        <f>SUM(H169:H177)</f>
        <v>7720990.3764973823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467" t="s">
        <v>41</v>
      </c>
      <c r="E183" s="467" t="s">
        <v>42</v>
      </c>
      <c r="F183" s="467" t="s">
        <v>43</v>
      </c>
      <c r="G183" s="467" t="s">
        <v>44</v>
      </c>
      <c r="H183" s="468" t="s">
        <v>45</v>
      </c>
      <c r="I183" s="650"/>
      <c r="J183" s="650"/>
    </row>
    <row r="184" ht="20.4" customHeight="1">
      <c r="C184" s="25" t="s">
        <v>469</v>
      </c>
      <c r="D184" s="33">
        <v>800000</v>
      </c>
      <c r="E184" s="23"/>
      <c r="F184" s="23"/>
      <c r="G184" s="23"/>
      <c r="H184" s="24"/>
      <c r="I184" s="650"/>
      <c r="J184" s="650"/>
      <c r="K184" s="143">
        <f>D184/668900</f>
        <v>1.1959934220361788</v>
      </c>
    </row>
    <row r="185" ht="20.4" customHeight="1">
      <c r="C185" s="9" t="s">
        <v>230</v>
      </c>
      <c r="D185" s="38">
        <f>Costs!E24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47">
        <f>Costs!E25</f>
        <v>40000</v>
      </c>
      <c r="E186" s="38">
        <v>0</v>
      </c>
      <c r="F186" s="38">
        <v>0</v>
      </c>
      <c r="G186" s="35"/>
      <c r="H186" s="132"/>
      <c r="I186" s="650"/>
      <c r="J186" s="650"/>
    </row>
    <row r="187" ht="20.4" customHeight="1">
      <c r="C187" s="9" t="s">
        <v>232</v>
      </c>
      <c r="D187" s="47">
        <f>Costs!E26</f>
        <v>359378</v>
      </c>
      <c r="E187" s="40">
        <v>0</v>
      </c>
      <c r="F187" s="40">
        <f>E187</f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1199378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467" t="s">
        <v>42</v>
      </c>
      <c r="F191" s="467" t="s">
        <v>43</v>
      </c>
      <c r="G191" s="467" t="s">
        <v>44</v>
      </c>
      <c r="H191" s="468" t="s">
        <v>45</v>
      </c>
      <c r="I191" s="650"/>
      <c r="J191" s="650"/>
    </row>
    <row r="192">
      <c r="C192" s="0" t="s">
        <v>290</v>
      </c>
      <c r="D192" s="165">
        <f>Costs!E20</f>
        <v>0</v>
      </c>
      <c r="E192" s="38">
        <f>D192</f>
        <v>0</v>
      </c>
      <c r="F192" s="38">
        <f>E192</f>
        <v>0</v>
      </c>
      <c r="G192" s="38"/>
      <c r="H192" s="131">
        <f ref="H192:H195" t="shared" si="5">SUM(D192:G192)</f>
        <v>0</v>
      </c>
      <c r="I192" s="650"/>
      <c r="J192" s="650"/>
    </row>
    <row r="193">
      <c r="C193" s="0" t="s">
        <v>284</v>
      </c>
      <c r="D193" s="165">
        <f>Costs!E21</f>
        <v>0</v>
      </c>
      <c r="E193" s="38">
        <f ref="E193:F193" t="shared" si="6">D193</f>
        <v>0</v>
      </c>
      <c r="F193" s="38">
        <f t="shared" si="6"/>
        <v>0</v>
      </c>
      <c r="G193" s="35"/>
      <c r="H193" s="131">
        <f t="shared" si="5"/>
        <v>0</v>
      </c>
      <c r="I193" s="650"/>
      <c r="J193" s="650"/>
    </row>
    <row r="194">
      <c r="C194" s="0" t="s">
        <v>472</v>
      </c>
      <c r="D194" s="165">
        <v>0</v>
      </c>
      <c r="E194" s="165">
        <v>0</v>
      </c>
      <c r="F194" s="165">
        <v>0</v>
      </c>
      <c r="G194" s="35"/>
      <c r="H194" s="131">
        <f t="shared" si="5"/>
        <v>0</v>
      </c>
      <c r="I194" s="650"/>
      <c r="J194" s="650"/>
    </row>
    <row r="195">
      <c r="C195" s="0" t="s">
        <v>229</v>
      </c>
      <c r="D195" s="165">
        <f>Costs!E23</f>
        <v>205406.2</v>
      </c>
      <c r="E195" s="38">
        <f ref="E195:F195" t="shared" si="7">D195</f>
        <v>205406.2</v>
      </c>
      <c r="F195" s="38">
        <f t="shared" si="7"/>
        <v>205406.2</v>
      </c>
      <c r="G195" s="35"/>
      <c r="H195" s="131">
        <f t="shared" si="5"/>
        <v>616218.60000000009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205406.2</v>
      </c>
      <c r="E197" s="128">
        <f>SUM(E192:E196)</f>
        <v>205406.2</v>
      </c>
      <c r="F197" s="128">
        <f>SUM(F192:F196)</f>
        <v>205406.2</v>
      </c>
      <c r="G197" s="128">
        <f>SUM(G192:G196)</f>
        <v>0</v>
      </c>
      <c r="H197" s="140">
        <f>SUM(D197:G197)</f>
        <v>616218.60000000009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467" t="s">
        <v>42</v>
      </c>
      <c r="F200" s="467" t="s">
        <v>43</v>
      </c>
      <c r="G200" s="467" t="s">
        <v>44</v>
      </c>
      <c r="H200" s="468" t="s">
        <v>45</v>
      </c>
      <c r="I200" s="650"/>
      <c r="J200" s="650"/>
    </row>
    <row r="201">
      <c r="C201" s="27" t="s">
        <v>22</v>
      </c>
      <c r="D201" s="38">
        <f>D184</f>
        <v>800000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800000</v>
      </c>
      <c r="I201" s="650"/>
      <c r="J201" s="650"/>
    </row>
    <row r="202">
      <c r="C202" s="27" t="s">
        <v>23</v>
      </c>
      <c r="D202" s="38">
        <f>SUM(D185:D187)</f>
        <v>399378</v>
      </c>
      <c r="E202" s="38">
        <f>SUM(E185:E187)</f>
        <v>0</v>
      </c>
      <c r="F202" s="38">
        <f>SUM(F185:F187)</f>
        <v>0</v>
      </c>
      <c r="G202" s="38"/>
      <c r="H202" s="52">
        <f>SUM(D202:G202)</f>
        <v>399378</v>
      </c>
      <c r="I202" s="650"/>
      <c r="J202" s="650"/>
    </row>
    <row r="203">
      <c r="C203" s="27" t="s">
        <v>473</v>
      </c>
      <c r="D203" s="38">
        <f>D202*(1+15%)</f>
        <v>459284.69999999995</v>
      </c>
      <c r="E203" s="38"/>
      <c r="F203" s="38"/>
      <c r="G203" s="38"/>
      <c r="H203" s="52"/>
      <c r="I203" s="650"/>
      <c r="J203" s="650"/>
    </row>
    <row r="204">
      <c r="C204" s="27" t="s">
        <v>24</v>
      </c>
      <c r="D204" s="51">
        <f>D197</f>
        <v>205406.2</v>
      </c>
      <c r="E204" s="51">
        <f>E197</f>
        <v>205406.2</v>
      </c>
      <c r="F204" s="51">
        <f>F197</f>
        <v>205406.2</v>
      </c>
      <c r="G204" s="51">
        <f>G197</f>
        <v>0</v>
      </c>
      <c r="H204" s="52">
        <f>SUM(D204:G204)</f>
        <v>616218.60000000009</v>
      </c>
      <c r="I204" s="650"/>
      <c r="J204" s="650"/>
    </row>
    <row r="205" ht="15">
      <c r="C205" s="27" t="s">
        <v>474</v>
      </c>
      <c r="D205" s="51">
        <f>D204*(1+15%)</f>
        <v>236217.13</v>
      </c>
      <c r="E205" s="51">
        <f>D205</f>
        <v>236217.13</v>
      </c>
      <c r="F205" s="51">
        <f>E205</f>
        <v>236217.13</v>
      </c>
      <c r="G205" s="51"/>
      <c r="H205" s="52"/>
      <c r="I205" s="650"/>
      <c r="J205" s="650"/>
    </row>
    <row r="206" ht="15">
      <c r="C206" s="134" t="s">
        <v>40</v>
      </c>
      <c r="D206" s="135">
        <f>SUM(D201,D203,D205)</f>
        <v>1495501.83</v>
      </c>
      <c r="E206" s="135">
        <f>E205</f>
        <v>236217.13</v>
      </c>
      <c r="F206" s="135">
        <f>F205</f>
        <v>236217.13</v>
      </c>
      <c r="G206" s="135">
        <f>SUM(G201:G204)</f>
        <v>0</v>
      </c>
      <c r="H206" s="136">
        <f>SUM(H201:H204)</f>
        <v>1815596.6</v>
      </c>
      <c r="I206" s="650"/>
      <c r="J206" s="650"/>
    </row>
    <row r="207" ht="15">
      <c r="C207" s="39" t="s">
        <v>46</v>
      </c>
      <c r="D207" s="119">
        <v>0</v>
      </c>
      <c r="E207" s="119">
        <v>0</v>
      </c>
      <c r="F207" s="119">
        <v>0</v>
      </c>
      <c r="G207" s="119">
        <v>0</v>
      </c>
      <c r="H207" s="137">
        <v>0</v>
      </c>
      <c r="I207" s="650"/>
      <c r="J207" s="650"/>
    </row>
    <row r="208" ht="15.6">
      <c r="C208" s="127" t="s">
        <v>47</v>
      </c>
      <c r="D208" s="138">
        <f>D206*(1+D207)</f>
        <v>1495501.83</v>
      </c>
      <c r="E208" s="138">
        <f ref="E208:H208" t="shared" si="8">E206*(1+E207)</f>
        <v>236217.13</v>
      </c>
      <c r="F208" s="138">
        <f t="shared" si="8"/>
        <v>236217.13</v>
      </c>
      <c r="G208" s="138">
        <f t="shared" si="8"/>
        <v>0</v>
      </c>
      <c r="H208" s="139">
        <f t="shared" si="8"/>
        <v>1815596.6</v>
      </c>
      <c r="I208" s="650"/>
      <c r="J208" s="650"/>
      <c r="K208" s="0" t="s">
        <v>13</v>
      </c>
      <c r="L208" s="142">
        <v>3.48</v>
      </c>
      <c r="M208" s="142">
        <f>L208*115%</f>
        <v>4.002</v>
      </c>
    </row>
    <row r="209">
      <c r="C209" s="121"/>
      <c r="D209" s="51"/>
      <c r="E209" s="35"/>
      <c r="F209" s="28"/>
      <c r="G209" s="28"/>
      <c r="H209" s="28"/>
      <c r="I209" s="650"/>
      <c r="J209" s="650"/>
      <c r="K209" s="0" t="s">
        <v>475</v>
      </c>
      <c r="L209" s="0">
        <v>5.19</v>
      </c>
    </row>
    <row r="210">
      <c r="I210" s="650"/>
      <c r="J210" s="650"/>
    </row>
    <row r="211" ht="15">
      <c r="I211" s="650"/>
      <c r="J211" s="650"/>
    </row>
    <row r="212" ht="15">
      <c r="C212" s="57" t="s">
        <v>48</v>
      </c>
      <c r="D212" s="467" t="s">
        <v>41</v>
      </c>
      <c r="E212" s="467" t="s">
        <v>42</v>
      </c>
      <c r="F212" s="467" t="s">
        <v>43</v>
      </c>
      <c r="G212" s="467" t="s">
        <v>44</v>
      </c>
      <c r="H212" s="468" t="s">
        <v>45</v>
      </c>
      <c r="I212" s="650"/>
      <c r="J212" s="650"/>
    </row>
    <row r="213">
      <c r="C213" s="56" t="s">
        <v>15</v>
      </c>
      <c r="D213" s="65"/>
      <c r="E213" s="493">
        <f>E178*(1+20%)</f>
        <v>3088396.1505989525</v>
      </c>
      <c r="F213" s="493">
        <f>E213</f>
        <v>3088396.1505989525</v>
      </c>
      <c r="G213" s="493">
        <f>F213</f>
        <v>3088396.1505989525</v>
      </c>
      <c r="H213" s="67">
        <f>SUM(D213:G213)</f>
        <v>9265188.4517968576</v>
      </c>
      <c r="I213" s="650"/>
      <c r="J213" s="650"/>
      <c r="K213" s="274">
        <f>E213/' Calculator -Z14 -small'!E211</f>
        <v>1.1887411125053806</v>
      </c>
    </row>
    <row r="214" ht="15">
      <c r="C214" s="16" t="s">
        <v>16</v>
      </c>
      <c r="D214" s="58">
        <f>D208</f>
        <v>1495501.83</v>
      </c>
      <c r="E214" s="58">
        <f ref="E214:G214" t="shared" si="9">E208</f>
        <v>236217.13</v>
      </c>
      <c r="F214" s="58">
        <f t="shared" si="9"/>
        <v>236217.13</v>
      </c>
      <c r="G214" s="58">
        <f t="shared" si="9"/>
        <v>0</v>
      </c>
      <c r="H214" s="275">
        <f>SUM(D214:G214)</f>
        <v>1967936.0899999999</v>
      </c>
      <c r="I214" s="650"/>
      <c r="J214" s="650"/>
      <c r="K214" s="389"/>
    </row>
    <row r="215" ht="15">
      <c r="C215" s="10" t="s">
        <v>49</v>
      </c>
      <c r="D215" s="34">
        <f>D213-D214</f>
        <v>-1495501.83</v>
      </c>
      <c r="E215" s="34">
        <f ref="E215:H215" t="shared" si="10">E213-E214</f>
        <v>2852179.0205989527</v>
      </c>
      <c r="F215" s="34">
        <f t="shared" si="10"/>
        <v>2852179.0205989527</v>
      </c>
      <c r="G215" s="34">
        <f t="shared" si="10"/>
        <v>3088396.1505989525</v>
      </c>
      <c r="H215" s="68">
        <f t="shared" si="10"/>
        <v>7297252.3617968578</v>
      </c>
      <c r="I215" s="650"/>
      <c r="J215" s="650"/>
      <c r="K215" s="389"/>
    </row>
    <row r="216">
      <c r="C216" s="10"/>
      <c r="D216" s="34"/>
      <c r="E216" s="34"/>
      <c r="F216" s="34"/>
      <c r="G216" s="34"/>
      <c r="H216" s="68"/>
      <c r="I216" s="650"/>
      <c r="J216" s="650"/>
    </row>
    <row r="217">
      <c r="C217" s="10" t="s">
        <v>50</v>
      </c>
      <c r="D217" s="271">
        <v>0</v>
      </c>
      <c r="E217" s="271">
        <v>1</v>
      </c>
      <c r="F217" s="271">
        <v>2</v>
      </c>
      <c r="G217" s="271">
        <v>3</v>
      </c>
      <c r="H217" s="272"/>
      <c r="I217" s="650"/>
      <c r="J217" s="650"/>
    </row>
    <row r="218">
      <c r="C218" s="10" t="s">
        <v>51</v>
      </c>
      <c r="D218" s="34">
        <f>D213</f>
        <v>0</v>
      </c>
      <c r="E218" s="34">
        <f ref="E218:H218" t="shared" si="11">E213</f>
        <v>3088396.1505989525</v>
      </c>
      <c r="F218" s="34">
        <f t="shared" si="11"/>
        <v>3088396.1505989525</v>
      </c>
      <c r="G218" s="34">
        <f t="shared" si="11"/>
        <v>3088396.1505989525</v>
      </c>
      <c r="H218" s="68">
        <f t="shared" si="11"/>
        <v>9265188.4517968576</v>
      </c>
      <c r="I218" s="650"/>
      <c r="J218" s="650"/>
    </row>
    <row r="219">
      <c r="C219" s="10" t="s">
        <v>52</v>
      </c>
      <c r="D219" s="34">
        <f>-D215</f>
        <v>1495501.83</v>
      </c>
      <c r="E219" s="34">
        <f>-($D$215+SUM($E$218:E218))</f>
        <v>-1592894.3205989525</v>
      </c>
      <c r="F219" s="34">
        <f>-($D$215+SUM($E$218:F218))</f>
        <v>-4681290.471197905</v>
      </c>
      <c r="G219" s="34">
        <f>-($D$215+SUM($E$218:G218))</f>
        <v>-7769686.6217968576</v>
      </c>
      <c r="H219" s="68"/>
      <c r="I219" s="650"/>
      <c r="J219" s="650"/>
      <c r="L219" s="143">
        <f>E213/12</f>
        <v>257366.34588324605</v>
      </c>
    </row>
    <row r="220">
      <c r="C220" s="10"/>
      <c r="D220" s="34"/>
      <c r="E220" s="34"/>
      <c r="F220" s="34"/>
      <c r="G220" s="34"/>
      <c r="H220" s="68"/>
      <c r="I220" s="650"/>
      <c r="J220" s="650"/>
      <c r="L220" s="388">
        <f>D215/L219</f>
        <v>-5.8107901593257765</v>
      </c>
    </row>
    <row r="221" ht="15">
      <c r="C221" s="10"/>
      <c r="D221" s="34"/>
      <c r="E221" s="34"/>
      <c r="F221" s="34"/>
      <c r="G221" s="34"/>
      <c r="H221" s="68"/>
      <c r="I221" s="650"/>
      <c r="J221" s="650"/>
    </row>
    <row r="222" ht="13.95" customHeight="1">
      <c r="C222" s="59" t="s">
        <v>53</v>
      </c>
      <c r="D222" s="60">
        <f>(H213-H214)/H214</f>
        <v>3.7080738540634508</v>
      </c>
      <c r="E222" s="34"/>
      <c r="F222" s="34"/>
      <c r="G222" s="34"/>
      <c r="H222" s="68"/>
      <c r="I222" s="650"/>
      <c r="J222" s="650"/>
    </row>
    <row r="223">
      <c r="C223" s="61" t="s">
        <v>54</v>
      </c>
      <c r="D223" s="62">
        <f>NPV(8%,D215:H215)</f>
        <v>10561162.253761604</v>
      </c>
      <c r="E223" s="34"/>
      <c r="F223" s="34"/>
      <c r="G223" s="34"/>
      <c r="H223" s="68"/>
      <c r="I223" s="650"/>
      <c r="J223" s="650"/>
    </row>
    <row r="224">
      <c r="C224" s="61" t="s">
        <v>476</v>
      </c>
      <c r="D224" s="273">
        <f>ABS(D219/E218)*12</f>
        <v>5.8107901593257765</v>
      </c>
      <c r="E224" s="34"/>
      <c r="F224" s="34"/>
      <c r="G224" s="34"/>
      <c r="H224" s="68"/>
      <c r="I224" s="650"/>
      <c r="J224" s="650"/>
    </row>
    <row r="225" ht="15">
      <c r="C225" s="63" t="s">
        <v>56</v>
      </c>
      <c r="D225" s="64">
        <f>H214</f>
        <v>1967936.0899999999</v>
      </c>
      <c r="E225" s="34"/>
      <c r="F225" s="34"/>
      <c r="G225" s="34"/>
      <c r="H225" s="68"/>
      <c r="I225" s="650"/>
      <c r="J225" s="650"/>
    </row>
    <row r="226" ht="15">
      <c r="C226" s="21"/>
      <c r="D226" s="32"/>
      <c r="E226" s="13"/>
      <c r="F226" s="13"/>
      <c r="G226" s="13"/>
      <c r="H226" s="22"/>
      <c r="I226" s="650"/>
      <c r="J226" s="650"/>
    </row>
  </sheetData>
  <mergeCells>
    <mergeCell ref="I183:J226"/>
  </mergeCells>
  <pageMargins left="0.7" right="0.7" top="0.75" bottom="0.75" header="0.3" footer="0.3"/>
  <pageSetup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2:V62"/>
  <sheetViews>
    <sheetView zoomScale="80" zoomScaleNormal="80" workbookViewId="0"/>
  </sheetViews>
  <sheetFormatPr defaultColWidth="8.88671875" defaultRowHeight="13.2" x14ac:dyDescent="0.25"/>
  <cols>
    <col min="1" max="1" width="8.88671875" customWidth="1" style="5"/>
    <col min="2" max="2" width="30.33203125" customWidth="1" style="5"/>
    <col min="3" max="3" width="13.88671875" customWidth="1" style="5"/>
    <col min="4" max="4" width="16.33203125" customWidth="1" style="5"/>
    <col min="5" max="5" width="16.5546875" customWidth="1" style="5"/>
    <col min="6" max="9" width="8.88671875" customWidth="1" style="5"/>
    <col min="10" max="10" width="9.6640625" customWidth="1" style="5"/>
    <col min="11" max="11" bestFit="1" width="9.33203125" customWidth="1" style="5"/>
    <col min="12" max="12" width="10.5546875" customWidth="1" style="5"/>
    <col min="13" max="16384" width="8.88671875" customWidth="1" style="5"/>
  </cols>
  <sheetData>
    <row r="1" ht="13.8"/>
    <row r="2">
      <c r="B2" s="181" t="s">
        <v>291</v>
      </c>
      <c r="C2" s="182"/>
      <c r="D2" s="183" t="s">
        <v>117</v>
      </c>
      <c r="E2" s="183"/>
      <c r="F2" s="183" t="s">
        <v>118</v>
      </c>
      <c r="G2" s="183"/>
      <c r="H2" s="183" t="s">
        <v>119</v>
      </c>
      <c r="I2" s="182"/>
      <c r="J2" s="184" t="s">
        <v>292</v>
      </c>
      <c r="K2" s="182"/>
      <c r="L2" s="184" t="s">
        <v>293</v>
      </c>
      <c r="M2" s="185"/>
    </row>
    <row r="3">
      <c r="B3" s="186"/>
      <c r="C3" s="187"/>
      <c r="D3" s="187">
        <v>1</v>
      </c>
      <c r="E3" s="187"/>
      <c r="F3" s="187">
        <v>1</v>
      </c>
      <c r="G3" s="187"/>
      <c r="H3" s="187">
        <v>1</v>
      </c>
      <c r="I3" s="187"/>
      <c r="J3" s="188" t="s">
        <v>294</v>
      </c>
      <c r="K3" s="187"/>
      <c r="L3" s="188" t="s">
        <v>295</v>
      </c>
      <c r="M3" s="189"/>
      <c r="Q3" s="190" t="s">
        <v>296</v>
      </c>
      <c r="R3" s="5">
        <v>4690</v>
      </c>
      <c r="U3" s="190" t="s">
        <v>297</v>
      </c>
      <c r="V3" s="5">
        <v>4807</v>
      </c>
    </row>
    <row r="4">
      <c r="B4" s="186"/>
      <c r="C4" s="187"/>
      <c r="D4" s="187">
        <v>5</v>
      </c>
      <c r="E4" s="187"/>
      <c r="F4" s="187">
        <v>10</v>
      </c>
      <c r="G4" s="187"/>
      <c r="H4" s="187">
        <v>16</v>
      </c>
      <c r="I4" s="187"/>
      <c r="J4" s="187" t="s">
        <v>298</v>
      </c>
      <c r="K4" s="187"/>
      <c r="L4" s="187"/>
      <c r="M4" s="189"/>
      <c r="Q4" s="190" t="s">
        <v>299</v>
      </c>
      <c r="R4" s="5">
        <v>5528</v>
      </c>
      <c r="U4" s="190" t="s">
        <v>300</v>
      </c>
      <c r="V4" s="5">
        <v>5676</v>
      </c>
    </row>
    <row r="5" ht="13.8">
      <c r="B5" s="191"/>
      <c r="C5" s="192"/>
      <c r="D5" s="192">
        <v>256</v>
      </c>
      <c r="E5" s="192"/>
      <c r="F5" s="192">
        <v>512</v>
      </c>
      <c r="G5" s="192"/>
      <c r="H5" s="192">
        <v>768</v>
      </c>
      <c r="I5" s="192"/>
      <c r="J5" s="192" t="s">
        <v>301</v>
      </c>
      <c r="K5" s="192"/>
      <c r="L5" s="192"/>
      <c r="M5" s="193"/>
      <c r="R5" s="5">
        <f>R4-R3</f>
        <v>838</v>
      </c>
      <c r="S5" s="190" t="s">
        <v>302</v>
      </c>
      <c r="V5" s="5">
        <f>V4-V3</f>
        <v>869</v>
      </c>
    </row>
    <row r="7">
      <c r="D7" s="5">
        <v>8082</v>
      </c>
      <c r="F7" s="5">
        <v>14869</v>
      </c>
      <c r="H7" s="5">
        <v>21705</v>
      </c>
      <c r="J7" s="5" t="s">
        <v>303</v>
      </c>
      <c r="K7" s="194"/>
      <c r="L7" s="190" t="s">
        <v>304</v>
      </c>
    </row>
    <row r="8">
      <c r="D8" s="5">
        <v>869</v>
      </c>
      <c r="F8" s="5">
        <v>869</v>
      </c>
      <c r="H8" s="5">
        <v>869</v>
      </c>
      <c r="J8" s="190" t="s">
        <v>305</v>
      </c>
      <c r="L8" s="190" t="s">
        <v>306</v>
      </c>
      <c r="N8" s="5" t="s">
        <v>307</v>
      </c>
    </row>
    <row r="9">
      <c r="D9" s="195"/>
      <c r="F9" s="195"/>
      <c r="H9" s="195"/>
      <c r="J9" s="190"/>
      <c r="K9" s="196"/>
    </row>
    <row r="10">
      <c r="B10" s="190" t="s">
        <v>308</v>
      </c>
      <c r="D10" s="195">
        <f>SUM(D7:D8)</f>
        <v>8951</v>
      </c>
      <c r="F10" s="195">
        <f>SUM(F7:F8)</f>
        <v>15738</v>
      </c>
      <c r="H10" s="195">
        <f>SUM(H7:H8)</f>
        <v>22574</v>
      </c>
      <c r="J10" s="190" t="s">
        <v>309</v>
      </c>
    </row>
    <row r="11" ht="14.4">
      <c r="D11" s="195">
        <f>D10*K11</f>
        <v>232.726</v>
      </c>
      <c r="F11" s="195">
        <f>F10*K11</f>
        <v>409.188</v>
      </c>
      <c r="H11" s="195">
        <f>H10*K11</f>
        <v>586.924</v>
      </c>
      <c r="J11" s="190" t="s">
        <v>310</v>
      </c>
      <c r="K11" s="197">
        <v>0.026</v>
      </c>
    </row>
    <row r="12">
      <c r="D12" s="198">
        <f>D10-D11</f>
        <v>8718.274</v>
      </c>
      <c r="E12" s="199"/>
      <c r="F12" s="198">
        <f>F10-F11</f>
        <v>15328.812</v>
      </c>
      <c r="G12" s="199"/>
      <c r="H12" s="198">
        <f>H10-H11</f>
        <v>21987.076</v>
      </c>
      <c r="I12" s="199"/>
      <c r="J12" s="199" t="s">
        <v>311</v>
      </c>
      <c r="K12" s="199"/>
      <c r="L12" s="200"/>
      <c r="M12" s="200"/>
      <c r="N12" s="200"/>
      <c r="P12" s="201" t="s">
        <v>312</v>
      </c>
      <c r="Q12" s="201" t="s">
        <v>313</v>
      </c>
      <c r="R12" s="201"/>
      <c r="S12" s="201"/>
      <c r="T12" s="201"/>
      <c r="U12" s="201"/>
    </row>
    <row r="13">
      <c r="D13" s="202"/>
      <c r="E13" s="203"/>
      <c r="F13" s="202"/>
      <c r="G13" s="203"/>
      <c r="H13" s="202"/>
      <c r="I13" s="203"/>
      <c r="J13" s="203"/>
      <c r="K13" s="203"/>
      <c r="P13" s="201" t="s">
        <v>294</v>
      </c>
      <c r="Q13" s="201" t="s">
        <v>314</v>
      </c>
      <c r="R13" s="201"/>
      <c r="S13" s="201"/>
      <c r="T13" s="201"/>
      <c r="U13" s="201"/>
    </row>
    <row r="14">
      <c r="B14" s="190" t="s">
        <v>315</v>
      </c>
      <c r="D14" s="204">
        <f>D7</f>
        <v>8082</v>
      </c>
      <c r="F14" s="204">
        <f>F7</f>
        <v>14869</v>
      </c>
      <c r="H14" s="204">
        <f>H7</f>
        <v>21705</v>
      </c>
      <c r="J14" s="190" t="s">
        <v>303</v>
      </c>
    </row>
    <row r="15" ht="14.4">
      <c r="D15" s="195">
        <f>D14*$K$15</f>
        <v>210.13199999999998</v>
      </c>
      <c r="F15" s="195">
        <f>F14*$K$15</f>
        <v>386.594</v>
      </c>
      <c r="H15" s="195">
        <f>H14*$K$15</f>
        <v>564.32999999999993</v>
      </c>
      <c r="J15" s="5" t="s">
        <v>310</v>
      </c>
      <c r="K15" s="197">
        <v>0.026</v>
      </c>
    </row>
    <row r="16">
      <c r="D16" s="205">
        <f>D14-D15</f>
        <v>7871.868</v>
      </c>
      <c r="E16" s="199"/>
      <c r="F16" s="205">
        <f>F14-F15</f>
        <v>14482.406</v>
      </c>
      <c r="G16" s="199"/>
      <c r="H16" s="205">
        <f>H14-H15</f>
        <v>21140.67</v>
      </c>
      <c r="I16" s="199"/>
      <c r="J16" s="199" t="s">
        <v>316</v>
      </c>
      <c r="K16" s="199"/>
      <c r="L16" s="199"/>
      <c r="M16" s="199"/>
      <c r="N16" s="199"/>
    </row>
    <row r="17">
      <c r="D17" s="206"/>
      <c r="E17" s="203"/>
      <c r="F17" s="206"/>
      <c r="G17" s="203"/>
      <c r="H17" s="206"/>
      <c r="I17" s="203"/>
      <c r="J17" s="203"/>
      <c r="K17" s="203"/>
      <c r="L17" s="203"/>
      <c r="M17" s="203"/>
      <c r="N17" s="203"/>
    </row>
    <row r="18">
      <c r="D18" s="206"/>
      <c r="E18" s="203"/>
      <c r="F18" s="206"/>
      <c r="G18" s="203"/>
      <c r="H18" s="206"/>
      <c r="I18" s="203"/>
      <c r="J18" s="203"/>
      <c r="K18" s="203"/>
      <c r="L18" s="203"/>
      <c r="M18" s="203"/>
      <c r="N18" s="203"/>
    </row>
    <row r="19">
      <c r="B19" s="190" t="s">
        <v>317</v>
      </c>
      <c r="D19" s="5" t="s">
        <v>6</v>
      </c>
      <c r="F19" s="5" t="s">
        <v>7</v>
      </c>
      <c r="H19" s="5" t="s">
        <v>8</v>
      </c>
    </row>
    <row r="20">
      <c r="B20" s="190" t="s">
        <v>309</v>
      </c>
      <c r="D20" s="5">
        <f>D12*$K$20</f>
        <v>2092385.7599999998</v>
      </c>
      <c r="F20" s="5">
        <f>F12*$K$20</f>
        <v>3678914.88</v>
      </c>
      <c r="H20" s="5">
        <f>H12*$K$20</f>
        <v>5276898.24</v>
      </c>
      <c r="J20" s="5" t="s">
        <v>318</v>
      </c>
      <c r="K20" s="5">
        <v>240</v>
      </c>
      <c r="L20" s="5" t="s">
        <v>319</v>
      </c>
      <c r="N20" s="190" t="s">
        <v>320</v>
      </c>
    </row>
    <row r="21">
      <c r="D21" s="207">
        <f>ROUNDUP(D20/$K$21,0)</f>
        <v>187</v>
      </c>
      <c r="E21" s="207"/>
      <c r="F21" s="207">
        <f>ROUNDUP(F20/$K$21,0)</f>
        <v>329</v>
      </c>
      <c r="G21" s="207"/>
      <c r="H21" s="207">
        <f>ROUNDUP(H20/$K$21,0)</f>
        <v>472</v>
      </c>
      <c r="I21" s="207"/>
      <c r="J21" s="207" t="s">
        <v>321</v>
      </c>
      <c r="K21" s="195">
        <v>11194.1875</v>
      </c>
      <c r="L21" s="5" t="s">
        <v>322</v>
      </c>
      <c r="M21" s="5" t="s">
        <v>323</v>
      </c>
    </row>
    <row r="22">
      <c r="D22" s="207">
        <f>ROUNDUP(D21/48,0)</f>
        <v>4</v>
      </c>
      <c r="E22" s="207"/>
      <c r="F22" s="207">
        <f>ROUNDUP(F21/48,0)</f>
        <v>7</v>
      </c>
      <c r="G22" s="207"/>
      <c r="H22" s="207">
        <f>ROUNDUP(H21/48,0)</f>
        <v>10</v>
      </c>
      <c r="I22" s="207"/>
      <c r="J22" s="207" t="s">
        <v>324</v>
      </c>
      <c r="M22" s="5" t="s">
        <v>325</v>
      </c>
    </row>
    <row r="23">
      <c r="D23" s="5">
        <f>D22+1</f>
        <v>5</v>
      </c>
      <c r="F23" s="5">
        <f>F22+1</f>
        <v>8</v>
      </c>
      <c r="H23" s="5">
        <f>H22+1</f>
        <v>11</v>
      </c>
      <c r="J23" s="190" t="s">
        <v>326</v>
      </c>
      <c r="M23" s="5">
        <v>537321</v>
      </c>
      <c r="N23" s="5">
        <v>48</v>
      </c>
      <c r="O23" s="5">
        <f>M23/N23</f>
        <v>11194.1875</v>
      </c>
    </row>
    <row r="24">
      <c r="J24" s="190"/>
    </row>
    <row r="25">
      <c r="B25" s="190" t="s">
        <v>327</v>
      </c>
    </row>
    <row r="26">
      <c r="B26" s="190" t="s">
        <v>309</v>
      </c>
      <c r="D26" s="207">
        <v>132</v>
      </c>
      <c r="E26" s="207"/>
      <c r="F26" s="207">
        <v>251</v>
      </c>
      <c r="G26" s="207"/>
      <c r="H26" s="207">
        <v>393</v>
      </c>
      <c r="I26" s="207"/>
      <c r="J26" s="208" t="s">
        <v>321</v>
      </c>
      <c r="K26" s="207"/>
      <c r="L26" s="208" t="s">
        <v>327</v>
      </c>
    </row>
    <row r="27">
      <c r="B27" s="190" t="s">
        <v>328</v>
      </c>
      <c r="D27" s="5">
        <f>ROUNDUP(D26/48,0)</f>
        <v>3</v>
      </c>
      <c r="F27" s="5">
        <f>ROUNDUP(F26/48,0)</f>
        <v>6</v>
      </c>
      <c r="H27" s="5">
        <f>ROUNDUP(H26/48,0)</f>
        <v>9</v>
      </c>
      <c r="J27" s="190" t="s">
        <v>324</v>
      </c>
    </row>
    <row r="28">
      <c r="D28" s="5">
        <f>D27+1</f>
        <v>4</v>
      </c>
      <c r="F28" s="5">
        <f>F27+1</f>
        <v>7</v>
      </c>
      <c r="H28" s="5">
        <f>H27+1</f>
        <v>10</v>
      </c>
      <c r="J28" s="190" t="s">
        <v>329</v>
      </c>
    </row>
    <row r="29">
      <c r="D29" s="209">
        <f>D26/(D3+D4)</f>
        <v>22</v>
      </c>
      <c r="E29" s="209"/>
      <c r="F29" s="209">
        <f>F26/(F3+F4)</f>
        <v>22.818181818181817</v>
      </c>
      <c r="G29" s="209"/>
      <c r="H29" s="209">
        <f>H26/(H3+H4)</f>
        <v>23.117647058823529</v>
      </c>
      <c r="I29" s="210"/>
      <c r="J29" s="210" t="s">
        <v>330</v>
      </c>
    </row>
    <row r="30" ht="13.8">
      <c r="D30" s="195"/>
    </row>
    <row r="31">
      <c r="B31" s="181" t="s">
        <v>327</v>
      </c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5"/>
    </row>
    <row r="32">
      <c r="B32" s="211" t="s">
        <v>303</v>
      </c>
      <c r="C32" s="187"/>
      <c r="D32" s="187">
        <v>117</v>
      </c>
      <c r="E32" s="187"/>
      <c r="F32" s="187">
        <v>223</v>
      </c>
      <c r="G32" s="187"/>
      <c r="H32" s="187">
        <v>373</v>
      </c>
      <c r="I32" s="187"/>
      <c r="J32" s="188" t="s">
        <v>321</v>
      </c>
      <c r="K32" s="187"/>
      <c r="L32" s="187"/>
      <c r="M32" s="189"/>
    </row>
    <row r="33">
      <c r="B33" s="211" t="s">
        <v>328</v>
      </c>
      <c r="C33" s="187"/>
      <c r="D33" s="187">
        <f>ROUNDUP(D32/48,0)</f>
        <v>3</v>
      </c>
      <c r="E33" s="187"/>
      <c r="F33" s="187">
        <f>ROUNDUP(F32/48,0)</f>
        <v>5</v>
      </c>
      <c r="G33" s="187"/>
      <c r="H33" s="187">
        <f>ROUNDUP(H32/48,0)</f>
        <v>8</v>
      </c>
      <c r="I33" s="187"/>
      <c r="J33" s="188" t="s">
        <v>324</v>
      </c>
      <c r="K33" s="187"/>
      <c r="L33" s="187"/>
      <c r="M33" s="189"/>
    </row>
    <row r="34">
      <c r="B34" s="211" t="s">
        <v>331</v>
      </c>
      <c r="C34" s="187"/>
      <c r="D34" s="212">
        <f>D33+1</f>
        <v>4</v>
      </c>
      <c r="E34" s="212"/>
      <c r="F34" s="212">
        <f>F33+1</f>
        <v>6</v>
      </c>
      <c r="G34" s="212"/>
      <c r="H34" s="212">
        <f>H33+1</f>
        <v>9</v>
      </c>
      <c r="I34" s="212"/>
      <c r="J34" s="212" t="s">
        <v>329</v>
      </c>
      <c r="K34" s="187"/>
      <c r="L34" s="187"/>
      <c r="M34" s="189"/>
    </row>
    <row r="35">
      <c r="B35" s="186"/>
      <c r="C35" s="187"/>
      <c r="D35" s="213">
        <f>D32/(D3+D4)</f>
        <v>19.5</v>
      </c>
      <c r="E35" s="214"/>
      <c r="F35" s="213">
        <f>F32/(F3+F4)</f>
        <v>20.272727272727273</v>
      </c>
      <c r="G35" s="214"/>
      <c r="H35" s="213">
        <f>H32/(H3+H4)</f>
        <v>21.941176470588236</v>
      </c>
      <c r="I35" s="214"/>
      <c r="J35" s="214" t="s">
        <v>330</v>
      </c>
      <c r="K35" s="187"/>
      <c r="L35" s="187"/>
      <c r="M35" s="189"/>
    </row>
    <row r="36" ht="13.8">
      <c r="B36" s="191"/>
      <c r="C36" s="192"/>
      <c r="D36" s="192"/>
      <c r="F36" s="192"/>
      <c r="G36" s="192"/>
      <c r="H36" s="192"/>
      <c r="I36" s="192"/>
      <c r="J36" s="192"/>
      <c r="K36" s="192"/>
      <c r="L36" s="192"/>
      <c r="M36" s="193"/>
    </row>
    <row r="38">
      <c r="B38" s="5" t="s">
        <v>323</v>
      </c>
    </row>
    <row r="42">
      <c r="C42" s="5" t="s">
        <v>117</v>
      </c>
      <c r="D42" s="5" t="s">
        <v>118</v>
      </c>
      <c r="E42" s="5" t="s">
        <v>119</v>
      </c>
    </row>
    <row r="43">
      <c r="B43" s="5" t="s">
        <v>332</v>
      </c>
      <c r="C43" s="195">
        <f>D12</f>
        <v>8718.274</v>
      </c>
      <c r="D43" s="195">
        <f ref="D43:E43" t="shared" si="0">E12</f>
        <v>0</v>
      </c>
      <c r="E43" s="195">
        <f t="shared" si="0"/>
        <v>15328.812</v>
      </c>
    </row>
    <row r="44">
      <c r="B44" s="5" t="s">
        <v>333</v>
      </c>
      <c r="C44" s="5">
        <v>1</v>
      </c>
    </row>
    <row r="45">
      <c r="B45" s="5" t="s">
        <v>334</v>
      </c>
      <c r="C45" s="5">
        <v>5</v>
      </c>
    </row>
    <row r="46">
      <c r="B46" s="5" t="s">
        <v>335</v>
      </c>
      <c r="C46" s="5">
        <v>256</v>
      </c>
    </row>
    <row r="47">
      <c r="B47" s="5" t="s">
        <v>336</v>
      </c>
    </row>
    <row r="48">
      <c r="B48" s="5" t="s">
        <v>337</v>
      </c>
    </row>
    <row r="49">
      <c r="B49" s="5" t="s">
        <v>338</v>
      </c>
      <c r="I49" s="5">
        <f>4*48</f>
        <v>192</v>
      </c>
    </row>
    <row r="51">
      <c r="B51" s="5" t="s">
        <v>12</v>
      </c>
    </row>
    <row r="52">
      <c r="B52" s="5" t="s">
        <v>339</v>
      </c>
      <c r="C52" s="5">
        <v>192</v>
      </c>
    </row>
    <row r="53">
      <c r="B53" s="5" t="s">
        <v>334</v>
      </c>
      <c r="C53" s="5">
        <v>4</v>
      </c>
    </row>
    <row r="54">
      <c r="B54" s="5" t="s">
        <v>340</v>
      </c>
      <c r="C54" s="5">
        <v>1</v>
      </c>
    </row>
    <row r="55">
      <c r="B55" s="5" t="s">
        <v>341</v>
      </c>
      <c r="C55" s="5">
        <v>5</v>
      </c>
    </row>
    <row r="56">
      <c r="B56" s="5" t="s">
        <v>342</v>
      </c>
      <c r="C56" s="5">
        <v>48</v>
      </c>
    </row>
    <row r="57">
      <c r="B57" s="5" t="s">
        <v>343</v>
      </c>
      <c r="C57" s="5">
        <f>128*4</f>
        <v>512</v>
      </c>
    </row>
    <row r="60">
      <c r="B60" s="5" t="s">
        <v>344</v>
      </c>
    </row>
    <row r="61">
      <c r="B61" s="5" t="s">
        <v>345</v>
      </c>
    </row>
    <row r="62">
      <c r="B62" s="5" t="s">
        <v>346</v>
      </c>
    </row>
  </sheetData>
  <pageMargins left="0.7" right="0.7" top="0.75" bottom="0.75" header="0.3" footer="0.3"/>
  <pageSetup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7:P58"/>
  <sheetViews>
    <sheetView topLeftCell="B2" zoomScale="92" zoomScaleNormal="92" workbookViewId="0">
      <selection activeCell="C37" sqref="C37"/>
    </sheetView>
  </sheetViews>
  <sheetFormatPr defaultColWidth="8.88671875" defaultRowHeight="13.2" x14ac:dyDescent="0.25"/>
  <cols>
    <col min="1" max="1" width="8.88671875" customWidth="1" style="5"/>
    <col min="2" max="2" width="8.88671875" customWidth="1" style="5"/>
    <col min="3" max="3" width="46.5546875" customWidth="1" style="5"/>
    <col min="4" max="4" width="14.109375" customWidth="1" style="216"/>
    <col min="5" max="5" width="14.109375" customWidth="1" style="216"/>
    <col min="6" max="6" width="8.88671875" customWidth="1" style="5"/>
    <col min="7" max="7" width="8.88671875" customWidth="1" style="5"/>
    <col min="8" max="8" width="8.88671875" customWidth="1" style="5"/>
    <col min="9" max="9" width="8.88671875" customWidth="1" style="5"/>
    <col min="10" max="10" width="8.88671875" customWidth="1" style="5"/>
    <col min="11" max="11" width="8.88671875" customWidth="1" style="5"/>
    <col min="12" max="12" width="8.88671875" customWidth="1" style="5"/>
    <col min="13" max="13" width="8.88671875" customWidth="1" style="5"/>
    <col min="14" max="14" width="8.88671875" customWidth="1" style="5"/>
    <col min="15" max="15" width="8.88671875" customWidth="1" style="5"/>
    <col min="16" max="16" width="13.6640625" customWidth="1" style="5"/>
    <col min="17" max="17" width="8.88671875" customWidth="1" style="5"/>
    <col min="18" max="18" width="8.88671875" customWidth="1" style="5"/>
    <col min="19" max="19" width="8.88671875" customWidth="1" style="5"/>
    <col min="20" max="20" width="8.88671875" customWidth="1" style="5"/>
    <col min="21" max="21" width="8.88671875" customWidth="1" style="5"/>
    <col min="22" max="22" width="8.88671875" customWidth="1" style="5"/>
    <col min="23" max="23" width="8.88671875" customWidth="1" style="5"/>
    <col min="24" max="24" width="8.88671875" customWidth="1" style="5"/>
    <col min="25" max="25" width="8.88671875" customWidth="1" style="5"/>
    <col min="26" max="16384" width="8.88671875" customWidth="1" style="5"/>
  </cols>
  <sheetData>
    <row r="7" ht="14.4">
      <c r="P7" s="215">
        <f>888300/400</f>
        <v>2220.75</v>
      </c>
    </row>
    <row r="10">
      <c r="P10" s="216">
        <f>1687770/38</f>
        <v>44415</v>
      </c>
    </row>
    <row r="11" ht="12.6" customHeight="1"/>
    <row r="12" ht="12.6" customHeight="1"/>
    <row r="13" ht="12.6" customHeight="1"/>
    <row r="14" ht="12.6" customHeight="1">
      <c r="J14" s="5" t="s">
        <v>270</v>
      </c>
    </row>
    <row r="15" ht="12.6" customHeight="1"/>
    <row r="16" ht="12.6" customHeight="1"/>
    <row r="17" ht="12.6" customHeight="1">
      <c r="C17" s="5" t="s">
        <v>271</v>
      </c>
      <c r="D17" s="216">
        <v>2461174</v>
      </c>
      <c r="E17" s="216">
        <f>554946/400</f>
        <v>1387.365</v>
      </c>
    </row>
    <row r="18" ht="12.6" customHeight="1">
      <c r="C18" s="5" t="s">
        <v>272</v>
      </c>
    </row>
    <row r="19" ht="12.6" customHeight="1"/>
    <row r="20" ht="12.6" customHeight="1">
      <c r="C20" s="5" t="s">
        <v>273</v>
      </c>
      <c r="D20" s="221">
        <f>D17/38</f>
        <v>64767.73684210526</v>
      </c>
    </row>
    <row r="21" ht="12.6" customHeight="1"/>
    <row r="22" ht="12.6" customHeight="1"/>
    <row r="23" ht="12.6" customHeight="1"/>
    <row r="27">
      <c r="D27" s="216" t="s">
        <v>11</v>
      </c>
      <c r="E27" s="216" t="s">
        <v>274</v>
      </c>
    </row>
    <row r="28">
      <c r="C28" s="5" t="s">
        <v>275</v>
      </c>
      <c r="D28" s="195">
        <v>38</v>
      </c>
      <c r="E28" s="195">
        <v>400</v>
      </c>
    </row>
    <row r="29" ht="13.8">
      <c r="C29" s="5" t="s">
        <v>276</v>
      </c>
      <c r="D29" s="217">
        <v>2</v>
      </c>
      <c r="E29" s="217">
        <v>20</v>
      </c>
    </row>
    <row r="30" ht="13.8">
      <c r="C30" s="5" t="s">
        <v>277</v>
      </c>
      <c r="D30" s="195">
        <f>D28/D29</f>
        <v>19</v>
      </c>
      <c r="E30" s="195">
        <f>E28/E29</f>
        <v>20</v>
      </c>
    </row>
    <row r="33" ht="14.4">
      <c r="C33" s="5" t="s">
        <v>278</v>
      </c>
      <c r="D33" s="216" t="s">
        <v>279</v>
      </c>
      <c r="E33" s="216">
        <v>554946</v>
      </c>
      <c r="G33" s="218" t="e">
        <f>D34/D33</f>
        <v>#VALUE!</v>
      </c>
      <c r="H33" s="218">
        <f>E34/E33</f>
        <v>0.15000018019771294</v>
      </c>
    </row>
    <row r="34" ht="13.8">
      <c r="C34" s="5" t="s">
        <v>156</v>
      </c>
      <c r="D34" s="219">
        <v>545973</v>
      </c>
      <c r="E34" s="219">
        <v>83242</v>
      </c>
      <c r="I34" s="5" t="e">
        <f>D34/D33</f>
        <v>#VALUE!</v>
      </c>
    </row>
    <row r="35" ht="15">
      <c r="D35" s="216">
        <f>SUM(D33:D34)</f>
        <v>545973</v>
      </c>
      <c r="E35" s="216">
        <f>SUM(E33:E34)</f>
        <v>638188</v>
      </c>
      <c r="G35" s="218">
        <f>D35/E35</f>
        <v>0.85550496092060646</v>
      </c>
    </row>
    <row r="36" ht="14.4">
      <c r="G36" s="218"/>
    </row>
    <row r="37">
      <c r="C37" s="5" t="s">
        <v>280</v>
      </c>
      <c r="D37" s="216">
        <v>1687770</v>
      </c>
      <c r="E37" s="216">
        <v>8883000</v>
      </c>
    </row>
    <row r="38">
      <c r="C38" s="5" t="s">
        <v>281</v>
      </c>
      <c r="D38" s="220">
        <v>577125</v>
      </c>
      <c r="E38" s="220">
        <v>4252500</v>
      </c>
    </row>
    <row r="39" ht="13.8">
      <c r="C39" s="5" t="s">
        <v>282</v>
      </c>
      <c r="D39" s="219">
        <v>2520000</v>
      </c>
      <c r="E39" s="219">
        <v>1435000</v>
      </c>
    </row>
    <row r="40" ht="12.6" customHeight="1">
      <c r="D40" s="216">
        <f>SUM(D37:D39)</f>
        <v>4784895</v>
      </c>
      <c r="E40" s="216">
        <f>SUM(E37:E39)</f>
        <v>14570500</v>
      </c>
      <c r="G40" s="218">
        <f>E40/D40</f>
        <v>3.0451033930734113</v>
      </c>
    </row>
    <row r="41" ht="12.6" customHeight="1"/>
    <row r="42" ht="14.4">
      <c r="C42" s="5" t="s">
        <v>283</v>
      </c>
      <c r="D42" s="216">
        <v>70080</v>
      </c>
      <c r="E42" s="216">
        <v>160483</v>
      </c>
      <c r="J42" s="218">
        <f>D40/D35</f>
        <v>8.76397733953877</v>
      </c>
      <c r="K42" s="218">
        <f>E40/E35</f>
        <v>22.831046650830164</v>
      </c>
    </row>
    <row r="43" ht="13.8">
      <c r="C43" s="5" t="s">
        <v>284</v>
      </c>
      <c r="D43" s="219">
        <v>100000</v>
      </c>
      <c r="E43" s="219">
        <v>200000</v>
      </c>
    </row>
    <row r="44" ht="13.8">
      <c r="D44" s="216">
        <f>SUM(D42:D43)</f>
        <v>170080</v>
      </c>
      <c r="E44" s="216">
        <f>SUM(E42:E43)</f>
        <v>360483</v>
      </c>
    </row>
    <row r="46" ht="14.4">
      <c r="C46" s="5" t="s">
        <v>45</v>
      </c>
      <c r="D46" s="216">
        <f>SUM(D35,D40,D44)</f>
        <v>5500948</v>
      </c>
      <c r="E46" s="216">
        <f>SUM(E35,E40,E44)</f>
        <v>15569171</v>
      </c>
      <c r="G46" s="218" t="s">
        <v>279</v>
      </c>
    </row>
    <row r="50">
      <c r="C50" s="5" t="s">
        <v>285</v>
      </c>
      <c r="D50" s="216" t="e">
        <f>D33/D28</f>
        <v>#VALUE!</v>
      </c>
      <c r="E50" s="216">
        <f>E33/E28</f>
        <v>1387.365</v>
      </c>
    </row>
    <row r="51">
      <c r="C51" s="5" t="s">
        <v>286</v>
      </c>
      <c r="D51" s="221" t="e">
        <f>D50*22%</f>
        <v>#VALUE!</v>
      </c>
      <c r="E51" s="221">
        <f>E50*22%</f>
        <v>305.2203</v>
      </c>
    </row>
    <row r="53">
      <c r="C53" s="5" t="s">
        <v>287</v>
      </c>
      <c r="D53" s="216">
        <f>D37/D28</f>
        <v>44415</v>
      </c>
      <c r="E53" s="216">
        <f>E37/E28</f>
        <v>22207.5</v>
      </c>
    </row>
    <row r="54">
      <c r="C54" s="5" t="s">
        <v>288</v>
      </c>
      <c r="D54" s="221">
        <f>D38/D28</f>
        <v>15187.5</v>
      </c>
      <c r="E54" s="221">
        <f>E38/E28</f>
        <v>10631.25</v>
      </c>
    </row>
    <row r="55">
      <c r="C55" s="5" t="s">
        <v>289</v>
      </c>
      <c r="D55" s="221">
        <f>D39/D28</f>
        <v>66315.789473684214</v>
      </c>
      <c r="E55" s="221">
        <f>E39/E28</f>
        <v>3587.5</v>
      </c>
    </row>
    <row r="57">
      <c r="C57" s="5" t="s">
        <v>290</v>
      </c>
      <c r="D57" s="221">
        <f>D42/D28</f>
        <v>1844.2105263157894</v>
      </c>
      <c r="E57" s="221">
        <f>E42/E28</f>
        <v>401.2075</v>
      </c>
    </row>
    <row r="58">
      <c r="C58" s="5" t="s">
        <v>284</v>
      </c>
      <c r="D58" s="221">
        <f>D43/D28</f>
        <v>2631.5789473684213</v>
      </c>
      <c r="E58" s="221">
        <f>E43/E28</f>
        <v>500</v>
      </c>
    </row>
  </sheetData>
  <pageMargins left="0.7" right="0.7" top="0.75" bottom="0.75" header="0.3" footer="0.3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A3:B28"/>
  <sheetViews>
    <sheetView zoomScale="76" zoomScaleNormal="76" workbookViewId="0"/>
  </sheetViews>
  <sheetFormatPr defaultColWidth="8.88671875" defaultRowHeight="15.6" x14ac:dyDescent="0.3"/>
  <cols>
    <col min="1" max="1" width="8.88671875" customWidth="1" style="243"/>
    <col min="2" max="2" width="175.109375" customWidth="1" style="243"/>
    <col min="3" max="3" width="8.88671875" customWidth="1" style="243"/>
    <col min="4" max="4" width="15.44140625" customWidth="1" style="243"/>
    <col min="5" max="5" width="15.88671875" customWidth="1" style="243"/>
    <col min="6" max="6" width="14.6640625" customWidth="1" style="243"/>
    <col min="7" max="7" width="13.44140625" customWidth="1" style="243"/>
    <col min="8" max="8" width="14.5546875" customWidth="1" style="243"/>
    <col min="9" max="16384" width="8.88671875" customWidth="1" style="243"/>
  </cols>
  <sheetData>
    <row r="3">
      <c r="B3" s="242" t="s">
        <v>244</v>
      </c>
    </row>
    <row r="4" ht="34.95" customHeight="1">
      <c r="B4" s="242" t="s">
        <v>245</v>
      </c>
    </row>
    <row r="5" ht="34.95" customHeight="1">
      <c r="B5" s="244" t="s">
        <v>246</v>
      </c>
    </row>
    <row r="6" ht="34.95" customHeight="1">
      <c r="B6" s="244" t="s">
        <v>247</v>
      </c>
    </row>
    <row r="7" ht="34.95" customHeight="1">
      <c r="B7" s="244" t="s">
        <v>248</v>
      </c>
    </row>
    <row r="8" ht="34.95" customHeight="1">
      <c r="B8" s="244" t="s">
        <v>249</v>
      </c>
    </row>
    <row r="9" ht="34.95" customHeight="1">
      <c r="B9" s="244" t="s">
        <v>250</v>
      </c>
    </row>
    <row r="10" ht="34.95" customHeight="1">
      <c r="B10" s="244" t="s">
        <v>251</v>
      </c>
    </row>
    <row r="11" ht="34.95" customHeight="1">
      <c r="B11" s="244" t="s">
        <v>252</v>
      </c>
    </row>
    <row r="12" ht="34.95" customHeight="1">
      <c r="B12" s="244" t="s">
        <v>253</v>
      </c>
    </row>
    <row r="13" ht="34.95" customHeight="1">
      <c r="B13" s="244" t="s">
        <v>254</v>
      </c>
    </row>
    <row r="14" ht="34.95" customHeight="1">
      <c r="B14" s="244" t="s">
        <v>255</v>
      </c>
    </row>
    <row r="15" ht="34.95" customHeight="1">
      <c r="B15" s="244" t="s">
        <v>256</v>
      </c>
    </row>
    <row r="16" ht="34.95" customHeight="1">
      <c r="B16" s="244" t="s">
        <v>257</v>
      </c>
    </row>
    <row r="17" ht="34.95" customHeight="1">
      <c r="B17" s="244" t="s">
        <v>258</v>
      </c>
    </row>
    <row r="18" ht="34.95" customHeight="1">
      <c r="B18" s="244" t="s">
        <v>259</v>
      </c>
    </row>
    <row r="19" ht="34.95" customHeight="1">
      <c r="B19" s="244" t="s">
        <v>260</v>
      </c>
    </row>
    <row r="20" ht="34.95" customHeight="1">
      <c r="B20" s="244" t="s">
        <v>261</v>
      </c>
    </row>
    <row r="21" ht="34.95" customHeight="1">
      <c r="B21" s="244" t="s">
        <v>262</v>
      </c>
    </row>
    <row r="22" ht="34.95" customHeight="1">
      <c r="B22" s="244" t="s">
        <v>263</v>
      </c>
    </row>
    <row r="23" ht="34.95" customHeight="1">
      <c r="B23" s="244" t="s">
        <v>264</v>
      </c>
    </row>
    <row r="24" ht="34.95" customHeight="1">
      <c r="B24" s="244" t="s">
        <v>265</v>
      </c>
    </row>
    <row r="25" ht="34.95" customHeight="1">
      <c r="B25" s="244" t="s">
        <v>266</v>
      </c>
    </row>
    <row r="26" ht="34.95" customHeight="1">
      <c r="B26" s="244" t="s">
        <v>267</v>
      </c>
    </row>
    <row r="27" ht="34.95" customHeight="1">
      <c r="B27" s="245" t="s">
        <v>268</v>
      </c>
    </row>
    <row r="28" ht="34.95" customHeight="1">
      <c r="B28" s="242" t="s">
        <v>269</v>
      </c>
    </row>
  </sheetData>
  <hyperlinks>
    <hyperlink ref="B27" r:id="rId2"/>
  </hyperlinks>
  <pageMargins left="0.7" right="0.7" top="0.75" bottom="0.75" header="0.3" footer="0.3"/>
  <pageSetup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B2:I48"/>
  <sheetViews>
    <sheetView topLeftCell="A32" workbookViewId="0">
      <selection activeCell="D50" sqref="D50"/>
    </sheetView>
  </sheetViews>
  <sheetFormatPr defaultRowHeight="14.4" x14ac:dyDescent="0.3"/>
  <cols>
    <col min="2" max="2" width="8.88671875" customWidth="1" style="247"/>
    <col min="3" max="3" width="28.77734375" customWidth="1"/>
    <col min="4" max="4" width="12" customWidth="1"/>
    <col min="5" max="5" width="13.5546875" customWidth="1"/>
    <col min="6" max="6" width="16.33203125" customWidth="1"/>
    <col min="7" max="7" width="12.77734375" customWidth="1"/>
    <col min="8" max="8" width="13.109375" customWidth="1"/>
    <col min="9" max="9" width="14.5546875" customWidth="1"/>
  </cols>
  <sheetData>
    <row r="2">
      <c r="B2" s="247" t="s">
        <v>224</v>
      </c>
    </row>
    <row r="4" ht="15"/>
    <row r="5">
      <c r="B5" s="57"/>
      <c r="C5" s="19"/>
      <c r="D5" s="19" t="s">
        <v>117</v>
      </c>
      <c r="E5" s="19"/>
      <c r="F5" s="19" t="s">
        <v>118</v>
      </c>
      <c r="G5" s="19"/>
      <c r="H5" s="19" t="s">
        <v>119</v>
      </c>
      <c r="I5" s="20"/>
    </row>
    <row r="6">
      <c r="B6" s="392"/>
      <c r="C6" s="393" t="s">
        <v>225</v>
      </c>
      <c r="D6" s="249" t="s">
        <v>11</v>
      </c>
      <c r="E6" s="249" t="s">
        <v>12</v>
      </c>
      <c r="F6" s="249" t="s">
        <v>11</v>
      </c>
      <c r="G6" s="249" t="s">
        <v>12</v>
      </c>
      <c r="H6" s="249" t="s">
        <v>11</v>
      </c>
      <c r="I6" s="357" t="s">
        <v>12</v>
      </c>
    </row>
    <row r="7">
      <c r="B7" s="394"/>
      <c r="C7" s="9"/>
      <c r="D7" s="9"/>
      <c r="E7" s="9"/>
      <c r="F7" s="9"/>
      <c r="G7" s="9"/>
      <c r="H7" s="9"/>
      <c r="I7" s="11"/>
    </row>
    <row r="8">
      <c r="B8" s="394">
        <v>1</v>
      </c>
      <c r="C8" s="9" t="s">
        <v>226</v>
      </c>
      <c r="D8" s="12">
        <v>0</v>
      </c>
      <c r="E8" s="12">
        <v>66353</v>
      </c>
      <c r="F8" s="12">
        <v>0</v>
      </c>
      <c r="G8" s="12">
        <v>78242</v>
      </c>
      <c r="H8" s="12">
        <v>0</v>
      </c>
      <c r="I8" s="264">
        <v>103623</v>
      </c>
    </row>
    <row r="9">
      <c r="B9" s="394">
        <v>2</v>
      </c>
      <c r="C9" s="9" t="s">
        <v>227</v>
      </c>
      <c r="D9" s="12">
        <v>0</v>
      </c>
      <c r="E9" s="12">
        <v>24000</v>
      </c>
      <c r="F9" s="12">
        <v>0</v>
      </c>
      <c r="G9" s="12">
        <v>27429</v>
      </c>
      <c r="H9" s="12">
        <v>0</v>
      </c>
      <c r="I9" s="264">
        <v>36000</v>
      </c>
    </row>
    <row r="10">
      <c r="B10" s="394">
        <v>3</v>
      </c>
      <c r="C10" s="9" t="s">
        <v>228</v>
      </c>
      <c r="D10" s="12">
        <v>0</v>
      </c>
      <c r="E10" s="12">
        <v>126000</v>
      </c>
      <c r="F10" s="12">
        <v>0</v>
      </c>
      <c r="G10" s="12">
        <v>147000</v>
      </c>
      <c r="H10" s="12">
        <v>0</v>
      </c>
      <c r="I10" s="264">
        <v>199500</v>
      </c>
    </row>
    <row r="11">
      <c r="B11" s="394">
        <v>4</v>
      </c>
      <c r="C11" s="9" t="s">
        <v>229</v>
      </c>
      <c r="D11" s="12">
        <v>1027031</v>
      </c>
      <c r="E11" s="12">
        <v>2513783</v>
      </c>
      <c r="F11" s="12">
        <v>1027031</v>
      </c>
      <c r="G11" s="12">
        <v>2539363</v>
      </c>
      <c r="H11" s="12">
        <v>1027031</v>
      </c>
      <c r="I11" s="264">
        <v>3101669</v>
      </c>
    </row>
    <row r="12">
      <c r="B12" s="394">
        <v>5</v>
      </c>
      <c r="C12" s="9" t="s">
        <v>230</v>
      </c>
      <c r="D12" s="12">
        <v>0</v>
      </c>
      <c r="E12" s="12">
        <v>402579</v>
      </c>
      <c r="F12" s="12">
        <v>0</v>
      </c>
      <c r="G12" s="12">
        <v>640082</v>
      </c>
      <c r="H12" s="12">
        <v>0</v>
      </c>
      <c r="I12" s="264">
        <v>859766</v>
      </c>
    </row>
    <row r="13">
      <c r="B13" s="394">
        <v>6</v>
      </c>
      <c r="C13" s="9" t="s">
        <v>231</v>
      </c>
      <c r="D13" s="12">
        <v>40000</v>
      </c>
      <c r="E13" s="12">
        <v>946537</v>
      </c>
      <c r="F13" s="12">
        <v>40000</v>
      </c>
      <c r="G13" s="12">
        <v>1577039</v>
      </c>
      <c r="H13" s="12">
        <v>80000</v>
      </c>
      <c r="I13" s="264">
        <v>2510576</v>
      </c>
    </row>
    <row r="14">
      <c r="B14" s="394">
        <v>7</v>
      </c>
      <c r="C14" s="9" t="s">
        <v>232</v>
      </c>
      <c r="D14" s="12">
        <v>359378</v>
      </c>
      <c r="E14" s="12">
        <v>333099</v>
      </c>
      <c r="F14" s="12">
        <v>576482</v>
      </c>
      <c r="G14" s="12">
        <v>379963</v>
      </c>
      <c r="H14" s="12">
        <v>814856</v>
      </c>
      <c r="I14" s="264">
        <v>507347</v>
      </c>
    </row>
    <row r="15" ht="15">
      <c r="B15" s="395">
        <v>8</v>
      </c>
      <c r="C15" s="354" t="s">
        <v>233</v>
      </c>
      <c r="D15" s="355">
        <v>668900</v>
      </c>
      <c r="E15" s="355">
        <v>957039</v>
      </c>
      <c r="F15" s="355">
        <v>1257800</v>
      </c>
      <c r="G15" s="355">
        <v>1106382</v>
      </c>
      <c r="H15" s="355">
        <v>2034240</v>
      </c>
      <c r="I15" s="358">
        <v>1428221</v>
      </c>
    </row>
    <row r="16" ht="15">
      <c r="B16" s="397">
        <v>9</v>
      </c>
      <c r="C16" s="362" t="s">
        <v>16</v>
      </c>
      <c r="D16" s="363">
        <v>2095309</v>
      </c>
      <c r="E16" s="363">
        <v>5369390</v>
      </c>
      <c r="F16" s="363">
        <v>2901313</v>
      </c>
      <c r="G16" s="363">
        <v>6495500</v>
      </c>
      <c r="H16" s="363">
        <v>3956127</v>
      </c>
      <c r="I16" s="364">
        <v>8746702</v>
      </c>
    </row>
    <row r="17" ht="15">
      <c r="B17" s="396"/>
      <c r="C17" s="13"/>
      <c r="D17" s="367"/>
      <c r="E17" s="367"/>
      <c r="F17" s="367"/>
      <c r="G17" s="367"/>
      <c r="H17" s="367"/>
      <c r="I17" s="391"/>
    </row>
    <row r="18">
      <c r="D18" s="165"/>
      <c r="E18" s="165"/>
      <c r="F18" s="165"/>
      <c r="G18" s="165"/>
      <c r="H18" s="165"/>
      <c r="I18" s="165"/>
    </row>
    <row r="19" ht="15">
      <c r="D19" s="165"/>
      <c r="E19" s="165"/>
      <c r="F19" s="165"/>
      <c r="G19" s="165"/>
      <c r="H19" s="165"/>
      <c r="I19" s="165"/>
    </row>
    <row r="20">
      <c r="B20" s="398"/>
      <c r="C20" s="356"/>
      <c r="D20" s="653" t="s">
        <v>117</v>
      </c>
      <c r="E20" s="653"/>
      <c r="F20" s="653" t="s">
        <v>118</v>
      </c>
      <c r="G20" s="653"/>
      <c r="H20" s="653" t="s">
        <v>119</v>
      </c>
      <c r="I20" s="654"/>
    </row>
    <row r="21">
      <c r="B21" s="399"/>
      <c r="C21" s="283" t="s">
        <v>234</v>
      </c>
      <c r="D21" s="400" t="s">
        <v>11</v>
      </c>
      <c r="E21" s="400" t="s">
        <v>12</v>
      </c>
      <c r="F21" s="400" t="s">
        <v>11</v>
      </c>
      <c r="G21" s="400" t="s">
        <v>12</v>
      </c>
      <c r="H21" s="400" t="s">
        <v>11</v>
      </c>
      <c r="I21" s="401" t="s">
        <v>12</v>
      </c>
    </row>
    <row r="22">
      <c r="B22" s="394"/>
      <c r="C22" s="9"/>
      <c r="D22" s="12"/>
      <c r="E22" s="12"/>
      <c r="F22" s="12"/>
      <c r="G22" s="12"/>
      <c r="H22" s="12"/>
      <c r="I22" s="264"/>
    </row>
    <row r="23">
      <c r="B23" s="394">
        <v>1</v>
      </c>
      <c r="C23" s="9" t="s">
        <v>226</v>
      </c>
      <c r="D23" s="12">
        <v>0</v>
      </c>
      <c r="E23" s="12">
        <v>13270.6</v>
      </c>
      <c r="F23" s="12">
        <v>0</v>
      </c>
      <c r="G23" s="12">
        <v>15648.4</v>
      </c>
      <c r="H23" s="12">
        <v>0</v>
      </c>
      <c r="I23" s="264">
        <v>20724.6</v>
      </c>
    </row>
    <row r="24">
      <c r="B24" s="394">
        <v>2</v>
      </c>
      <c r="C24" s="9" t="s">
        <v>227</v>
      </c>
      <c r="D24" s="12">
        <v>0</v>
      </c>
      <c r="E24" s="12">
        <v>4800</v>
      </c>
      <c r="F24" s="12">
        <v>0</v>
      </c>
      <c r="G24" s="12">
        <v>5485.8</v>
      </c>
      <c r="H24" s="12">
        <v>0</v>
      </c>
      <c r="I24" s="264">
        <v>7200</v>
      </c>
    </row>
    <row r="25">
      <c r="B25" s="394">
        <v>3</v>
      </c>
      <c r="C25" s="9" t="s">
        <v>228</v>
      </c>
      <c r="D25" s="12">
        <v>0</v>
      </c>
      <c r="E25" s="12">
        <v>25200</v>
      </c>
      <c r="F25" s="12">
        <v>0</v>
      </c>
      <c r="G25" s="12">
        <v>29400</v>
      </c>
      <c r="H25" s="12">
        <v>0</v>
      </c>
      <c r="I25" s="264">
        <v>39900</v>
      </c>
    </row>
    <row r="26">
      <c r="B26" s="394">
        <v>4</v>
      </c>
      <c r="C26" s="9" t="s">
        <v>229</v>
      </c>
      <c r="D26" s="12">
        <v>205406.2</v>
      </c>
      <c r="E26" s="12">
        <v>502756.6</v>
      </c>
      <c r="F26" s="12">
        <v>205406.2</v>
      </c>
      <c r="G26" s="12">
        <v>507872.6</v>
      </c>
      <c r="H26" s="12">
        <v>205406.2</v>
      </c>
      <c r="I26" s="264">
        <v>620333.8</v>
      </c>
    </row>
    <row r="27">
      <c r="B27" s="394">
        <v>5</v>
      </c>
      <c r="C27" s="9" t="s">
        <v>230</v>
      </c>
      <c r="D27" s="12">
        <v>0</v>
      </c>
      <c r="E27" s="12">
        <v>80515.8</v>
      </c>
      <c r="F27" s="12">
        <v>0</v>
      </c>
      <c r="G27" s="12">
        <v>128016.4</v>
      </c>
      <c r="H27" s="12">
        <v>0</v>
      </c>
      <c r="I27" s="264">
        <v>171953.2</v>
      </c>
    </row>
    <row r="28">
      <c r="B28" s="394">
        <v>6</v>
      </c>
      <c r="C28" s="9" t="s">
        <v>231</v>
      </c>
      <c r="D28" s="12">
        <v>8000</v>
      </c>
      <c r="E28" s="12">
        <v>189307.4</v>
      </c>
      <c r="F28" s="12">
        <v>8000</v>
      </c>
      <c r="G28" s="12">
        <v>315407.8</v>
      </c>
      <c r="H28" s="12">
        <v>16000</v>
      </c>
      <c r="I28" s="264">
        <v>502115.2</v>
      </c>
    </row>
    <row r="29">
      <c r="B29" s="394">
        <v>7</v>
      </c>
      <c r="C29" s="9" t="s">
        <v>232</v>
      </c>
      <c r="D29" s="12">
        <v>71875.6</v>
      </c>
      <c r="E29" s="12">
        <v>66619.8</v>
      </c>
      <c r="F29" s="12">
        <v>115296.4</v>
      </c>
      <c r="G29" s="12">
        <v>75992.6</v>
      </c>
      <c r="H29" s="12">
        <v>162971.2</v>
      </c>
      <c r="I29" s="264">
        <v>101469.4</v>
      </c>
    </row>
    <row r="30">
      <c r="B30" s="394">
        <v>8</v>
      </c>
      <c r="C30" s="9" t="s">
        <v>233</v>
      </c>
      <c r="D30" s="12">
        <v>668900</v>
      </c>
      <c r="E30" s="12">
        <v>957039</v>
      </c>
      <c r="F30" s="12">
        <v>1257800</v>
      </c>
      <c r="G30" s="12">
        <v>1106382</v>
      </c>
      <c r="H30" s="12">
        <v>2034240</v>
      </c>
      <c r="I30" s="264">
        <v>1428221</v>
      </c>
    </row>
    <row r="31">
      <c r="B31" s="397">
        <v>9</v>
      </c>
      <c r="C31" s="362" t="s">
        <v>16</v>
      </c>
      <c r="D31" s="363">
        <v>954181.8</v>
      </c>
      <c r="E31" s="363">
        <v>1839509.2000000002</v>
      </c>
      <c r="F31" s="363">
        <v>1586502.6</v>
      </c>
      <c r="G31" s="363">
        <v>2184205.6</v>
      </c>
      <c r="H31" s="363">
        <v>2418617.4</v>
      </c>
      <c r="I31" s="364">
        <v>2891917.2</v>
      </c>
    </row>
    <row r="32">
      <c r="B32" s="394"/>
      <c r="C32" s="9"/>
      <c r="D32" s="9"/>
      <c r="E32" s="9"/>
      <c r="F32" s="9"/>
      <c r="G32" s="9"/>
      <c r="H32" s="9"/>
      <c r="I32" s="11"/>
    </row>
    <row r="33" ht="15">
      <c r="B33" s="396"/>
      <c r="C33" s="13"/>
      <c r="D33" s="13"/>
      <c r="E33" s="13"/>
      <c r="F33" s="13"/>
      <c r="G33" s="13"/>
      <c r="H33" s="13"/>
      <c r="I33" s="22"/>
    </row>
    <row r="35" ht="15"/>
    <row r="36">
      <c r="B36" s="57"/>
      <c r="C36" s="19"/>
      <c r="D36" s="651" t="s">
        <v>6</v>
      </c>
      <c r="E36" s="651"/>
      <c r="F36" s="651" t="s">
        <v>7</v>
      </c>
      <c r="G36" s="651"/>
      <c r="H36" s="651" t="s">
        <v>8</v>
      </c>
      <c r="I36" s="652"/>
    </row>
    <row r="37">
      <c r="B37" s="392"/>
      <c r="C37" s="402" t="s">
        <v>235</v>
      </c>
      <c r="D37" s="249" t="s">
        <v>11</v>
      </c>
      <c r="E37" s="249" t="s">
        <v>12</v>
      </c>
      <c r="F37" s="249" t="s">
        <v>11</v>
      </c>
      <c r="G37" s="249" t="s">
        <v>12</v>
      </c>
      <c r="H37" s="249" t="s">
        <v>11</v>
      </c>
      <c r="I37" s="357" t="s">
        <v>12</v>
      </c>
    </row>
    <row r="38">
      <c r="B38" s="394">
        <v>1</v>
      </c>
      <c r="C38" s="9" t="s">
        <v>53</v>
      </c>
      <c r="D38" s="234">
        <v>3.2093091223012196</v>
      </c>
      <c r="E38" s="234">
        <v>0.81185177779004458</v>
      </c>
      <c r="F38" s="234">
        <v>3.6142271067380141</v>
      </c>
      <c r="G38" s="234">
        <v>1.7248830508888071</v>
      </c>
      <c r="H38" s="234">
        <v>5.3384112692940286</v>
      </c>
      <c r="I38" s="390">
        <v>2.13955048279909</v>
      </c>
    </row>
    <row r="39">
      <c r="B39" s="394">
        <v>2</v>
      </c>
      <c r="C39" s="9" t="s">
        <v>54</v>
      </c>
      <c r="D39" s="12">
        <v>6538854.5257017389</v>
      </c>
      <c r="E39" s="12">
        <v>3191780.7144953208</v>
      </c>
      <c r="F39" s="12">
        <v>11532580.570831895</v>
      </c>
      <c r="G39" s="12">
        <v>8217418.9732610965</v>
      </c>
      <c r="H39" s="12">
        <v>25293231.613984626</v>
      </c>
      <c r="I39" s="264">
        <v>16475831.541335976</v>
      </c>
    </row>
    <row r="40">
      <c r="B40" s="394">
        <v>3</v>
      </c>
      <c r="C40" s="9" t="s">
        <v>236</v>
      </c>
      <c r="D40" s="14">
        <v>6.185379384111048</v>
      </c>
      <c r="E40" s="14">
        <v>12.015771773549696</v>
      </c>
      <c r="F40" s="14">
        <v>6.0720210170253051</v>
      </c>
      <c r="G40" s="14">
        <v>7.8494456918886621</v>
      </c>
      <c r="H40" s="14">
        <v>4.6066643644004994</v>
      </c>
      <c r="I40" s="302">
        <v>6.4741030226105956</v>
      </c>
    </row>
    <row r="41">
      <c r="B41" s="394">
        <v>4</v>
      </c>
      <c r="C41" s="9" t="s">
        <v>56</v>
      </c>
      <c r="D41" s="12">
        <v>1451273.1200000003</v>
      </c>
      <c r="E41" s="12">
        <v>3308824.64</v>
      </c>
      <c r="F41" s="12">
        <v>2242351.7600000002</v>
      </c>
      <c r="G41" s="12">
        <v>3429484.5200000005</v>
      </c>
      <c r="H41" s="12">
        <v>3280162.6</v>
      </c>
      <c r="I41" s="264">
        <v>5556486.32</v>
      </c>
    </row>
    <row r="42" ht="15">
      <c r="B42" s="396"/>
      <c r="C42" s="13"/>
      <c r="D42" s="13"/>
      <c r="E42" s="13"/>
      <c r="F42" s="13"/>
      <c r="G42" s="13"/>
      <c r="H42" s="13"/>
      <c r="I42" s="22"/>
    </row>
    <row r="45">
      <c r="C45" s="0" t="s">
        <v>237</v>
      </c>
      <c r="D45" s="0">
        <v>7.45</v>
      </c>
    </row>
    <row r="46">
      <c r="C46" s="0" t="s">
        <v>238</v>
      </c>
      <c r="D46" s="0">
        <v>6.25</v>
      </c>
    </row>
    <row r="47">
      <c r="C47" s="0" t="s">
        <v>239</v>
      </c>
      <c r="D47" s="0" t="s">
        <v>240</v>
      </c>
      <c r="E47" s="0" t="s">
        <v>241</v>
      </c>
      <c r="F47" s="0" t="s">
        <v>242</v>
      </c>
    </row>
    <row r="48">
      <c r="C48" s="0" t="s">
        <v>243</v>
      </c>
      <c r="D48" s="233">
        <v>3000000</v>
      </c>
      <c r="E48" s="165">
        <v>4500000</v>
      </c>
      <c r="F48" s="233">
        <v>6000000</v>
      </c>
    </row>
  </sheetData>
  <mergeCells>
    <mergeCell ref="D36:E36"/>
    <mergeCell ref="F36:G36"/>
    <mergeCell ref="H36:I36"/>
    <mergeCell ref="D20:E20"/>
    <mergeCell ref="F20:G20"/>
    <mergeCell ref="H20:I20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Value Drivers</vt:lpstr>
      <vt:lpstr>Dropdowns</vt:lpstr>
      <vt:lpstr>Input</vt:lpstr>
      <vt:lpstr>Calculator</vt:lpstr>
      <vt:lpstr>Results</vt:lpstr>
      <vt:lpstr>Macro OUTPUT</vt:lpstr>
      <vt:lpstr>Assumptions</vt:lpstr>
      <vt:lpstr>Costs</vt:lpstr>
      <vt:lpstr>Costs 2</vt:lpstr>
      <vt:lpstr>Benefits</vt:lpstr>
      <vt:lpstr> Comparision - Results</vt:lpstr>
      <vt:lpstr> Calculator -Z14 -small</vt:lpstr>
      <vt:lpstr> Calculator -X86 -small</vt:lpstr>
      <vt:lpstr> Calculator -Z14 -medium</vt:lpstr>
      <vt:lpstr> Calculator -x86 -medium</vt:lpstr>
      <vt:lpstr> Calculator -z14 Large</vt:lpstr>
      <vt:lpstr> Calculator -x86 Large </vt:lpstr>
      <vt:lpstr>Per Core Values</vt:lpstr>
      <vt:lpstr> Test to Delete</vt:lpstr>
      <vt:lpstr>Sizing V2</vt:lpstr>
      <vt:lpstr>From TCO Paper</vt:lpstr>
      <vt:lpstr>Assumptions 2</vt:lpstr>
      <vt:lpstr>For Srini Case 1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asthanaajayk</dc:creator>
  <cp:lastModifiedBy>asthanaajayk</cp:lastModifiedBy>
  <cp:lastPrinted>2018-06-20T05:27:18Z</cp:lastPrinted>
  <dcterms:created xsi:type="dcterms:W3CDTF">2018-03-19T03:21:25Z</dcterms:created>
  <dcterms:modified xsi:type="dcterms:W3CDTF">2018-08-27T14:34:00Z</dcterms:modified>
</cp:coreProperties>
</file>