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1EF9BE31-504B-D14A-9463-8E79D9ABD532}" xr6:coauthVersionLast="45" xr6:coauthVersionMax="45" xr10:uidLastSave="{00000000-0000-0000-0000-000000000000}"/>
  <bookViews>
    <workbookView xWindow="1120" yWindow="1260" windowWidth="30420" windowHeight="19060" tabRatio="500"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prices'!$I$58</definedName>
    <definedName name="brent_crude_mmbtu_per_bbl">regressions!$B$10</definedName>
    <definedName name="fuel_price_offsets">regressions!$A$66:$B$71</definedName>
    <definedName name="fuel_prices">'hub and local prices'!$N$3:$W$49</definedName>
    <definedName name="Fuel_Properties">'[1]fuel properties'!$A$2:$D$14</definedName>
    <definedName name="Fuel_Ranks">'[1]fuel properties'!$A$2:$B$9</definedName>
    <definedName name="inflation_rate">'hub and local prices'!$J$58</definedName>
    <definedName name="interest_rate">'hub and local prices'!$F$58</definedName>
    <definedName name="interest_rate_nominal">'hub and local prices'!$G$58</definedName>
    <definedName name="interest_rate_real">'hub and local prices'!$F$58</definedName>
    <definedName name="tier_fixed_costs">'hub and local prices'!$N$57:$W$64</definedName>
    <definedName name="tier_properties">'hub and local prices'!$N$51:$W$53</definedName>
    <definedName name="years">'hub and local prices'!$A$5:$A$30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J57" i="6" l="1"/>
  <c r="AJ58" i="6" s="1"/>
  <c r="AI57" i="6"/>
  <c r="AH57" i="6"/>
  <c r="AI58" i="6" s="1"/>
  <c r="AG57" i="6"/>
  <c r="AH58" i="6" s="1"/>
  <c r="AF57" i="6"/>
  <c r="AF58" i="6" s="1"/>
  <c r="AE57" i="6"/>
  <c r="AD57" i="6"/>
  <c r="AE58" i="6" s="1"/>
  <c r="AC57" i="6"/>
  <c r="AD58" i="6" s="1"/>
  <c r="AB57" i="6"/>
  <c r="AB58" i="6" s="1"/>
  <c r="AA57" i="6"/>
  <c r="Z57" i="6"/>
  <c r="AA58" i="6" s="1"/>
  <c r="Y57" i="6"/>
  <c r="Z58" i="6" s="1"/>
  <c r="X57" i="6"/>
  <c r="X58" i="6" s="1"/>
  <c r="W57" i="6"/>
  <c r="V57" i="6"/>
  <c r="W58" i="6" s="1"/>
  <c r="U57" i="6"/>
  <c r="V58" i="6" s="1"/>
  <c r="T57" i="6"/>
  <c r="T58" i="6" s="1"/>
  <c r="S57" i="6"/>
  <c r="R57" i="6"/>
  <c r="S58" i="6" s="1"/>
  <c r="Q57" i="6"/>
  <c r="R58" i="6" s="1"/>
  <c r="P57" i="6"/>
  <c r="P58" i="6" s="1"/>
  <c r="O57" i="6"/>
  <c r="N57" i="6"/>
  <c r="O58" i="6" s="1"/>
  <c r="M57" i="6"/>
  <c r="N58" i="6" s="1"/>
  <c r="L57" i="6"/>
  <c r="L58" i="6" s="1"/>
  <c r="K57" i="6"/>
  <c r="J57" i="6"/>
  <c r="K58" i="6" s="1"/>
  <c r="I57" i="6"/>
  <c r="J58" i="6" s="1"/>
  <c r="H57" i="6"/>
  <c r="H58" i="6" s="1"/>
  <c r="G57" i="6"/>
  <c r="F57" i="6"/>
  <c r="G58" i="6" s="1"/>
  <c r="E57" i="6"/>
  <c r="F58" i="6" s="1"/>
  <c r="M58" i="6" l="1"/>
  <c r="I58" i="6"/>
  <c r="Q58" i="6"/>
  <c r="Y58" i="6"/>
  <c r="AG58" i="6"/>
  <c r="U58" i="6"/>
  <c r="AC58" i="6"/>
  <c r="C6" i="1" l="1"/>
  <c r="C7" i="1"/>
  <c r="C8" i="1"/>
  <c r="C9" i="1"/>
  <c r="C10" i="1"/>
  <c r="C11" i="1"/>
  <c r="C12" i="1"/>
  <c r="C13" i="1"/>
  <c r="C14" i="1"/>
  <c r="C15" i="1"/>
  <c r="C16" i="1"/>
  <c r="C17" i="1"/>
  <c r="C18" i="1"/>
  <c r="C5" i="1"/>
  <c r="B5" i="1" a="1"/>
  <c r="B5" i="1" s="1"/>
  <c r="V3" i="1" l="1" a="1"/>
  <c r="V3" i="1" s="1"/>
  <c r="Q3" i="1" a="1"/>
  <c r="Q3" i="1" s="1"/>
  <c r="E19" i="1" a="1"/>
  <c r="E19" i="1" s="1"/>
  <c r="D19" i="1" a="1"/>
  <c r="D19" i="1" s="1"/>
  <c r="B19" i="1" a="1"/>
  <c r="B19" i="1" s="1"/>
  <c r="A19" i="1" a="1"/>
  <c r="A19" i="1" s="1"/>
  <c r="E3" i="1" l="1"/>
  <c r="D3" i="1"/>
  <c r="C3" i="1"/>
  <c r="A63" i="5" l="1"/>
  <c r="F48" i="5"/>
  <c r="G48" i="5"/>
  <c r="H48" i="5"/>
  <c r="I48" i="5"/>
  <c r="J48" i="5"/>
  <c r="K48" i="5"/>
  <c r="L48" i="5"/>
  <c r="M48" i="5"/>
  <c r="N48" i="5"/>
  <c r="O48" i="5"/>
  <c r="P48" i="5"/>
  <c r="Q48" i="5"/>
  <c r="E48" i="5"/>
  <c r="F49" i="5"/>
  <c r="G49" i="5"/>
  <c r="H49" i="5"/>
  <c r="I49" i="5"/>
  <c r="J49" i="5"/>
  <c r="K49" i="5"/>
  <c r="L49" i="5"/>
  <c r="M49" i="5"/>
  <c r="N49" i="5"/>
  <c r="O49" i="5"/>
  <c r="P49" i="5"/>
  <c r="Q49" i="5"/>
  <c r="E49" i="5"/>
  <c r="B12" i="5"/>
  <c r="C12" i="5"/>
  <c r="C11" i="5"/>
  <c r="C21" i="5"/>
  <c r="C20" i="5"/>
  <c r="C31" i="5"/>
  <c r="C30" i="5"/>
  <c r="C29" i="5"/>
  <c r="C28" i="5"/>
  <c r="C27" i="5"/>
  <c r="C24" i="5"/>
  <c r="C23" i="5"/>
  <c r="C22" i="5"/>
  <c r="C34" i="5"/>
  <c r="C42" i="5" s="1"/>
  <c r="C36" i="5" l="1"/>
  <c r="C38" i="5"/>
  <c r="C35" i="5"/>
  <c r="C39" i="5"/>
  <c r="B39" i="5" s="1"/>
  <c r="C37" i="5"/>
  <c r="C43" i="5" l="1"/>
  <c r="C45" i="5"/>
  <c r="C47" i="5"/>
  <c r="C46" i="5"/>
  <c r="C44" i="5"/>
  <c r="C39" i="1" l="1"/>
  <c r="C23" i="1"/>
  <c r="C46" i="1"/>
  <c r="C30" i="1"/>
  <c r="C22" i="1"/>
  <c r="C37" i="1"/>
  <c r="C21" i="1"/>
  <c r="C28" i="1"/>
  <c r="C20" i="1"/>
  <c r="C43" i="1"/>
  <c r="C35" i="1"/>
  <c r="C27" i="1"/>
  <c r="C19" i="1"/>
  <c r="C26" i="1"/>
  <c r="C41" i="1"/>
  <c r="C24" i="1"/>
  <c r="C45" i="1"/>
  <c r="C47" i="1"/>
  <c r="C49" i="1"/>
  <c r="C51" i="5"/>
  <c r="C52" i="5" s="1"/>
  <c r="D17" i="5"/>
  <c r="A42" i="5"/>
  <c r="A56" i="5" s="1"/>
  <c r="A44" i="5"/>
  <c r="A45" i="5"/>
  <c r="A46" i="5"/>
  <c r="A47" i="5"/>
  <c r="A43" i="5"/>
  <c r="E17" i="5" l="1"/>
  <c r="A39" i="5"/>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36" i="1"/>
  <c r="C44" i="1"/>
  <c r="C33" i="1"/>
  <c r="C42" i="1"/>
  <c r="C29" i="1"/>
  <c r="C34" i="1"/>
  <c r="C48" i="1"/>
  <c r="C38" i="1"/>
  <c r="C25" i="1"/>
  <c r="C40" i="1"/>
  <c r="C32" i="1"/>
  <c r="C31"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51" i="1"/>
  <c r="V51" i="1"/>
  <c r="V57" i="1" s="1"/>
  <c r="W51" i="1"/>
  <c r="AN3" i="1" s="1"/>
  <c r="U52" i="1"/>
  <c r="U58" i="1" s="1"/>
  <c r="V52" i="1"/>
  <c r="V58" i="1" s="1"/>
  <c r="W52" i="1"/>
  <c r="W58" i="1" s="1"/>
  <c r="U57" i="1"/>
  <c r="G69" i="1"/>
  <c r="C69" i="1"/>
  <c r="C70" i="1"/>
  <c r="C68" i="1"/>
  <c r="O53" i="1" s="1"/>
  <c r="G58" i="1"/>
  <c r="H61" i="1"/>
  <c r="G62" i="1" s="1"/>
  <c r="G63" i="1"/>
  <c r="B69" i="1" s="1"/>
  <c r="D69" i="1" s="1"/>
  <c r="B68" i="1"/>
  <c r="Q51" i="1"/>
  <c r="AJ3" i="1" s="1"/>
  <c r="R51" i="1"/>
  <c r="AK3" i="1" s="1"/>
  <c r="S51" i="1"/>
  <c r="AL3" i="1" s="1"/>
  <c r="T51" i="1"/>
  <c r="T57" i="1" s="1"/>
  <c r="Q52" i="1"/>
  <c r="Q58" i="1" s="1"/>
  <c r="R52" i="1"/>
  <c r="R58" i="1" s="1"/>
  <c r="S52" i="1"/>
  <c r="S58" i="1" s="1"/>
  <c r="T52" i="1"/>
  <c r="T58" i="1" s="1"/>
  <c r="N52" i="1"/>
  <c r="N51" i="1"/>
  <c r="O52" i="1"/>
  <c r="O58" i="1" s="1"/>
  <c r="P52" i="1"/>
  <c r="P58" i="1" s="1"/>
  <c r="P51" i="1"/>
  <c r="P57" i="1" s="1"/>
  <c r="O51" i="1"/>
  <c r="O57" i="1" s="1"/>
  <c r="P53" i="1"/>
  <c r="B70" i="1"/>
  <c r="D56" i="1"/>
  <c r="D57" i="1"/>
  <c r="D58" i="1"/>
  <c r="D59" i="1"/>
  <c r="D60" i="1"/>
  <c r="D61" i="1"/>
  <c r="D62" i="1"/>
  <c r="D63" i="1"/>
  <c r="D64" i="1"/>
  <c r="D65" i="1"/>
  <c r="D55" i="1"/>
  <c r="B56" i="1"/>
  <c r="B57" i="1"/>
  <c r="B58" i="1"/>
  <c r="B59" i="1"/>
  <c r="B60" i="1"/>
  <c r="B61" i="1"/>
  <c r="B62" i="1"/>
  <c r="B63" i="1"/>
  <c r="B64" i="1"/>
  <c r="B65" i="1"/>
  <c r="B55" i="1"/>
  <c r="Q57" i="1" l="1"/>
  <c r="R57" i="1"/>
  <c r="I35" i="5"/>
  <c r="I43" i="5" s="1"/>
  <c r="H45" i="5"/>
  <c r="H43" i="5"/>
  <c r="H44" i="5"/>
  <c r="H46" i="5"/>
  <c r="H47" i="5"/>
  <c r="I37" i="5"/>
  <c r="I39" i="5"/>
  <c r="J24" i="5"/>
  <c r="J30" i="5"/>
  <c r="J20" i="5"/>
  <c r="J27" i="5"/>
  <c r="J23" i="5"/>
  <c r="J29" i="5"/>
  <c r="J31" i="5"/>
  <c r="J21" i="5"/>
  <c r="J22" i="5"/>
  <c r="J28" i="5"/>
  <c r="J34" i="5"/>
  <c r="J42" i="5" s="1"/>
  <c r="I36" i="5"/>
  <c r="I38" i="5"/>
  <c r="AI3" i="1"/>
  <c r="D70" i="1"/>
  <c r="W57" i="1"/>
  <c r="G65" i="1"/>
  <c r="G67" i="1" s="1"/>
  <c r="P59" i="1" s="1"/>
  <c r="AM3" i="1"/>
  <c r="K17" i="5"/>
  <c r="J51" i="5"/>
  <c r="J52" i="5" s="1"/>
  <c r="B71" i="1"/>
  <c r="O59" i="1" s="1"/>
  <c r="S57" i="1"/>
  <c r="D68" i="1"/>
  <c r="I44" i="5" l="1"/>
  <c r="I46" i="5"/>
  <c r="I45" i="5"/>
  <c r="I47" i="5"/>
  <c r="J39" i="5"/>
  <c r="J35" i="5"/>
  <c r="J37" i="5"/>
  <c r="J36" i="5"/>
  <c r="J38" i="5"/>
  <c r="K22" i="5"/>
  <c r="K28" i="5"/>
  <c r="K34" i="5"/>
  <c r="K42" i="5" s="1"/>
  <c r="K24" i="5"/>
  <c r="K30" i="5"/>
  <c r="K21" i="5"/>
  <c r="K27" i="5"/>
  <c r="K31" i="5"/>
  <c r="K20" i="5"/>
  <c r="K23" i="5"/>
  <c r="K29" i="5"/>
  <c r="L17" i="5"/>
  <c r="K51" i="5"/>
  <c r="K52" i="5" s="1"/>
  <c r="J46" i="5" l="1"/>
  <c r="J45" i="5"/>
  <c r="J44" i="5"/>
  <c r="J43" i="5"/>
  <c r="J47" i="5"/>
  <c r="K38" i="5"/>
  <c r="K36" i="5"/>
  <c r="K37" i="5"/>
  <c r="L20" i="5"/>
  <c r="L27" i="5"/>
  <c r="L31" i="5"/>
  <c r="L22" i="5"/>
  <c r="L28" i="5"/>
  <c r="L24" i="5"/>
  <c r="L30" i="5"/>
  <c r="L21" i="5"/>
  <c r="L34" i="5"/>
  <c r="L42" i="5" s="1"/>
  <c r="L23" i="5"/>
  <c r="L29" i="5"/>
  <c r="K35" i="5"/>
  <c r="K39" i="5"/>
  <c r="N1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20" i="1"/>
  <c r="L47" i="5" l="1"/>
  <c r="L45" i="5"/>
  <c r="L46" i="5"/>
  <c r="L43" i="5"/>
  <c r="L44" i="5"/>
  <c r="M39" i="5"/>
  <c r="N21" i="5"/>
  <c r="N22" i="5"/>
  <c r="N28" i="5"/>
  <c r="N34" i="5"/>
  <c r="N29" i="5"/>
  <c r="N20" i="5"/>
  <c r="N27" i="5"/>
  <c r="N31" i="5"/>
  <c r="N23" i="5"/>
  <c r="N24" i="5"/>
  <c r="N30" i="5"/>
  <c r="O17" i="5"/>
  <c r="M35" i="5"/>
  <c r="M38" i="5"/>
  <c r="M36" i="5"/>
  <c r="M37" i="5"/>
  <c r="N51" i="5"/>
  <c r="N52" i="5" s="1"/>
  <c r="N21" i="1"/>
  <c r="N42" i="5" l="1"/>
  <c r="M47" i="5"/>
  <c r="M46" i="5"/>
  <c r="M44" i="5"/>
  <c r="M43" i="5"/>
  <c r="M45" i="5"/>
  <c r="N35" i="5"/>
  <c r="N39" i="5"/>
  <c r="N38" i="5"/>
  <c r="N36" i="5"/>
  <c r="N37" i="5"/>
  <c r="P17" i="5"/>
  <c r="O30" i="5"/>
  <c r="O21" i="5"/>
  <c r="O22" i="5"/>
  <c r="O28" i="5"/>
  <c r="O34" i="5"/>
  <c r="O24" i="5"/>
  <c r="O29" i="5"/>
  <c r="O20" i="5"/>
  <c r="O27" i="5"/>
  <c r="O31" i="5"/>
  <c r="O23" i="5"/>
  <c r="O51" i="5"/>
  <c r="O52" i="5" s="1"/>
  <c r="N22" i="1"/>
  <c r="P51" i="5" l="1"/>
  <c r="A5" i="1" a="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23" i="1"/>
  <c r="A5" i="1" l="1"/>
  <c r="N5" i="1" s="1"/>
  <c r="N18" i="1"/>
  <c r="N10" i="1"/>
  <c r="N17" i="1"/>
  <c r="N9" i="1"/>
  <c r="N8" i="1"/>
  <c r="N16" i="1"/>
  <c r="N15" i="1"/>
  <c r="N7" i="1"/>
  <c r="N14" i="1"/>
  <c r="N6" i="1"/>
  <c r="N12" i="1"/>
  <c r="N11" i="1"/>
  <c r="N13" i="1"/>
  <c r="P52" i="5"/>
  <c r="Q52" i="5" s="1"/>
  <c r="R52" i="5" s="1"/>
  <c r="Q51" i="5"/>
  <c r="R51" i="5" s="1"/>
  <c r="S51" i="5" s="1"/>
  <c r="T51" i="5" s="1"/>
  <c r="U51" i="5" s="1"/>
  <c r="V51" i="5" s="1"/>
  <c r="W51" i="5" s="1"/>
  <c r="X51" i="5" s="1"/>
  <c r="Y51" i="5" s="1"/>
  <c r="Z51" i="5" s="1"/>
  <c r="AA51" i="5" s="1"/>
  <c r="AB51" i="5" s="1"/>
  <c r="AC51" i="5" s="1"/>
  <c r="AD51" i="5" s="1"/>
  <c r="AE51" i="5" s="1"/>
  <c r="AF51" i="5" s="1"/>
  <c r="AG51" i="5" s="1"/>
  <c r="AH51" i="5" s="1"/>
  <c r="AI51" i="5" s="1"/>
  <c r="AJ51" i="5" s="1"/>
  <c r="AK51" i="5" s="1"/>
  <c r="AL51" i="5" s="1"/>
  <c r="AM51" i="5" s="1"/>
  <c r="AN51" i="5" s="1"/>
  <c r="AO51" i="5" s="1"/>
  <c r="AP51" i="5" s="1"/>
  <c r="AQ51" i="5" s="1"/>
  <c r="AR51" i="5" s="1"/>
  <c r="AS51" i="5" s="1"/>
  <c r="AT51" i="5" s="1"/>
  <c r="AU51" i="5" s="1"/>
  <c r="O47" i="5"/>
  <c r="O46" i="5"/>
  <c r="O43" i="5"/>
  <c r="O45" i="5"/>
  <c r="O44" i="5"/>
  <c r="P35" i="5"/>
  <c r="P38" i="5"/>
  <c r="P37" i="5"/>
  <c r="P39" i="5"/>
  <c r="Q20" i="5"/>
  <c r="Q23" i="5"/>
  <c r="Q29" i="5"/>
  <c r="Q27" i="5"/>
  <c r="Q31" i="5"/>
  <c r="Q24" i="5"/>
  <c r="Q21" i="5"/>
  <c r="Q22" i="5"/>
  <c r="Q28" i="5"/>
  <c r="Q34" i="5"/>
  <c r="Q42" i="5" s="1"/>
  <c r="Q30" i="5"/>
  <c r="P36" i="5"/>
  <c r="N24" i="1"/>
  <c r="AH4" i="1" s="1"/>
  <c r="S52" i="5" l="1"/>
  <c r="R53" i="5"/>
  <c r="P47" i="5"/>
  <c r="P45" i="5"/>
  <c r="P46" i="5"/>
  <c r="P44" i="5"/>
  <c r="P43" i="5"/>
  <c r="Q35" i="5"/>
  <c r="Q39" i="5"/>
  <c r="E53" i="5"/>
  <c r="E61" i="5" s="1"/>
  <c r="Q53" i="5"/>
  <c r="O53" i="5"/>
  <c r="C53" i="5"/>
  <c r="C61" i="5" s="1"/>
  <c r="D53" i="5"/>
  <c r="D61" i="5" s="1"/>
  <c r="F53" i="5"/>
  <c r="F61" i="5" s="1"/>
  <c r="G53" i="5"/>
  <c r="H53" i="5"/>
  <c r="I53" i="5"/>
  <c r="J53" i="5"/>
  <c r="K53" i="5"/>
  <c r="L53" i="5"/>
  <c r="M53" i="5"/>
  <c r="N53" i="5"/>
  <c r="Q38" i="5"/>
  <c r="Q37" i="5"/>
  <c r="Q36" i="5"/>
  <c r="N25" i="1"/>
  <c r="D63" i="5" l="1"/>
  <c r="D62" i="5"/>
  <c r="C62" i="5"/>
  <c r="C63" i="5"/>
  <c r="G62" i="5"/>
  <c r="G63" i="5"/>
  <c r="K21" i="1"/>
  <c r="K29" i="1"/>
  <c r="K37" i="1"/>
  <c r="K45" i="1"/>
  <c r="K48" i="1"/>
  <c r="K26" i="1"/>
  <c r="K34" i="1"/>
  <c r="K42" i="1"/>
  <c r="K23" i="1"/>
  <c r="K31" i="1"/>
  <c r="K39" i="1"/>
  <c r="K47" i="1"/>
  <c r="K32" i="1"/>
  <c r="K20" i="1"/>
  <c r="K28" i="1"/>
  <c r="K36" i="1"/>
  <c r="K44" i="1"/>
  <c r="K24" i="1"/>
  <c r="K25" i="1"/>
  <c r="K33" i="1"/>
  <c r="K41" i="1"/>
  <c r="K49" i="1"/>
  <c r="K22" i="1"/>
  <c r="K30" i="1"/>
  <c r="K38" i="1"/>
  <c r="K46" i="1"/>
  <c r="K19" i="1"/>
  <c r="U19" i="1" s="1"/>
  <c r="K27" i="1"/>
  <c r="K35" i="1"/>
  <c r="K43" i="1"/>
  <c r="K40" i="1"/>
  <c r="T52" i="5"/>
  <c r="S53" i="5"/>
  <c r="H63" i="5"/>
  <c r="H62" i="5"/>
  <c r="K63" i="5"/>
  <c r="K62" i="5"/>
  <c r="N63" i="5"/>
  <c r="N62" i="5"/>
  <c r="M63" i="5"/>
  <c r="M62" i="5"/>
  <c r="J63" i="5"/>
  <c r="J62" i="5"/>
  <c r="O56" i="5"/>
  <c r="O62" i="5"/>
  <c r="O63" i="5"/>
  <c r="E63" i="5"/>
  <c r="E62" i="5"/>
  <c r="F63" i="5"/>
  <c r="F62" i="5"/>
  <c r="L63" i="5"/>
  <c r="L62" i="5"/>
  <c r="I63" i="5"/>
  <c r="I62" i="5"/>
  <c r="Q63" i="5"/>
  <c r="Q62" i="5"/>
  <c r="J58" i="5"/>
  <c r="J59" i="5"/>
  <c r="J57" i="5"/>
  <c r="J60" i="5"/>
  <c r="J61" i="5"/>
  <c r="C58" i="5"/>
  <c r="C60"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59" i="5"/>
  <c r="E57" i="5"/>
  <c r="E60" i="5"/>
  <c r="E58" i="5"/>
  <c r="F60" i="5"/>
  <c r="F58" i="5"/>
  <c r="F57" i="5"/>
  <c r="F59" i="5"/>
  <c r="O58" i="5"/>
  <c r="L60" i="5"/>
  <c r="L61" i="5"/>
  <c r="L59" i="5"/>
  <c r="L58" i="5"/>
  <c r="L57" i="5"/>
  <c r="D57" i="5"/>
  <c r="D58" i="5"/>
  <c r="D60" i="5"/>
  <c r="D59" i="5"/>
  <c r="O57" i="5"/>
  <c r="H56" i="5"/>
  <c r="M56" i="5"/>
  <c r="F56" i="5"/>
  <c r="L56" i="5"/>
  <c r="D56" i="5"/>
  <c r="G56" i="5"/>
  <c r="K56" i="5"/>
  <c r="E56" i="5"/>
  <c r="N56" i="5"/>
  <c r="J56" i="5"/>
  <c r="I56" i="5"/>
  <c r="Q56" i="5"/>
  <c r="C56" i="5"/>
  <c r="Q47" i="5"/>
  <c r="Q61" i="5" s="1"/>
  <c r="Q44" i="5"/>
  <c r="Q45" i="5"/>
  <c r="Q46" i="5"/>
  <c r="Q60" i="5" s="1"/>
  <c r="Q43" i="5"/>
  <c r="N26" i="1"/>
  <c r="U52" i="5" l="1"/>
  <c r="T53" i="5"/>
  <c r="E75" i="5" a="1"/>
  <c r="E71" i="5" a="1"/>
  <c r="E67" i="5" a="1"/>
  <c r="E67" i="5" s="1"/>
  <c r="E68" i="5" a="1"/>
  <c r="E69" i="5" a="1"/>
  <c r="E70" i="5" a="1"/>
  <c r="Q57" i="5"/>
  <c r="Q59" i="5"/>
  <c r="Q58" i="5"/>
  <c r="N27" i="1"/>
  <c r="V52" i="5" l="1"/>
  <c r="U53" i="5"/>
  <c r="E75" i="5"/>
  <c r="F75" i="5"/>
  <c r="E71" i="5"/>
  <c r="F71" i="5"/>
  <c r="F67" i="5"/>
  <c r="F70" i="5"/>
  <c r="E70" i="5"/>
  <c r="E69" i="5"/>
  <c r="F69" i="5"/>
  <c r="E68" i="5"/>
  <c r="F68" i="5"/>
  <c r="N28" i="1"/>
  <c r="W52" i="5" l="1"/>
  <c r="V53" i="5"/>
  <c r="N29" i="1"/>
  <c r="X52" i="5" l="1"/>
  <c r="W53" i="5"/>
  <c r="N30" i="1"/>
  <c r="Y52" i="5" l="1"/>
  <c r="X53" i="5"/>
  <c r="N31" i="1"/>
  <c r="Z52" i="5" l="1"/>
  <c r="Y53" i="5"/>
  <c r="N32" i="1"/>
  <c r="AA52" i="5" l="1"/>
  <c r="Z53" i="5"/>
  <c r="N33" i="1"/>
  <c r="AA53" i="5" l="1"/>
  <c r="AB52" i="5"/>
  <c r="N34" i="1"/>
  <c r="AC52" i="5" l="1"/>
  <c r="AB53" i="5"/>
  <c r="N35" i="1"/>
  <c r="AD52" i="5" l="1"/>
  <c r="AC53" i="5"/>
  <c r="N36" i="1"/>
  <c r="AE52" i="5" l="1"/>
  <c r="AD53" i="5"/>
  <c r="N37" i="1"/>
  <c r="AF52" i="5" l="1"/>
  <c r="AE53" i="5"/>
  <c r="N38" i="1"/>
  <c r="AG52" i="5" l="1"/>
  <c r="AF53" i="5"/>
  <c r="N39" i="1"/>
  <c r="AH52" i="5" l="1"/>
  <c r="AG53" i="5"/>
  <c r="N40" i="1"/>
  <c r="AH53" i="5" l="1"/>
  <c r="AI52" i="5"/>
  <c r="N41" i="1"/>
  <c r="AI53" i="5" l="1"/>
  <c r="AJ52" i="5"/>
  <c r="N42" i="1"/>
  <c r="AK52" i="5" l="1"/>
  <c r="AJ53" i="5"/>
  <c r="N43" i="1"/>
  <c r="AL52" i="5" l="1"/>
  <c r="AK53" i="5"/>
  <c r="N44" i="1"/>
  <c r="AH5" i="1" s="1"/>
  <c r="AM52" i="5" l="1"/>
  <c r="AL53" i="5"/>
  <c r="N45" i="1"/>
  <c r="AN52" i="5" l="1"/>
  <c r="AM53" i="5"/>
  <c r="N46" i="1"/>
  <c r="AN53" i="5" l="1"/>
  <c r="AO52" i="5"/>
  <c r="N47" i="1"/>
  <c r="AO53" i="5" l="1"/>
  <c r="AP52" i="5"/>
  <c r="N48" i="1"/>
  <c r="N49" i="1"/>
  <c r="P53" i="5"/>
  <c r="H20" i="1" l="1"/>
  <c r="I23" i="1"/>
  <c r="G25" i="1"/>
  <c r="J26" i="1"/>
  <c r="H28" i="1"/>
  <c r="I31" i="1"/>
  <c r="G33" i="1"/>
  <c r="J34" i="1"/>
  <c r="H36" i="1"/>
  <c r="I39" i="1"/>
  <c r="G41" i="1"/>
  <c r="J42" i="1"/>
  <c r="H44" i="1"/>
  <c r="I47" i="1"/>
  <c r="G49" i="1"/>
  <c r="I26" i="1"/>
  <c r="J37" i="1"/>
  <c r="I20" i="1"/>
  <c r="G22" i="1"/>
  <c r="J23" i="1"/>
  <c r="H25" i="1"/>
  <c r="I28" i="1"/>
  <c r="G30" i="1"/>
  <c r="J31" i="1"/>
  <c r="H33" i="1"/>
  <c r="I36" i="1"/>
  <c r="G38" i="1"/>
  <c r="J39" i="1"/>
  <c r="H41" i="1"/>
  <c r="I44" i="1"/>
  <c r="G46" i="1"/>
  <c r="J47" i="1"/>
  <c r="H49" i="1"/>
  <c r="G28" i="1"/>
  <c r="H39" i="1"/>
  <c r="G19" i="1"/>
  <c r="O19" i="1" s="1"/>
  <c r="J20" i="1"/>
  <c r="H22" i="1"/>
  <c r="I25" i="1"/>
  <c r="G27" i="1"/>
  <c r="J28" i="1"/>
  <c r="H30" i="1"/>
  <c r="I33" i="1"/>
  <c r="G35" i="1"/>
  <c r="J36" i="1"/>
  <c r="H38" i="1"/>
  <c r="I41" i="1"/>
  <c r="G43" i="1"/>
  <c r="J44" i="1"/>
  <c r="H46" i="1"/>
  <c r="I49" i="1"/>
  <c r="J21" i="1"/>
  <c r="I42" i="1"/>
  <c r="H19" i="1"/>
  <c r="I22" i="1"/>
  <c r="G24" i="1"/>
  <c r="J25" i="1"/>
  <c r="H27" i="1"/>
  <c r="I30" i="1"/>
  <c r="G32" i="1"/>
  <c r="J33" i="1"/>
  <c r="H35" i="1"/>
  <c r="I38" i="1"/>
  <c r="G40" i="1"/>
  <c r="J41" i="1"/>
  <c r="H43" i="1"/>
  <c r="I46" i="1"/>
  <c r="G48" i="1"/>
  <c r="J49" i="1"/>
  <c r="I34" i="1"/>
  <c r="H47" i="1"/>
  <c r="I19" i="1"/>
  <c r="P19" i="1" s="1"/>
  <c r="G21" i="1"/>
  <c r="J22" i="1"/>
  <c r="H24" i="1"/>
  <c r="I27" i="1"/>
  <c r="G29" i="1"/>
  <c r="J30" i="1"/>
  <c r="H32" i="1"/>
  <c r="I35" i="1"/>
  <c r="G37" i="1"/>
  <c r="J38" i="1"/>
  <c r="H40" i="1"/>
  <c r="I43" i="1"/>
  <c r="G45" i="1"/>
  <c r="J46" i="1"/>
  <c r="H48" i="1"/>
  <c r="H23" i="1"/>
  <c r="G36" i="1"/>
  <c r="J45" i="1"/>
  <c r="J19" i="1"/>
  <c r="H21" i="1"/>
  <c r="I24" i="1"/>
  <c r="G26" i="1"/>
  <c r="J27" i="1"/>
  <c r="H29" i="1"/>
  <c r="I32" i="1"/>
  <c r="G34" i="1"/>
  <c r="J35" i="1"/>
  <c r="H37" i="1"/>
  <c r="I40" i="1"/>
  <c r="G42" i="1"/>
  <c r="J43" i="1"/>
  <c r="H45" i="1"/>
  <c r="I48" i="1"/>
  <c r="G20" i="1"/>
  <c r="H31" i="1"/>
  <c r="G44" i="1"/>
  <c r="I21" i="1"/>
  <c r="G23" i="1"/>
  <c r="J24" i="1"/>
  <c r="H26" i="1"/>
  <c r="I29" i="1"/>
  <c r="G31" i="1"/>
  <c r="J32" i="1"/>
  <c r="H34" i="1"/>
  <c r="I37" i="1"/>
  <c r="G39" i="1"/>
  <c r="J40" i="1"/>
  <c r="H42" i="1"/>
  <c r="I45" i="1"/>
  <c r="G47" i="1"/>
  <c r="J48" i="1"/>
  <c r="J29" i="1"/>
  <c r="P61" i="5"/>
  <c r="AQ52" i="5"/>
  <c r="AP53" i="5"/>
  <c r="P58" i="5"/>
  <c r="P63" i="5"/>
  <c r="P57" i="5"/>
  <c r="P62" i="5"/>
  <c r="P60" i="5"/>
  <c r="P59" i="5"/>
  <c r="P56" i="5"/>
  <c r="P65" i="5" l="1"/>
  <c r="Q5" i="1" a="1"/>
  <c r="V5" i="1" a="1"/>
  <c r="B70" i="5"/>
  <c r="B68" i="5"/>
  <c r="B69" i="5"/>
  <c r="B71" i="5"/>
  <c r="B75" i="5"/>
  <c r="B67" i="5"/>
  <c r="AR52" i="5"/>
  <c r="AQ53" i="5"/>
  <c r="Q65" i="5" l="1"/>
  <c r="Q5" i="1"/>
  <c r="V5" i="1"/>
  <c r="AR53" i="5"/>
  <c r="AS52" i="5"/>
  <c r="AT52" i="5" l="1"/>
  <c r="AS53" i="5"/>
  <c r="AU52" i="5" l="1"/>
  <c r="AU53" i="5" s="1"/>
  <c r="AT53" i="5"/>
  <c r="O24" i="1" l="1"/>
  <c r="O21" i="1"/>
  <c r="O37" i="1"/>
  <c r="O28" i="1"/>
  <c r="O49" i="1"/>
  <c r="O47" i="1"/>
  <c r="O45" i="1"/>
  <c r="O43" i="1"/>
  <c r="O44" i="1"/>
  <c r="O35" i="1"/>
  <c r="O26" i="1"/>
  <c r="O20" i="1"/>
  <c r="O46" i="1"/>
  <c r="O30" i="1"/>
  <c r="O34" i="1"/>
  <c r="O32" i="1"/>
  <c r="O38" i="1"/>
  <c r="O36" i="1"/>
  <c r="O25" i="1"/>
  <c r="O33" i="1"/>
  <c r="O22" i="1"/>
  <c r="O23" i="1"/>
  <c r="O29" i="1"/>
  <c r="O27" i="1"/>
  <c r="O39" i="1"/>
  <c r="O42" i="1"/>
  <c r="O31" i="1"/>
  <c r="O41" i="1"/>
  <c r="O40" i="1"/>
  <c r="O48" i="1"/>
  <c r="U26" i="1"/>
  <c r="U34" i="1"/>
  <c r="U42" i="1"/>
  <c r="P48" i="1"/>
  <c r="P22" i="1"/>
  <c r="P30" i="1"/>
  <c r="P38" i="1"/>
  <c r="U20" i="1"/>
  <c r="U28" i="1"/>
  <c r="U44" i="1"/>
  <c r="P24" i="1"/>
  <c r="P40" i="1"/>
  <c r="U22" i="1"/>
  <c r="U30" i="1"/>
  <c r="U38" i="1"/>
  <c r="P26" i="1"/>
  <c r="P42" i="1"/>
  <c r="U31" i="1"/>
  <c r="U47" i="1"/>
  <c r="P45" i="1"/>
  <c r="P27" i="1"/>
  <c r="P43" i="1"/>
  <c r="U24" i="1"/>
  <c r="U32" i="1"/>
  <c r="U48" i="1"/>
  <c r="P28" i="1"/>
  <c r="P29" i="1"/>
  <c r="U27" i="1"/>
  <c r="U35" i="1"/>
  <c r="U43" i="1"/>
  <c r="P49" i="1"/>
  <c r="P23" i="1"/>
  <c r="P31" i="1"/>
  <c r="P39" i="1"/>
  <c r="U36" i="1"/>
  <c r="P32" i="1"/>
  <c r="U21" i="1"/>
  <c r="U29" i="1"/>
  <c r="U37" i="1"/>
  <c r="U45" i="1"/>
  <c r="P25" i="1"/>
  <c r="P33" i="1"/>
  <c r="P41" i="1"/>
  <c r="U46" i="1"/>
  <c r="P34" i="1"/>
  <c r="U39" i="1"/>
  <c r="P35" i="1"/>
  <c r="U40" i="1"/>
  <c r="P20" i="1"/>
  <c r="P44" i="1"/>
  <c r="U33" i="1"/>
  <c r="U49" i="1"/>
  <c r="P21" i="1"/>
  <c r="U23" i="1"/>
  <c r="P46" i="1"/>
  <c r="U25" i="1"/>
  <c r="U41" i="1"/>
  <c r="P47" i="1"/>
  <c r="P37" i="1"/>
  <c r="P36" i="1"/>
  <c r="R28" i="1"/>
  <c r="T33" i="1"/>
  <c r="T48" i="1"/>
  <c r="T20" i="1"/>
  <c r="T19" i="1" s="1"/>
  <c r="T29" i="1"/>
  <c r="S45" i="1"/>
  <c r="S47" i="1"/>
  <c r="R26" i="1"/>
  <c r="R49" i="1"/>
  <c r="R35" i="1"/>
  <c r="R30" i="1"/>
  <c r="S33" i="1"/>
  <c r="Q27" i="1"/>
  <c r="Q40" i="1"/>
  <c r="Q34" i="1"/>
  <c r="Q42" i="1"/>
  <c r="Z62" i="1" s="1"/>
  <c r="V34" i="1"/>
  <c r="V43" i="1"/>
  <c r="V36" i="1"/>
  <c r="V38" i="1"/>
  <c r="W22" i="1"/>
  <c r="W20" i="1"/>
  <c r="W19" i="1" s="1"/>
  <c r="W45" i="1"/>
  <c r="W46" i="1"/>
  <c r="S41" i="1"/>
  <c r="S28" i="1"/>
  <c r="R39" i="1"/>
  <c r="S27" i="1"/>
  <c r="Q23" i="1"/>
  <c r="V27" i="1"/>
  <c r="V21" i="1"/>
  <c r="W49" i="1"/>
  <c r="W44" i="1"/>
  <c r="R37" i="1"/>
  <c r="Q28" i="1"/>
  <c r="Q29" i="1"/>
  <c r="V37" i="1"/>
  <c r="V40" i="1"/>
  <c r="W21" i="1"/>
  <c r="S38" i="1"/>
  <c r="R36" i="1"/>
  <c r="V24" i="1"/>
  <c r="T26" i="1"/>
  <c r="R40" i="1"/>
  <c r="Q24" i="1"/>
  <c r="V31" i="1"/>
  <c r="V30" i="1"/>
  <c r="W36" i="1"/>
  <c r="T47" i="1"/>
  <c r="T46" i="1"/>
  <c r="R21" i="1"/>
  <c r="Q33" i="1"/>
  <c r="V25" i="1"/>
  <c r="T21" i="1"/>
  <c r="S42" i="1"/>
  <c r="AB62" i="1" s="1"/>
  <c r="S30" i="1"/>
  <c r="V39" i="1"/>
  <c r="W41" i="1"/>
  <c r="S40" i="1"/>
  <c r="T41" i="1"/>
  <c r="T28" i="1"/>
  <c r="T37" i="1"/>
  <c r="S20" i="1"/>
  <c r="S19" i="1" s="1"/>
  <c r="S37" i="1"/>
  <c r="S31" i="1"/>
  <c r="R42" i="1"/>
  <c r="AA62" i="1" s="1"/>
  <c r="R32" i="1"/>
  <c r="R34" i="1"/>
  <c r="S39" i="1"/>
  <c r="Q45" i="1"/>
  <c r="Q39" i="1"/>
  <c r="Q21" i="1"/>
  <c r="Q43" i="1"/>
  <c r="V47" i="1"/>
  <c r="V46" i="1"/>
  <c r="V42" i="1"/>
  <c r="V20" i="1"/>
  <c r="V19" i="1" s="1"/>
  <c r="W27" i="1"/>
  <c r="W29" i="1"/>
  <c r="W26" i="1"/>
  <c r="W47" i="1"/>
  <c r="T49" i="1"/>
  <c r="T27" i="1"/>
  <c r="T36" i="1"/>
  <c r="T45" i="1"/>
  <c r="S21" i="1"/>
  <c r="S34" i="1"/>
  <c r="R20" i="1"/>
  <c r="R48" i="1"/>
  <c r="R22" i="1"/>
  <c r="Q30" i="1"/>
  <c r="Q38" i="1"/>
  <c r="W24" i="1"/>
  <c r="W23" i="1"/>
  <c r="S46" i="1"/>
  <c r="Q44" i="1"/>
  <c r="Q47" i="1"/>
  <c r="V44" i="1"/>
  <c r="W39" i="1"/>
  <c r="S49" i="1"/>
  <c r="T30" i="1"/>
  <c r="R47" i="1"/>
  <c r="Q49" i="1"/>
  <c r="W34" i="1"/>
  <c r="T31" i="1"/>
  <c r="S22" i="1"/>
  <c r="V28" i="1"/>
  <c r="S26" i="1"/>
  <c r="R44" i="1"/>
  <c r="Q48" i="1"/>
  <c r="W40" i="1"/>
  <c r="T42" i="1"/>
  <c r="R38" i="1"/>
  <c r="Q46" i="1"/>
  <c r="V26" i="1"/>
  <c r="Q25" i="1"/>
  <c r="W35" i="1"/>
  <c r="T43" i="1"/>
  <c r="S25" i="1"/>
  <c r="R43" i="1"/>
  <c r="V35" i="1"/>
  <c r="W38" i="1"/>
  <c r="T39" i="1"/>
  <c r="S24" i="1"/>
  <c r="R33" i="1"/>
  <c r="Q22" i="1"/>
  <c r="V29" i="1"/>
  <c r="W30" i="1"/>
  <c r="T34" i="1"/>
  <c r="R29" i="1"/>
  <c r="Q41" i="1"/>
  <c r="W25" i="1"/>
  <c r="S29" i="1"/>
  <c r="R24" i="1"/>
  <c r="Q36" i="1"/>
  <c r="V49" i="1"/>
  <c r="T24" i="1"/>
  <c r="T35" i="1"/>
  <c r="T44" i="1"/>
  <c r="T22" i="1"/>
  <c r="S43" i="1"/>
  <c r="R41" i="1"/>
  <c r="S23" i="1"/>
  <c r="R25" i="1"/>
  <c r="Q31" i="1"/>
  <c r="V41" i="1"/>
  <c r="W43" i="1"/>
  <c r="T23" i="1"/>
  <c r="S32" i="1"/>
  <c r="R46" i="1"/>
  <c r="Q35" i="1"/>
  <c r="Q37" i="1"/>
  <c r="V22" i="1"/>
  <c r="T38" i="1"/>
  <c r="S44" i="1"/>
  <c r="R45" i="1"/>
  <c r="Q26" i="1"/>
  <c r="V32" i="1"/>
  <c r="W33" i="1"/>
  <c r="T32" i="1"/>
  <c r="S48" i="1"/>
  <c r="Q20" i="1"/>
  <c r="Q19" i="1" s="1"/>
  <c r="W48" i="1"/>
  <c r="S35" i="1"/>
  <c r="R27" i="1"/>
  <c r="W32" i="1"/>
  <c r="W28" i="1"/>
  <c r="V48" i="1"/>
  <c r="T40" i="1"/>
  <c r="R31" i="1"/>
  <c r="Q32" i="1"/>
  <c r="W31" i="1"/>
  <c r="S36" i="1"/>
  <c r="V23" i="1"/>
  <c r="W37" i="1"/>
  <c r="R23" i="1"/>
  <c r="V33" i="1"/>
  <c r="W42" i="1"/>
  <c r="V45" i="1"/>
  <c r="T25" i="1"/>
  <c r="R19" i="1" l="1"/>
  <c r="AI4" i="1"/>
  <c r="AM5" i="1"/>
  <c r="AK5" i="1"/>
  <c r="AL5" i="1"/>
  <c r="AK4" i="1"/>
  <c r="AJ4" i="1"/>
  <c r="AN4" i="1"/>
  <c r="AJ5" i="1"/>
  <c r="AN5" i="1"/>
  <c r="AL4" i="1"/>
  <c r="AM4"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A53" authorId="1" shapeId="0" xr:uid="{00000000-0006-0000-0000-00000F000000}">
      <text>
        <r>
          <rPr>
            <sz val="10"/>
            <color rgb="FF000000"/>
            <rFont val="Calibri"/>
            <family val="2"/>
          </rPr>
          <t>From Table 2 of "HG Response to PSIP File Stamped 1-15-16.pdf" e-mailed by Barbara Treat 6/3/16</t>
        </r>
      </text>
    </comment>
    <comment ref="N53" authorId="1" shapeId="0" xr:uid="{00000000-0006-0000-0000-000010000000}">
      <text>
        <r>
          <rPr>
            <sz val="10"/>
            <color rgb="FF000000"/>
            <rFont val="Calibri"/>
            <family val="2"/>
          </rPr>
          <t>MMBtu/year</t>
        </r>
      </text>
    </comment>
    <comment ref="I58" authorId="0" shapeId="0" xr:uid="{D47043B0-6A4F-B14A-98D2-889B3A49BDCE}">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59" authorId="1" shapeId="0" xr:uid="{00000000-0006-0000-0000-000012000000}">
      <text>
        <r>
          <rPr>
            <sz val="10"/>
            <color indexed="81"/>
            <rFont val="Calibri"/>
            <family val="2"/>
          </rPr>
          <t>$/MMBtu, at full utilization</t>
        </r>
      </text>
    </comment>
    <comment ref="F60"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68" authorId="1" shapeId="0" xr:uid="{00000000-0006-0000-0000-000014000000}">
      <text>
        <r>
          <rPr>
            <sz val="10"/>
            <color rgb="FF000000"/>
            <rFont val="Calibri"/>
            <family val="2"/>
          </rPr>
          <t>based on max Oahu share from p. 78 of HECO LNG application  2016-05-18 in docket 2016-0135</t>
        </r>
      </text>
    </comment>
    <comment ref="B70"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13" authorId="0" shapeId="0" xr:uid="{570418A6-DDF0-9F43-890D-A9DE9F3B7287}">
      <text>
        <r>
          <rPr>
            <sz val="10"/>
            <color rgb="FF000000"/>
            <rFont val="Tahoma"/>
            <family val="2"/>
          </rPr>
          <t>This was erroneously entered as 6.87 until June 2020.</t>
        </r>
      </text>
    </comment>
    <comment ref="B71" authorId="0" shapeId="0" xr:uid="{B2B41C08-390E-8C42-8F51-DDF259B4B730}">
      <text>
        <r>
          <rPr>
            <sz val="10"/>
            <color rgb="FF000000"/>
            <rFont val="Tahoma"/>
            <family val="2"/>
          </rPr>
          <t>we omit 2010-2012 due to price spikes while market started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36" authorId="0" shapeId="0" xr:uid="{50CF288E-E999-A64F-B3E7-F0AC4FB24CCF}">
      <text>
        <r>
          <rPr>
            <sz val="10"/>
            <color rgb="FF000000"/>
            <rFont val="Tahoma"/>
            <family val="2"/>
          </rPr>
          <t>simple average of monthly prices for 2019 because annual prices aren't published as of 2020-04-02.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<sst xmlns="http://schemas.openxmlformats.org/spreadsheetml/2006/main" count="540" uniqueCount="346">
  <si>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</si>
  <si>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</si>
  <si>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</si>
  <si>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</si>
  <si>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</si>
  <si>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</si>
  <si>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</si>
  <si>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</si>
  <si>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</si>
  <si>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</si>
  <si>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</si>
  <si>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</si>
  <si>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</si>
  <si>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</si>
  <si>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</si>
  <si>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</si>
  <si>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</si>
  <si>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</si>
  <si>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</si>
  <si>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</si>
  <si>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</si>
  <si>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</si>
  <si>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</si>
  <si>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</si>
  <si>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</si>
  <si>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</si>
  <si>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</si>
  <si>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</si>
  <si>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</si>
  <si>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</si>
  <si>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</si>
  <si>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</si>
  <si>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</si>
  <si>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</si>
  <si>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</si>
  <si>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</si>
  <si>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</si>
  <si>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</si>
  <si>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</si>
  <si>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</si>
  <si>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</si>
  <si>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</si>
  <si>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</si>
  <si>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</si>
  <si>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</si>
  <si>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</si>
  <si>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</si>
  <si>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</si>
  <si>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</si>
  <si>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</si>
  <si>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</si>
  <si>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</si>
  <si>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</si>
  <si>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</si>
  <si>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</si>
  <si>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</si>
  <si>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</si>
  <si>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</si>
  <si>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</si>
  <si>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</si>
  <si>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</si>
  <si>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</si>
  <si>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</si>
  <si>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</si>
  <si>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</si>
  <si>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</si>
  <si>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</si>
  <si>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</si>
  <si>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</si>
  <si>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</si>
  <si>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</si>
  <si>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</si>
  <si>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</si>
  <si>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</si>
  <si>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</si>
  <si>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</si>
  <si>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</si>
  <si>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</si>
  <si>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</si>
  <si>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</si>
  <si>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</si>
  <si>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</si>
  <si>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</si>
  <si>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</si>
  <si>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</si>
  <si>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</si>
  <si>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Source: U.S. Energy Information Administration</t>
  </si>
  <si>
    <t>full name</t>
  </si>
  <si>
    <t>api key</t>
  </si>
  <si>
    <t>units</t>
  </si>
  <si>
    <t>Production</t>
  </si>
  <si>
    <t>Crude Oil and Lease Condensate</t>
  </si>
  <si>
    <t>quads</t>
  </si>
  <si>
    <t>Natural Gas Plant Liquids</t>
  </si>
  <si>
    <t>Dry Natural Gas</t>
  </si>
  <si>
    <t>Nuclear / Uranium</t>
  </si>
  <si>
    <t>Conventional Hydroelectric Power</t>
  </si>
  <si>
    <t>Biomass</t>
  </si>
  <si>
    <t>Other Renewable Energy</t>
  </si>
  <si>
    <t>Other</t>
  </si>
  <si>
    <t>Total</t>
  </si>
  <si>
    <t>Imports</t>
  </si>
  <si>
    <t>Crude Oil</t>
  </si>
  <si>
    <t>Petroleum and Other Liquids</t>
  </si>
  <si>
    <t>Natural Gas</t>
  </si>
  <si>
    <t>Exports</t>
  </si>
  <si>
    <t>Discrepancy</t>
  </si>
  <si>
    <t>- -</t>
  </si>
  <si>
    <t>Consumption</t>
  </si>
  <si>
    <t>Brent Spot Price (dollars per barrel)</t>
  </si>
  <si>
    <t>West Texas Intermediate Spot Price (dollars per barrel)</t>
  </si>
  <si>
    <t>Natural Gas at Henry Hub (dollars per mmBtu)</t>
  </si>
  <si>
    <t>Electricity (cents per kilowatthour)</t>
  </si>
  <si>
    <t>Prices (nominal dollars per unit)</t>
  </si>
  <si>
    <t>nom $/b</t>
  </si>
  <si>
    <t>nom $/MMBtu</t>
  </si>
  <si>
    <t>nom $/ton</t>
  </si>
  <si>
    <t>nom cents/kWh</t>
  </si>
  <si>
    <t>EIA Brent Crude ($/bbl)</t>
  </si>
  <si>
    <t>EIA Henry Hub ($/MMBtu)</t>
  </si>
  <si>
    <t>U.S. Delivered Coal Price ($/MMBtu)</t>
  </si>
  <si>
    <t>Zilkha Pellet Biomass ($/MMBtu)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</si>
  <si>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</si>
  <si>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</si>
  <si>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</si>
  <si>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</si>
  <si>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</si>
  <si>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</si>
  <si>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</si>
  <si>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</si>
  <si>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</si>
  <si>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</si>
  <si>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</si>
  <si>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</si>
  <si>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</si>
  <si>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</si>
  <si>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</si>
  <si>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</si>
  <si>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</si>
  <si>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</si>
  <si>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</si>
  <si>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</si>
  <si>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</si>
  <si>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</si>
  <si>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</si>
  <si>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</si>
  <si>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</si>
  <si>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</si>
  <si>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</si>
  <si>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</si>
  <si>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</si>
  <si>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</si>
  <si>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</si>
  <si>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</si>
  <si>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</si>
  <si>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</si>
  <si>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</si>
  <si>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</si>
  <si>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</si>
  <si>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</si>
  <si>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</si>
  <si>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</si>
  <si>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</si>
  <si>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</si>
  <si>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</si>
  <si>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</si>
  <si>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</si>
  <si>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</si>
  <si>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</si>
  <si>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</si>
  <si>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</si>
  <si>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</si>
  <si>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</si>
  <si>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</si>
  <si>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</si>
  <si>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</si>
  <si>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</si>
  <si>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</si>
  <si>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</si>
  <si>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</si>
  <si>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</si>
  <si>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</si>
  <si>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</si>
  <si>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</si>
  <si>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</si>
  <si>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</si>
  <si>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</si>
  <si>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</si>
  <si>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</si>
  <si>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</si>
  <si>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</si>
  <si>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</si>
  <si>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</si>
  <si>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</si>
  <si>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</si>
  <si>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</si>
  <si>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</si>
  <si>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</si>
  <si>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</si>
  <si>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</si>
  <si>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</si>
  <si>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</si>
  <si>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</si>
  <si>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</si>
  <si>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</si>
  <si>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</si>
  <si>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</si>
  <si>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</si>
  <si>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</si>
  <si>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</si>
  <si>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</si>
  <si>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</si>
  <si>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</si>
  <si>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</si>
  <si>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</si>
  <si>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</si>
  <si>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</si>
  <si>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</si>
  <si>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</si>
  <si>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</si>
  <si>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</si>
  <si>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</si>
  <si>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</si>
  <si>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</si>
  <si>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$/short ton</t>
  </si>
  <si>
    <t>COAL.SHIP_PLANT_PRICE.US-TOT.A</t>
  </si>
  <si>
    <t>COAL.SHIP_PLANT_PRICE.PCN-TOT.A</t>
  </si>
  <si>
    <t>COAL.SHIP_PLANT_PRICE.HI-TOT.A</t>
  </si>
  <si>
    <t>U.S. Coal</t>
  </si>
  <si>
    <t>Hawaii Coal</t>
  </si>
  <si>
    <t>Hawaii Coal vs. U.S. Coal</t>
  </si>
  <si>
    <t>&gt;&gt;&gt; future</t>
  </si>
  <si>
    <t>past &lt;&lt;&lt;</t>
  </si>
  <si>
    <t>Table 1.  Total Energy Supply, Disposition, and Price Summary</t>
  </si>
  <si>
    <t>Growth (2019-2050)</t>
  </si>
  <si>
    <t>1-AEO2020.2.</t>
  </si>
  <si>
    <t>1-AEO2020.14.</t>
  </si>
  <si>
    <t>1-AEO2020.21.</t>
  </si>
  <si>
    <t>1-AEO2020.29.</t>
  </si>
  <si>
    <t>Prices (2019 dollars per unit)</t>
  </si>
  <si>
    <t>1-AEO2020.40.</t>
  </si>
  <si>
    <t>2019 $/b</t>
  </si>
  <si>
    <t>2019 $/MMBtu</t>
  </si>
  <si>
    <t>2019 $/ton</t>
  </si>
  <si>
    <t>2019 cents/kWh</t>
  </si>
  <si>
    <t>1-AEO2020.51.</t>
  </si>
  <si>
    <t>https://www.eia.gov/dnav/pet/hist/LeafHandler.ashx?n=PET&amp;s=RBRTE&amp;f=A</t>
  </si>
  <si>
    <t>Mon May 11 2020 12:13:43 GMT-1000 (HST)</t>
  </si>
  <si>
    <t>Mon May 11 2020 12:15:16 GMT-1000 (HST)</t>
  </si>
  <si>
    <t>^^^^ before importing, open .csv file, look for "coal, "</t>
  </si>
  <si>
    <t>and put quotes around the location and units (or drop the comma)</t>
  </si>
  <si>
    <t xml:space="preserve">     - Generated by Solar</t>
  </si>
  <si>
    <t>history ↑</t>
  </si>
  <si>
    <t>transition →</t>
  </si>
  <si>
    <t>forecast ↓</t>
  </si>
  <si>
    <t>https://www.eia.gov/outlooks/aeo/data/browser/#/?id=1-AEO2020&amp;region=0-0&amp;cases=lowprice&amp;start=2018&amp;end=2050&amp;f=A&amp;sourcekey=0</t>
  </si>
  <si>
    <t>Mon May 11 2020 12:27:45 GMT-1000 (HST)</t>
  </si>
  <si>
    <t>Total Energy: Production: Crude Oil and Lease Condensate: Low oil price</t>
  </si>
  <si>
    <t>1-AEO2020.3.lowprice-d112619a</t>
  </si>
  <si>
    <t>Total Energy: Production: Natural Gas Plant Liquids: Low oil price</t>
  </si>
  <si>
    <t>1-AEO2020.4.lowprice-d112619a</t>
  </si>
  <si>
    <t>Total Energy: Production: Dry Natural Gas: Low oil price</t>
  </si>
  <si>
    <t>1-AEO2020.5.lowprice-d112619a</t>
  </si>
  <si>
    <t>Total Energy: Production: Coal: Low oil price</t>
  </si>
  <si>
    <t>1-AEO2020.6.lowprice-d112619a</t>
  </si>
  <si>
    <t>Total Energy: Production: Nuclear: Low oil price</t>
  </si>
  <si>
    <t>1-AEO2020.7.lowprice-d112619a</t>
  </si>
  <si>
    <t>Total Energy: Production: Hydropower: Low oil price</t>
  </si>
  <si>
    <t>1-AEO2020.8.lowprice-d112619a</t>
  </si>
  <si>
    <t>Total Energy: Production: Biomass: Low oil price</t>
  </si>
  <si>
    <t>1-AEO2020.9.lowprice-d112619a</t>
  </si>
  <si>
    <t>Total Energy: Production: Other Renewable Energy: Low oil price</t>
  </si>
  <si>
    <t>1-AEO2020.10.lowprice-d112619a</t>
  </si>
  <si>
    <t>Total Energy: Production: Other: Low oil price</t>
  </si>
  <si>
    <t>1-AEO2020.11.lowprice-d112619a</t>
  </si>
  <si>
    <t>Total Energy: Production: Total: Low oil price</t>
  </si>
  <si>
    <t>1-AEO2020.12.lowprice-d112619a</t>
  </si>
  <si>
    <t>Total Energy: Imports: Crude Oil: Low oil price</t>
  </si>
  <si>
    <t>1-AEO2020.15.lowprice-d112619a</t>
  </si>
  <si>
    <t>Total Energy: Imports: Liquid Fuels: Low oil price</t>
  </si>
  <si>
    <t>1-AEO2020.16.lowprice-d112619a</t>
  </si>
  <si>
    <t>Total Energy: Imports: Natural Gas: Low oil price</t>
  </si>
  <si>
    <t>1-AEO2020.17.lowprice-d112619a</t>
  </si>
  <si>
    <t>Total Energy: Imports: Other: Low oil price</t>
  </si>
  <si>
    <t>1-AEO2020.18.lowprice-d112619a</t>
  </si>
  <si>
    <t>Total Energy: Imports: Total: Low oil price</t>
  </si>
  <si>
    <t>1-AEO2020.19.lowprice-d112619a</t>
  </si>
  <si>
    <t>Total Energy: Exports: Petroleum: Low oil price</t>
  </si>
  <si>
    <t>1-AEO2020.22.lowprice-d112619a</t>
  </si>
  <si>
    <t>Total Energy: Exports: Natural Gas: Low oil price</t>
  </si>
  <si>
    <t>1-AEO2020.23.lowprice-d112619a</t>
  </si>
  <si>
    <t>Total Energy: Exports: Coal: Low oil price</t>
  </si>
  <si>
    <t>1-AEO2020.24.lowprice-d112619a</t>
  </si>
  <si>
    <t>Total Energy: Exports: Total: Low oil price</t>
  </si>
  <si>
    <t>1-AEO2020.25.lowprice-d112619a</t>
  </si>
  <si>
    <t>Total Energy: Discrepancy: Low oil price</t>
  </si>
  <si>
    <t>1-AEO2020.27.lowprice-d112619a</t>
  </si>
  <si>
    <t>Total Energy: Use: Liquid Fuels: Low oil price</t>
  </si>
  <si>
    <t>1-AEO2020.30.lowprice-d112619a</t>
  </si>
  <si>
    <t>Total Energy: Use: Natural Gas: Low oil price</t>
  </si>
  <si>
    <t>1-AEO2020.31.lowprice-d112619a</t>
  </si>
  <si>
    <t>Total Energy: Use: Coal: Low oil price</t>
  </si>
  <si>
    <t>1-AEO2020.32.lowprice-d112619a</t>
  </si>
  <si>
    <t>Total Energy: Use: Nuclear: Low oil price</t>
  </si>
  <si>
    <t>1-AEO2020.33.lowprice-d112619a</t>
  </si>
  <si>
    <t>Total Energy: Use: Hydropower: Low oil price</t>
  </si>
  <si>
    <t>1-AEO2020.34.lowprice-d112619a</t>
  </si>
  <si>
    <t>Total Energy: Use: Biomass: Low oil price</t>
  </si>
  <si>
    <t>1-AEO2020.35.lowprice-d112619a</t>
  </si>
  <si>
    <t>Total Energy: Use: Other Renewable Energy: Low oil price</t>
  </si>
  <si>
    <t>1-AEO2020.36.lowprice-d112619a</t>
  </si>
  <si>
    <t>Total Energy: Use: Other: Low oil price</t>
  </si>
  <si>
    <t>1-AEO2020.37.lowprice-d112619a</t>
  </si>
  <si>
    <t>Total Energy: Use: Total: Low oil price</t>
  </si>
  <si>
    <t>1-AEO2020.38.lowprice-d112619a</t>
  </si>
  <si>
    <t>Total Energy: Real Prices: Brent: Low oil price</t>
  </si>
  <si>
    <t>1-AEO2020.41.lowprice-d112619a</t>
  </si>
  <si>
    <t>Total Energy: Real Prices: West Texas Intermediate: Low oil price</t>
  </si>
  <si>
    <t>1-AEO2020.42.lowprice-d112619a</t>
  </si>
  <si>
    <t>Total Energy: Real Prices: Gas Price at Henry Hub: Low oil price</t>
  </si>
  <si>
    <t>1-AEO2020.44.lowprice-d112619a</t>
  </si>
  <si>
    <t>Coal Minemouth (dollars per ton)</t>
  </si>
  <si>
    <t>Total Energy: Real Prices: Coal at Minemouth: Low oil price</t>
  </si>
  <si>
    <t>1-AEO2020.45.lowprice-d112619a</t>
  </si>
  <si>
    <t>Coal Minemouth (dollars per million Btu)</t>
  </si>
  <si>
    <t>Total Energy: Real Prices: Coal Minemouth: Low oil price</t>
  </si>
  <si>
    <t>1-AEO2020.46.lowprice-d112619a</t>
  </si>
  <si>
    <t>Coal Delivered (dollars per million Btu)</t>
  </si>
  <si>
    <t>Total Energy: Real Prices: Delivered Coal: Low oil price</t>
  </si>
  <si>
    <t>1-AEO2020.47.lowprice-d112619a</t>
  </si>
  <si>
    <t>Total Energy: Real Prices: Electricity: Low oil price</t>
  </si>
  <si>
    <t>1-AEO2020.48.lowprice-d112619a</t>
  </si>
  <si>
    <t>Total Energy: Nominal Prices: Brent: Low oil price</t>
  </si>
  <si>
    <t>1-AEO2020.52.lowprice-d112619a</t>
  </si>
  <si>
    <t>Total Energy: Nominal Prices: West Texas Intermediate: Low oil price</t>
  </si>
  <si>
    <t>1-AEO2020.53.lowprice-d112619a</t>
  </si>
  <si>
    <t>Total Energy: Nominal Prices: Gas Price at Henry Hub: Low oil price</t>
  </si>
  <si>
    <t>1-AEO2020.54.lowprice-d112619a</t>
  </si>
  <si>
    <t>Total Energy: Nominal Prices: Coal at Minemouth: Low oil price</t>
  </si>
  <si>
    <t>1-AEO2020.55.lowprice-d112619a</t>
  </si>
  <si>
    <t>Total Energy: Nominal Prices: Coal Minemouth: Low oil price</t>
  </si>
  <si>
    <t>1-AEO2020.56.lowprice-d112619a</t>
  </si>
  <si>
    <t>Total Energy: Nominal Prices: Delivered Coal: Low oil price</t>
  </si>
  <si>
    <t>1-AEO2020.57.lowprice-d112619a</t>
  </si>
  <si>
    <t>Total Energy: Nominal Prices: Electricity: Low oil price</t>
  </si>
  <si>
    <t>1-AEO2020.58.lowprice-d112619a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</si>
</sst>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prices'!$O$5:$O$49</c:f>
              <c:numCache>
                <c:formatCode>0.00</c:formatCode>
                <c:ptCount val="45"/>
                <c:pt idx="14">
                  <c:v>5.5189055152000002</c:v>
                </c:pt>
                <c:pt idx="15">
                  <c:v>5.1012202293</c:v>
                </c:pt>
                <c:pt idx="16">
                  <c:v>5.3772162796999998</c:v>
                </c:pt>
                <c:pt idx="17">
                  <c:v>5.5461966907000004</c:v>
                </c:pt>
                <c:pt idx="18">
                  <c:v>5.6695960997999997</c:v>
                </c:pt>
                <c:pt idx="19">
                  <c:v>5.7673673841999999</c:v>
                </c:pt>
                <c:pt idx="20">
                  <c:v>5.8486092019999996</c:v>
                </c:pt>
                <c:pt idx="21">
                  <c:v>5.91826645</c:v>
                </c:pt>
                <c:pt idx="22">
                  <c:v>5.9793331795000002</c:v>
                </c:pt>
                <c:pt idx="23">
                  <c:v>6.0337639683999997</c:v>
                </c:pt>
                <c:pt idx="24">
                  <c:v>6.0829088790999997</c:v>
                </c:pt>
                <c:pt idx="25">
                  <c:v>6.1277371358999995</c:v>
                </c:pt>
                <c:pt idx="26">
                  <c:v>6.1689738907999994</c:v>
                </c:pt>
                <c:pt idx="27">
                  <c:v>6.2071728719999992</c:v>
                </c:pt>
                <c:pt idx="28">
                  <c:v>6.2427667712999995</c:v>
                </c:pt>
                <c:pt idx="29">
                  <c:v>6.2761019020999997</c:v>
                </c:pt>
                <c:pt idx="30">
                  <c:v>6.3074589942000001</c:v>
                </c:pt>
                <c:pt idx="31">
                  <c:v>6.3370678568000001</c:v>
                </c:pt>
                <c:pt idx="32">
                  <c:v>6.3651203085999999</c:v>
                </c:pt>
                <c:pt idx="33">
                  <c:v>6.3917799087000002</c:v>
                </c:pt>
                <c:pt idx="34">
                  <c:v>6.4171824897999992</c:v>
                </c:pt>
                <c:pt idx="35">
                  <c:v>6.4414454891999995</c:v>
                </c:pt>
                <c:pt idx="36">
                  <c:v>6.4646727475999999</c:v>
                </c:pt>
                <c:pt idx="37">
                  <c:v>6.4869501101999996</c:v>
                </c:pt>
                <c:pt idx="38">
                  <c:v>6.5083568904999991</c:v>
                </c:pt>
                <c:pt idx="39">
                  <c:v>6.5289622712000002</c:v>
                </c:pt>
                <c:pt idx="40">
                  <c:v>6.5488237046000002</c:v>
                </c:pt>
                <c:pt idx="41">
                  <c:v>6.5679977098999993</c:v>
                </c:pt>
                <c:pt idx="42">
                  <c:v>6.5865309420999996</c:v>
                </c:pt>
                <c:pt idx="43">
                  <c:v>6.6044672569000005</c:v>
                </c:pt>
                <c:pt idx="44">
                  <c:v>6.6218451780000001</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prices'!$P$5:$P$49</c:f>
              <c:numCache>
                <c:formatCode>0.00</c:formatCode>
                <c:ptCount val="45"/>
                <c:pt idx="14">
                  <c:v>10.405337877200001</c:v>
                </c:pt>
                <c:pt idx="15">
                  <c:v>10.4551769042</c:v>
                </c:pt>
                <c:pt idx="16">
                  <c:v>10.4730136196</c:v>
                </c:pt>
                <c:pt idx="17">
                  <c:v>10.546389257600001</c:v>
                </c:pt>
                <c:pt idx="18">
                  <c:v>10.721245787000001</c:v>
                </c:pt>
                <c:pt idx="19">
                  <c:v>11.040831048800001</c:v>
                </c:pt>
                <c:pt idx="20">
                  <c:v>11.34112112</c:v>
                </c:pt>
                <c:pt idx="21">
                  <c:v>11.529244164200001</c:v>
                </c:pt>
                <c:pt idx="22">
                  <c:v>11.65369604</c:v>
                </c:pt>
                <c:pt idx="23">
                  <c:v>11.6666961026</c:v>
                </c:pt>
                <c:pt idx="24">
                  <c:v>11.6003728778</c:v>
                </c:pt>
                <c:pt idx="25">
                  <c:v>11.579052027199999</c:v>
                </c:pt>
                <c:pt idx="26">
                  <c:v>11.6199438698</c:v>
                </c:pt>
                <c:pt idx="27">
                  <c:v>11.6848896458</c:v>
                </c:pt>
                <c:pt idx="28">
                  <c:v>11.741773295000002</c:v>
                </c:pt>
                <c:pt idx="29">
                  <c:v>11.714490771200001</c:v>
                </c:pt>
                <c:pt idx="30">
                  <c:v>11.737778070200001</c:v>
                </c:pt>
                <c:pt idx="31">
                  <c:v>11.801397818000002</c:v>
                </c:pt>
                <c:pt idx="32">
                  <c:v>11.881483065200001</c:v>
                </c:pt>
                <c:pt idx="33">
                  <c:v>11.9849865002</c:v>
                </c:pt>
                <c:pt idx="34">
                  <c:v>12.045449334800001</c:v>
                </c:pt>
                <c:pt idx="35">
                  <c:v>12.0670132646</c:v>
                </c:pt>
                <c:pt idx="36">
                  <c:v>12.1264679438</c:v>
                </c:pt>
                <c:pt idx="37">
                  <c:v>12.177486528199999</c:v>
                </c:pt>
                <c:pt idx="38">
                  <c:v>12.1944366278</c:v>
                </c:pt>
                <c:pt idx="39">
                  <c:v>12.183485598200001</c:v>
                </c:pt>
                <c:pt idx="40">
                  <c:v>12.192107118800001</c:v>
                </c:pt>
                <c:pt idx="41">
                  <c:v>12.2038356902</c:v>
                </c:pt>
                <c:pt idx="42">
                  <c:v>12.229938656600002</c:v>
                </c:pt>
                <c:pt idx="43">
                  <c:v>12.294376459399999</c:v>
                </c:pt>
                <c:pt idx="44">
                  <c:v>12.3553815476</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prices'!$C$54</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prices'!$A$55:$A$65</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prices'!$C$55:$C$65</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25</xdr:row>
      <xdr:rowOff>139700</xdr:rowOff>
    </xdr:from>
    <xdr:to>
      <xdr:col>29</xdr:col>
      <xdr:colOff>596900</xdr:colOff>
      <xdr:row>40</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42</xdr:row>
      <xdr:rowOff>158750</xdr:rowOff>
    </xdr:from>
    <xdr:to>
      <xdr:col>30</xdr:col>
      <xdr:colOff>584200</xdr:colOff>
      <xdr:row>57</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eia.gov/dnav/pet/hist/LeafHandler.ashx?n=PET&amp;s=RBRTE&amp;f=A" TargetMode="External"/><Relationship Id="rId1" Type="http://schemas.openxmlformats.org/officeDocument/2006/relationships/hyperlink" Target="http://tonto.eia.gov/dnav/pet/hist/LeafHandler.ashx?n=PET&amp;s=RBRTE&amp;f=A"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1"/>
  <sheetViews>
    <sheetView tabSelected="1" topLeftCell="A6" workbookViewId="0">
      <selection activeCell="B19" sqref="B19"/>
    </sheetView>
  </sheetViews>
  <sheetFormatPr baseColWidth="10" defaultRowHeight="16"/>
  <cols>
    <col min="2" max="2" width="15.33203125" bestFit="1" customWidth="1"/>
    <col min="3" max="3" width="11.83203125" bestFit="1" customWidth="1"/>
    <col min="6" max="6" width="15.33203125" customWidth="1"/>
    <col min="7" max="7" width="14.6640625" customWidth="1"/>
    <col min="36" max="42" width="7.83203125" customWidth="1"/>
  </cols>
  <sheetData>
    <row r="1" spans="1:40">
      <c r="G1" s="39"/>
      <c r="N1" t="s">
        <v>49</v>
      </c>
      <c r="R1" t="s">
        <v>59</v>
      </c>
    </row>
    <row r="2" spans="1:40">
      <c r="O2" t="s">
        <v>17</v>
      </c>
      <c r="P2" t="s">
        <v>18</v>
      </c>
    </row>
    <row r="3" spans="1:40">
      <c r="A3" t="s">
        <v>50</v>
      </c>
      <c r="B3">
        <v>2019</v>
      </c>
      <c r="C3">
        <f>B3</f>
        <v>2019</v>
      </c>
      <c r="D3">
        <f>B3</f>
        <v>2019</v>
      </c>
      <c r="E3">
        <f>B3</f>
        <v>2019</v>
      </c>
      <c r="F3">
        <v>2016</v>
      </c>
      <c r="N3" t="s">
        <v>38</v>
      </c>
      <c r="O3" t="s">
        <v>16</v>
      </c>
      <c r="P3" t="s">
        <v>16</v>
      </c>
      <c r="Q3" t="str" cm="1">
        <f t="array" ref="Q3:T3">TRANSPOSE(regressions!$A$59:$A$62)</f>
        <v>LSFO</v>
      </c>
      <c r="R3" t="str">
        <v>Diesel</v>
      </c>
      <c r="S3" t="str">
        <v>Biodiesel</v>
      </c>
      <c r="T3" t="str">
        <v>Coal</v>
      </c>
      <c r="U3" t="s">
        <v>42</v>
      </c>
      <c r="V3" t="str" cm="1">
        <f t="array" ref="V3:W3">TRANSPOSE(regressions!$A$57:$A$58)</f>
        <v>Motor Gasoline</v>
      </c>
      <c r="W3" t="str">
        <v>Motor Diesel</v>
      </c>
      <c r="AH3" s="14"/>
      <c r="AI3" s="14" t="str">
        <f>P51</f>
        <v>LNG</v>
      </c>
      <c r="AJ3" s="14" t="str">
        <f>Q51</f>
        <v>LSFO</v>
      </c>
      <c r="AK3" s="14" t="str">
        <f>R51</f>
        <v>Diesel</v>
      </c>
      <c r="AL3" s="14" t="str">
        <f>S51</f>
        <v>Biodiesel</v>
      </c>
      <c r="AM3" s="14" t="str">
        <f>T51</f>
        <v>Coal</v>
      </c>
      <c r="AN3" s="14" t="str">
        <f>W51</f>
        <v>Motor Diesel</v>
      </c>
    </row>
    <row r="4" spans="1:40" ht="85">
      <c r="B4" s="16" t="s">
        <v>118</v>
      </c>
      <c r="C4" s="16" t="s">
        <v>82</v>
      </c>
      <c r="D4" s="16" t="s">
        <v>119</v>
      </c>
      <c r="E4" s="16" t="s">
        <v>120</v>
      </c>
      <c r="F4" s="16" t="s">
        <v>121</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N20&amp;"-"&amp;RIGHT(N24,2)</f>
        <v>2021-25</v>
      </c>
      <c r="AI4" s="15">
        <f ca="1">AVERAGE(O20:O24)</f>
        <v>5.4923193367399996</v>
      </c>
      <c r="AJ4" s="15">
        <f ca="1">AVERAGE(Q20:Q24)</f>
        <v>7.3248538823585791</v>
      </c>
      <c r="AK4" s="15">
        <f ca="1">AVERAGE(R20:R24)</f>
        <v>11.143049881943931</v>
      </c>
      <c r="AL4" s="15">
        <f ca="1">AVERAGE(S20:S24)</f>
        <v>21.880663841616872</v>
      </c>
      <c r="AM4" s="15">
        <f ca="1">AVERAGE(T20:T24)</f>
        <v>3.6299878234615632</v>
      </c>
      <c r="AN4" s="15">
        <f ca="1">AVERAGE(W20:W24)</f>
        <v>22.793999143907779</v>
      </c>
    </row>
    <row r="5" spans="1:40">
      <c r="A5" cm="1">
        <f t="array" ref="A5:A18">TRANSPOSE(regressions!$C$17:$P$17)</f>
        <v>2006</v>
      </c>
      <c r="B5" cm="1">
        <f t="array" ref="B5:B18">'Brent History'!B23:B36</f>
        <v>65.16</v>
      </c>
      <c r="C5" s="1">
        <f>B5/regressions!$B$10</f>
        <v>11.23448275862069</v>
      </c>
      <c r="G5" s="1"/>
      <c r="H5" s="1"/>
      <c r="I5" s="1"/>
      <c r="J5" s="1"/>
      <c r="K5" s="1"/>
      <c r="L5" s="1"/>
      <c r="M5" s="1"/>
      <c r="N5">
        <f t="shared" ref="N5:N49" si="0">A5</f>
        <v>2006</v>
      </c>
      <c r="O5" s="2"/>
      <c r="P5" s="2"/>
      <c r="Q5" s="2" cm="1">
        <f t="array" aca="1" ref="Q5:T18" ca="1">TRANSPOSE(regressions!$C$59:$P$62)</f>
        <v>12.450436638306051</v>
      </c>
      <c r="R5" s="2">
        <f ca="1"/>
        <v>20.46261303780242</v>
      </c>
      <c r="S5" s="2" t="e">
        <f ca="1"/>
        <v>#DIV/0!</v>
      </c>
      <c r="T5" s="2">
        <f ca="1"/>
        <v>0</v>
      </c>
      <c r="U5" s="2"/>
      <c r="V5" s="2" cm="1">
        <f t="array" aca="1" ref="V5:W18" ca="1">TRANSPOSE(regressions!$C$57:$P$58)</f>
        <v>27.431131582401342</v>
      </c>
      <c r="W5" s="2">
        <f ca="1"/>
        <v>27.592607069084014</v>
      </c>
      <c r="AH5" s="14" t="str">
        <f>N40&amp;"-"&amp;RIGHT(N44,2)</f>
        <v>2041-45</v>
      </c>
      <c r="AI5" s="15">
        <f ca="1">AVERAGE(O40:O44)</f>
        <v>6.4860775017400005</v>
      </c>
      <c r="AJ5" s="15">
        <f ca="1">AVERAGE(Q40:Q44)</f>
        <v>8.6102073306344415</v>
      </c>
      <c r="AK5" s="15">
        <f ca="1">AVERAGE(R40:R44)</f>
        <v>12.428403330219792</v>
      </c>
      <c r="AL5" s="15">
        <f ca="1">AVERAGE(S40:S44)</f>
        <v>23.166017289892729</v>
      </c>
      <c r="AM5" s="15">
        <f ca="1">AVERAGE(T40:T44)</f>
        <v>3.6367812234615626</v>
      </c>
      <c r="AN5" s="15">
        <f ca="1">AVERAGE(W40:W44)</f>
        <v>24.079352592183643</v>
      </c>
    </row>
    <row r="6" spans="1:40">
      <c r="A6">
        <v>2007</v>
      </c>
      <c r="B6">
        <v>72.44</v>
      </c>
      <c r="C6" s="1">
        <f>B6/regressions!$B$10</f>
        <v>12.489655172413793</v>
      </c>
      <c r="G6" s="1"/>
      <c r="H6" s="1"/>
      <c r="I6" s="1"/>
      <c r="J6" s="1"/>
      <c r="K6" s="1"/>
      <c r="L6" s="1"/>
      <c r="M6" s="1"/>
      <c r="N6">
        <f t="shared" si="0"/>
        <v>2007</v>
      </c>
      <c r="O6" s="2"/>
      <c r="P6" s="2"/>
      <c r="Q6" s="2">
        <f ca="1"/>
        <v>12.260970935308906</v>
      </c>
      <c r="R6" s="2">
        <f ca="1"/>
        <v>20.021832720866058</v>
      </c>
      <c r="S6" s="2" t="e">
        <f ca="1"/>
        <v>#DIV/0!</v>
      </c>
      <c r="T6" s="2">
        <f ca="1"/>
        <v>0</v>
      </c>
      <c r="U6" s="2"/>
      <c r="V6" s="2">
        <f ca="1"/>
        <v>27.696530809801402</v>
      </c>
      <c r="W6" s="2">
        <f ca="1"/>
        <v>28.128802802120067</v>
      </c>
      <c r="AH6" s="14"/>
      <c r="AI6" s="15"/>
      <c r="AJ6" s="15"/>
      <c r="AK6" s="15"/>
      <c r="AL6" s="15"/>
      <c r="AM6" s="15"/>
      <c r="AN6" s="15"/>
    </row>
    <row r="7" spans="1:40">
      <c r="A7">
        <v>2008</v>
      </c>
      <c r="B7">
        <v>96.94</v>
      </c>
      <c r="C7" s="1">
        <f>B7/regressions!$B$10</f>
        <v>16.713793103448275</v>
      </c>
      <c r="G7" s="1"/>
      <c r="H7" s="1"/>
      <c r="I7" s="1"/>
      <c r="J7" s="1"/>
      <c r="K7" s="1"/>
      <c r="L7" s="1"/>
      <c r="M7" s="1"/>
      <c r="N7">
        <f t="shared" si="0"/>
        <v>2008</v>
      </c>
      <c r="O7" s="2"/>
      <c r="P7" s="2"/>
      <c r="Q7" s="2">
        <f ca="1"/>
        <v>20.899708840512982</v>
      </c>
      <c r="R7" s="2">
        <f ca="1"/>
        <v>25.134810048531357</v>
      </c>
      <c r="S7" s="2" t="e">
        <f ca="1"/>
        <v>#DIV/0!</v>
      </c>
      <c r="T7" s="2">
        <f ca="1"/>
        <v>4.2476987722377819</v>
      </c>
      <c r="U7" s="2"/>
      <c r="V7" s="2">
        <f ca="1"/>
        <v>32.947438143705725</v>
      </c>
      <c r="W7" s="2">
        <f ca="1"/>
        <v>36.988522319776727</v>
      </c>
      <c r="AH7" s="14"/>
      <c r="AI7" s="15"/>
      <c r="AJ7" s="15"/>
      <c r="AK7" s="15"/>
      <c r="AL7" s="15"/>
      <c r="AM7" s="15"/>
      <c r="AN7" s="15"/>
    </row>
    <row r="8" spans="1:40">
      <c r="A8">
        <v>2009</v>
      </c>
      <c r="B8">
        <v>61.74</v>
      </c>
      <c r="C8" s="1">
        <f>B8/regressions!$B$10</f>
        <v>10.644827586206898</v>
      </c>
      <c r="G8" s="1"/>
      <c r="H8" s="1"/>
      <c r="I8" s="1"/>
      <c r="J8" s="1"/>
      <c r="K8" s="1"/>
      <c r="L8" s="1"/>
      <c r="M8" s="1"/>
      <c r="N8">
        <f t="shared" si="0"/>
        <v>2009</v>
      </c>
      <c r="O8" s="2"/>
      <c r="P8" s="2"/>
      <c r="Q8" s="2">
        <f ca="1"/>
        <v>11.297001334549012</v>
      </c>
      <c r="R8" s="2">
        <f ca="1"/>
        <v>18.297906291243279</v>
      </c>
      <c r="S8" s="2" t="e">
        <f ca="1"/>
        <v>#DIV/0!</v>
      </c>
      <c r="T8" s="2">
        <f ca="1"/>
        <v>3.499303843855885</v>
      </c>
      <c r="U8" s="2"/>
      <c r="V8" s="2">
        <f ca="1"/>
        <v>24.578399687903207</v>
      </c>
      <c r="W8" s="2">
        <f ca="1"/>
        <v>30.317882704241299</v>
      </c>
      <c r="AH8" s="14"/>
      <c r="AI8" s="15"/>
      <c r="AJ8" s="15"/>
      <c r="AK8" s="15"/>
      <c r="AL8" s="15"/>
      <c r="AM8" s="15"/>
      <c r="AN8" s="15"/>
    </row>
    <row r="9" spans="1:40">
      <c r="A9">
        <v>2010</v>
      </c>
      <c r="B9">
        <v>79.61</v>
      </c>
      <c r="C9" s="1">
        <f>B9/regressions!$B$10</f>
        <v>13.725862068965517</v>
      </c>
      <c r="G9" s="1"/>
      <c r="H9" s="1"/>
      <c r="I9" s="1"/>
      <c r="J9" s="1"/>
      <c r="K9" s="1"/>
      <c r="L9" s="1"/>
      <c r="M9" s="1"/>
      <c r="N9">
        <f t="shared" si="0"/>
        <v>2010</v>
      </c>
      <c r="O9" s="2"/>
      <c r="P9" s="2"/>
      <c r="Q9" s="2">
        <f ca="1"/>
        <v>15.781766281399456</v>
      </c>
      <c r="R9" s="2">
        <f ca="1"/>
        <v>18.984521606871439</v>
      </c>
      <c r="S9" s="2">
        <f ca="1"/>
        <v>50.130664240068953</v>
      </c>
      <c r="T9" s="2">
        <f ca="1"/>
        <v>3.2136356865532529</v>
      </c>
      <c r="U9" s="2"/>
      <c r="V9" s="2">
        <f ca="1"/>
        <v>29.429060590560987</v>
      </c>
      <c r="W9" s="2">
        <f ca="1"/>
        <v>29.788361016925691</v>
      </c>
      <c r="AH9" s="14"/>
      <c r="AI9" s="15"/>
      <c r="AJ9" s="15"/>
      <c r="AK9" s="15"/>
      <c r="AL9" s="15"/>
      <c r="AM9" s="15"/>
      <c r="AN9" s="15"/>
    </row>
    <row r="10" spans="1:40">
      <c r="A10">
        <v>2011</v>
      </c>
      <c r="B10">
        <v>111.26</v>
      </c>
      <c r="C10" s="1">
        <f>B10/regressions!$B$10</f>
        <v>19.182758620689658</v>
      </c>
      <c r="G10" s="1"/>
      <c r="H10" s="1"/>
      <c r="I10" s="1"/>
      <c r="J10" s="1"/>
      <c r="K10" s="1"/>
      <c r="L10" s="1"/>
      <c r="M10" s="1"/>
      <c r="N10">
        <f t="shared" si="0"/>
        <v>2011</v>
      </c>
      <c r="O10" s="2"/>
      <c r="P10" s="2"/>
      <c r="Q10" s="2">
        <f ca="1"/>
        <v>22.122855296458777</v>
      </c>
      <c r="R10" s="2">
        <f ca="1"/>
        <v>22.124703746338074</v>
      </c>
      <c r="S10" s="2">
        <f ca="1"/>
        <v>44.243753446020776</v>
      </c>
      <c r="T10" s="2">
        <f ca="1"/>
        <v>3.8576808125406594</v>
      </c>
      <c r="U10" s="2"/>
      <c r="V10" s="2">
        <f ca="1"/>
        <v>34.490614047221598</v>
      </c>
      <c r="W10" s="2">
        <f ca="1"/>
        <v>34.437418261482719</v>
      </c>
      <c r="AH10" s="14"/>
      <c r="AI10" s="15"/>
      <c r="AJ10" s="15"/>
      <c r="AK10" s="15"/>
      <c r="AL10" s="15"/>
      <c r="AM10" s="15"/>
      <c r="AN10" s="15"/>
    </row>
    <row r="11" spans="1:40">
      <c r="A11">
        <v>2012</v>
      </c>
      <c r="B11">
        <v>111.63</v>
      </c>
      <c r="C11" s="1">
        <f>B11/regressions!$B$10</f>
        <v>19.24655172413793</v>
      </c>
      <c r="G11" s="1"/>
      <c r="H11" s="1"/>
      <c r="I11" s="1"/>
      <c r="J11" s="1"/>
      <c r="K11" s="1"/>
      <c r="L11" s="1"/>
      <c r="M11" s="1"/>
      <c r="N11">
        <f t="shared" si="0"/>
        <v>2012</v>
      </c>
      <c r="O11" s="2"/>
      <c r="P11" s="2"/>
      <c r="Q11" s="2">
        <f ca="1"/>
        <v>24.525934641078059</v>
      </c>
      <c r="R11" s="2">
        <f ca="1"/>
        <v>24.845100293306643</v>
      </c>
      <c r="S11" s="2">
        <f ca="1"/>
        <v>53.200814158965038</v>
      </c>
      <c r="T11" s="2">
        <f ca="1"/>
        <v>4.2271309523353162</v>
      </c>
      <c r="U11" s="2"/>
      <c r="V11" s="2">
        <f ca="1"/>
        <v>36.053865045443629</v>
      </c>
      <c r="W11" s="2">
        <f ca="1"/>
        <v>36.163094601599575</v>
      </c>
      <c r="AH11" s="14"/>
      <c r="AI11" s="15"/>
      <c r="AJ11" s="15"/>
      <c r="AK11" s="15"/>
      <c r="AL11" s="15"/>
      <c r="AM11" s="15"/>
      <c r="AN11" s="15"/>
    </row>
    <row r="12" spans="1:40">
      <c r="A12">
        <v>2013</v>
      </c>
      <c r="B12">
        <v>108.56</v>
      </c>
      <c r="C12" s="1">
        <f>B12/regressions!$B$10</f>
        <v>18.717241379310344</v>
      </c>
      <c r="G12" s="1"/>
      <c r="H12" s="1"/>
      <c r="I12" s="1"/>
      <c r="J12" s="1"/>
      <c r="K12" s="1"/>
      <c r="L12" s="1"/>
      <c r="M12" s="1"/>
      <c r="N12">
        <f t="shared" si="0"/>
        <v>2013</v>
      </c>
      <c r="O12" s="2"/>
      <c r="P12" s="2"/>
      <c r="Q12" s="2">
        <f ca="1"/>
        <v>22.733265686220587</v>
      </c>
      <c r="R12" s="2">
        <f ca="1"/>
        <v>25.142551213946653</v>
      </c>
      <c r="S12" s="2">
        <f ca="1"/>
        <v>37.549317289925767</v>
      </c>
      <c r="T12" s="2">
        <f ca="1"/>
        <v>4.3018674602438924</v>
      </c>
      <c r="U12" s="2"/>
      <c r="V12" s="2">
        <f ca="1"/>
        <v>34.897317148938292</v>
      </c>
      <c r="W12" s="2">
        <f ca="1"/>
        <v>35.440849304429833</v>
      </c>
      <c r="AH12" s="14"/>
      <c r="AI12" s="15"/>
      <c r="AJ12" s="15"/>
      <c r="AK12" s="15"/>
      <c r="AL12" s="15"/>
      <c r="AM12" s="15"/>
      <c r="AN12" s="15"/>
    </row>
    <row r="13" spans="1:40">
      <c r="A13">
        <v>2014</v>
      </c>
      <c r="B13">
        <v>98.97</v>
      </c>
      <c r="C13" s="1">
        <f>B13/regressions!$B$10</f>
        <v>17.063793103448276</v>
      </c>
      <c r="G13" s="1"/>
      <c r="H13" s="1"/>
      <c r="I13" s="1"/>
      <c r="J13" s="1"/>
      <c r="K13" s="1"/>
      <c r="L13" s="1"/>
      <c r="M13" s="1"/>
      <c r="N13">
        <f t="shared" si="0"/>
        <v>2014</v>
      </c>
      <c r="O13" s="2"/>
      <c r="P13" s="2"/>
      <c r="Q13" s="2">
        <f ca="1"/>
        <v>22.194008733504518</v>
      </c>
      <c r="R13" s="2">
        <f ca="1"/>
        <v>25.197675909569924</v>
      </c>
      <c r="S13" s="2">
        <f ca="1"/>
        <v>40.843263128278771</v>
      </c>
      <c r="T13" s="2">
        <f ca="1"/>
        <v>4.2177257438696918</v>
      </c>
      <c r="U13" s="2"/>
      <c r="V13" s="2">
        <f ca="1"/>
        <v>33.755300879442323</v>
      </c>
      <c r="W13" s="2">
        <f ca="1"/>
        <v>34.869240308180224</v>
      </c>
      <c r="AH13" s="14"/>
      <c r="AI13" s="15"/>
      <c r="AJ13" s="15"/>
      <c r="AK13" s="15"/>
      <c r="AL13" s="15"/>
      <c r="AM13" s="15"/>
      <c r="AN13" s="15"/>
    </row>
    <row r="14" spans="1:40">
      <c r="A14">
        <v>2015</v>
      </c>
      <c r="B14">
        <v>52.32</v>
      </c>
      <c r="C14" s="1">
        <f>B14/regressions!$B$10</f>
        <v>9.0206896551724149</v>
      </c>
      <c r="G14" s="1"/>
      <c r="H14" s="1"/>
      <c r="I14" s="1"/>
      <c r="J14" s="1"/>
      <c r="K14" s="1"/>
      <c r="L14" s="1"/>
      <c r="M14" s="1"/>
      <c r="N14">
        <f t="shared" si="0"/>
        <v>2015</v>
      </c>
      <c r="O14" s="2"/>
      <c r="P14" s="2"/>
      <c r="Q14" s="2">
        <f ca="1"/>
        <v>11.831810406312279</v>
      </c>
      <c r="R14" s="2">
        <f ca="1"/>
        <v>17.031749656178217</v>
      </c>
      <c r="S14" s="2">
        <f ca="1"/>
        <v>29.164216302881677</v>
      </c>
      <c r="T14" s="2">
        <f ca="1"/>
        <v>3.9485399274544006</v>
      </c>
      <c r="U14" s="2"/>
      <c r="V14" s="2">
        <f ca="1"/>
        <v>23.50796120730757</v>
      </c>
      <c r="W14" s="2">
        <f ca="1"/>
        <v>32.245501994018589</v>
      </c>
      <c r="AH14" s="14"/>
      <c r="AI14" s="15"/>
      <c r="AJ14" s="15"/>
      <c r="AK14" s="15"/>
      <c r="AL14" s="15"/>
      <c r="AM14" s="15"/>
      <c r="AN14" s="15"/>
    </row>
    <row r="15" spans="1:40">
      <c r="A15">
        <v>2016</v>
      </c>
      <c r="B15">
        <v>43.64</v>
      </c>
      <c r="C15" s="1">
        <f>B15/regressions!$B$10</f>
        <v>7.5241379310344829</v>
      </c>
      <c r="G15" s="1"/>
      <c r="H15" s="1"/>
      <c r="I15" s="1"/>
      <c r="J15" s="1"/>
      <c r="K15" s="1"/>
      <c r="L15" s="1"/>
      <c r="M15" s="1"/>
      <c r="N15">
        <f t="shared" si="0"/>
        <v>2016</v>
      </c>
      <c r="O15" s="2"/>
      <c r="P15" s="2"/>
      <c r="Q15" s="2">
        <f ca="1"/>
        <v>8.5216961240375593</v>
      </c>
      <c r="R15" s="2">
        <f ca="1"/>
        <v>11.99120722731506</v>
      </c>
      <c r="S15" s="2">
        <f ca="1"/>
        <v>14.500162634960532</v>
      </c>
      <c r="T15" s="2">
        <f ca="1"/>
        <v>3.6016298228589765</v>
      </c>
      <c r="U15" s="2"/>
      <c r="V15" s="2">
        <f ca="1"/>
        <v>19.641141278571695</v>
      </c>
      <c r="W15" s="2">
        <f ca="1"/>
        <v>28.56806453470535</v>
      </c>
      <c r="AH15" s="14"/>
      <c r="AI15" s="15"/>
      <c r="AJ15" s="15"/>
      <c r="AK15" s="15"/>
      <c r="AL15" s="15"/>
      <c r="AM15" s="15"/>
      <c r="AN15" s="15"/>
    </row>
    <row r="16" spans="1:40">
      <c r="A16">
        <v>2017</v>
      </c>
      <c r="B16">
        <v>54.13</v>
      </c>
      <c r="C16" s="1">
        <f>B16/regressions!$B$10</f>
        <v>9.3327586206896562</v>
      </c>
      <c r="G16" s="1"/>
      <c r="H16" s="1"/>
      <c r="I16" s="1"/>
      <c r="J16" s="1"/>
      <c r="K16" s="1"/>
      <c r="L16" s="1"/>
      <c r="M16" s="1"/>
      <c r="N16">
        <f t="shared" si="0"/>
        <v>2017</v>
      </c>
      <c r="O16" s="2"/>
      <c r="P16" s="2"/>
      <c r="Q16" s="2">
        <f ca="1"/>
        <v>10.935008591191849</v>
      </c>
      <c r="R16" s="2">
        <f ca="1"/>
        <v>12.950637155715997</v>
      </c>
      <c r="S16" s="2">
        <f ca="1"/>
        <v>23.617791737500792</v>
      </c>
      <c r="T16" s="2">
        <f ca="1"/>
        <v>4.0345351369219005</v>
      </c>
      <c r="U16" s="2"/>
      <c r="V16" s="2">
        <f ca="1"/>
        <v>22.63387630744359</v>
      </c>
      <c r="W16" s="2">
        <f ca="1"/>
        <v>27.81383783592122</v>
      </c>
      <c r="AH16" s="14"/>
      <c r="AI16" s="15"/>
      <c r="AJ16" s="15"/>
      <c r="AK16" s="15"/>
      <c r="AL16" s="15"/>
      <c r="AM16" s="15"/>
      <c r="AN16" s="15"/>
    </row>
    <row r="17" spans="1:40">
      <c r="A17">
        <v>2018</v>
      </c>
      <c r="B17">
        <v>71.34</v>
      </c>
      <c r="C17" s="1">
        <f>B17/regressions!$B$10</f>
        <v>12.3</v>
      </c>
      <c r="G17" s="1"/>
      <c r="H17" s="1"/>
      <c r="I17" s="1"/>
      <c r="J17" s="1"/>
      <c r="K17" s="1"/>
      <c r="L17" s="1"/>
      <c r="M17" s="1"/>
      <c r="N17">
        <f t="shared" si="0"/>
        <v>2018</v>
      </c>
      <c r="O17" s="2"/>
      <c r="P17" s="2"/>
      <c r="Q17" s="2">
        <f ca="1"/>
        <v>13.76958486426677</v>
      </c>
      <c r="R17" s="2">
        <f ca="1"/>
        <v>17.416364176061503</v>
      </c>
      <c r="S17" s="2">
        <f ca="1"/>
        <v>16.549826632756591</v>
      </c>
      <c r="T17" s="2">
        <f ca="1"/>
        <v>4.8439993806964976</v>
      </c>
      <c r="U17" s="2"/>
      <c r="V17" s="2">
        <f ca="1"/>
        <v>26.806042811882275</v>
      </c>
      <c r="W17" s="2">
        <f ca="1"/>
        <v>27.918769112621053</v>
      </c>
      <c r="AH17" s="14"/>
      <c r="AI17" s="15"/>
      <c r="AJ17" s="15"/>
      <c r="AK17" s="15"/>
      <c r="AL17" s="15"/>
      <c r="AM17" s="15"/>
      <c r="AN17" s="15"/>
    </row>
    <row r="18" spans="1:40">
      <c r="A18">
        <v>2019</v>
      </c>
      <c r="B18">
        <v>64.36</v>
      </c>
      <c r="C18" s="1">
        <f>B18/regressions!$B$10</f>
        <v>11.096551724137932</v>
      </c>
      <c r="G18" s="1"/>
      <c r="H18" s="1"/>
      <c r="I18" s="1"/>
      <c r="J18" s="1"/>
      <c r="K18" s="1"/>
      <c r="M18" s="40" t="s">
        <v>252</v>
      </c>
      <c r="N18">
        <f t="shared" si="0"/>
        <v>2019</v>
      </c>
      <c r="O18" s="2"/>
      <c r="P18" s="2"/>
      <c r="Q18" s="2">
        <f ca="1"/>
        <v>12.529899364329539</v>
      </c>
      <c r="R18" s="2">
        <f ca="1"/>
        <v>15.707018647924627</v>
      </c>
      <c r="S18" s="2">
        <f ca="1"/>
        <v>35.114747428201667</v>
      </c>
      <c r="T18" s="2">
        <f ca="1"/>
        <v>3.8662234310466403</v>
      </c>
      <c r="U18" s="2"/>
      <c r="V18" s="2">
        <f ca="1"/>
        <v>25.843278662871711</v>
      </c>
      <c r="W18" s="2">
        <f ca="1"/>
        <v>28.149029534058819</v>
      </c>
      <c r="AH18" s="14"/>
      <c r="AI18" s="15"/>
      <c r="AJ18" s="15"/>
      <c r="AK18" s="15"/>
      <c r="AL18" s="15"/>
      <c r="AM18" s="15"/>
      <c r="AN18" s="15"/>
    </row>
    <row r="19" spans="1:40">
      <c r="A19" cm="1">
        <f t="array" ref="A19:A49">TRANSPOSE(AEO!F5:AJ5)</f>
        <v>2020</v>
      </c>
      <c r="B19" cm="1">
        <f t="array" ref="B19:B49">TRANSPOSE(AEO!$F$40:$AJ$40)</f>
        <v>38.010544000000003</v>
      </c>
      <c r="C19" s="1">
        <f>B19/regressions!$B$10</f>
        <v>6.5535420689655179</v>
      </c>
      <c r="D19" cm="1">
        <f t="array" ref="D19:D49">TRANSPOSE(AEO!$F$42:$AJ$42)</f>
        <v>2.441046</v>
      </c>
      <c r="E19" cm="1">
        <f t="array" ref="E19:E49">TRANSPOSE(AEO!$F$45:$AJ$45)</f>
        <v>2.132771</v>
      </c>
      <c r="F19">
        <v>13.25</v>
      </c>
      <c r="G19" s="1">
        <f ca="1">B19*INDEX(regressions!$C$53:$AU$53, MATCH(B$3, regressions!$C$51:$AU$51, 0))</f>
        <v>38.010544000000003</v>
      </c>
      <c r="H19" s="1">
        <f ca="1">C19*INDEX(regressions!$C$53:$AU$53, MATCH(C$3, regressions!$C$51:$AU$51, 0))</f>
        <v>6.5535420689655179</v>
      </c>
      <c r="I19" s="1">
        <f ca="1">D19*INDEX(regressions!$C$53:$AU$53, MATCH(D$3, regressions!$C$51:$AU$51, 0))</f>
        <v>2.441046</v>
      </c>
      <c r="J19" s="1">
        <f ca="1">E19*INDEX(regressions!$C$53:$AU$53, MATCH(E$3, regressions!$C$51:$AU$51, 0))</f>
        <v>2.132771</v>
      </c>
      <c r="K19" s="1">
        <f ca="1">F19*INDEX(regressions!$C$53:$AU$53, MATCH(F$3, regressions!$C$51:$AU$51, 0))</f>
        <v>14.005502230665988</v>
      </c>
      <c r="M19" s="40" t="s">
        <v>253</v>
      </c>
      <c r="N19">
        <f t="shared" si="0"/>
        <v>2020</v>
      </c>
      <c r="O19" s="2">
        <f t="shared" ref="O19" ca="1" si="1">0.1333*G19+0.4521</f>
        <v>5.5189055152000002</v>
      </c>
      <c r="P19" s="2">
        <f t="shared" ref="P19" ca="1" si="2">1.5582*I19+6.6017</f>
        <v>10.405337877200001</v>
      </c>
      <c r="Q19" s="2">
        <f ca="1">AVERAGE(Q18,Q20)</f>
        <v>9.6744475888613</v>
      </c>
      <c r="R19" s="2">
        <f t="shared" ref="R19:T19" ca="1" si="3">AVERAGE(R18,R20)</f>
        <v>13.172105230451521</v>
      </c>
      <c r="S19" s="2">
        <f t="shared" ca="1" si="3"/>
        <v>28.244776600426512</v>
      </c>
      <c r="T19" s="2">
        <f t="shared" ca="1" si="3"/>
        <v>3.7752106272541015</v>
      </c>
      <c r="U19" s="2">
        <f t="shared" ref="U19" ca="1" si="4">K19</f>
        <v>14.005502230665988</v>
      </c>
      <c r="V19" s="2">
        <f t="shared" ref="V19:W19" ca="1" si="5">AVERAGE(V18,V20)</f>
        <v>22.683209040490208</v>
      </c>
      <c r="W19" s="2">
        <f t="shared" ca="1" si="5"/>
        <v>25.218585304500539</v>
      </c>
    </row>
    <row r="20" spans="1:40">
      <c r="A20">
        <v>2021</v>
      </c>
      <c r="B20">
        <v>34.877121000000002</v>
      </c>
      <c r="C20" s="1">
        <f>B20/regressions!$B$10</f>
        <v>6.0132967241379314</v>
      </c>
      <c r="D20">
        <v>2.4730310000000002</v>
      </c>
      <c r="E20">
        <v>2.1068289999999998</v>
      </c>
      <c r="F20">
        <v>13.25</v>
      </c>
      <c r="G20" s="1">
        <f ca="1">B20*INDEX(regressions!$C$53:$AU$53, MATCH(B$3, regressions!$C$51:$AU$51, 0))</f>
        <v>34.877121000000002</v>
      </c>
      <c r="H20" s="1">
        <f ca="1">C20*INDEX(regressions!$C$53:$AU$53, MATCH(C$3, regressions!$C$51:$AU$51, 0))</f>
        <v>6.0132967241379314</v>
      </c>
      <c r="I20" s="1">
        <f ca="1">D20*INDEX(regressions!$C$53:$AU$53, MATCH(D$3, regressions!$C$51:$AU$51, 0))</f>
        <v>2.4730310000000002</v>
      </c>
      <c r="J20" s="1">
        <f ca="1">E20*INDEX(regressions!$C$53:$AU$53, MATCH(E$3, regressions!$C$51:$AU$51, 0))</f>
        <v>2.1068289999999998</v>
      </c>
      <c r="K20" s="1">
        <f ca="1">F20*INDEX(regressions!$C$53:$AU$53, MATCH(F$3, regressions!$C$51:$AU$51, 0))</f>
        <v>14.005502230665988</v>
      </c>
      <c r="M20" s="40" t="s">
        <v>254</v>
      </c>
      <c r="N20">
        <f t="shared" si="0"/>
        <v>2021</v>
      </c>
      <c r="O20" s="2">
        <f t="shared" ref="O20:O49" ca="1" si="6">0.1333*G20+0.4521</f>
        <v>5.1012202293</v>
      </c>
      <c r="P20" s="2">
        <f t="shared" ref="P20:P49" ca="1" si="7">1.5582*I20+6.6017</f>
        <v>10.4551769042</v>
      </c>
      <c r="Q20" s="2">
        <f ca="1">$H20+VLOOKUP(Q$3, regressions!$A$67:$B$71, 2, FALSE)</f>
        <v>6.8189958133930615</v>
      </c>
      <c r="R20" s="2">
        <f ca="1">$H20+VLOOKUP(R$3, regressions!$A$67:$B$71, 2, FALSE)</f>
        <v>10.637191812978415</v>
      </c>
      <c r="S20" s="2">
        <f ca="1">$H20+VLOOKUP(S$3, regressions!$A$67:$B$71, 2, FALSE)</f>
        <v>21.374805772651353</v>
      </c>
      <c r="T20" s="2">
        <f ca="1">J20+regressions!$B$75</f>
        <v>3.6841978234615627</v>
      </c>
      <c r="U20" s="2">
        <f t="shared" ref="U20:U49" ca="1" si="8">K20</f>
        <v>14.005502230665988</v>
      </c>
      <c r="V20" s="2">
        <f ca="1">$H20+VLOOKUP(V$3, regressions!$A$67:$B$71, 2, FALSE)</f>
        <v>19.523139418108705</v>
      </c>
      <c r="W20" s="2">
        <f ca="1">$H20+VLOOKUP(W$3, regressions!$A$67:$B$71, 2, FALSE)</f>
        <v>22.28814107494226</v>
      </c>
    </row>
    <row r="21" spans="1:40">
      <c r="A21">
        <v>2022</v>
      </c>
      <c r="B21">
        <v>36.947609</v>
      </c>
      <c r="C21" s="1">
        <f>B21/regressions!$B$10</f>
        <v>6.3702774137931035</v>
      </c>
      <c r="D21">
        <v>2.4844780000000002</v>
      </c>
      <c r="E21">
        <v>2.0557080000000001</v>
      </c>
      <c r="F21">
        <v>13.25</v>
      </c>
      <c r="G21" s="1">
        <f ca="1">B21*INDEX(regressions!$C$53:$AU$53, MATCH(B$3, regressions!$C$51:$AU$51, 0))</f>
        <v>36.947609</v>
      </c>
      <c r="H21" s="1">
        <f ca="1">C21*INDEX(regressions!$C$53:$AU$53, MATCH(C$3, regressions!$C$51:$AU$51, 0))</f>
        <v>6.3702774137931035</v>
      </c>
      <c r="I21" s="1">
        <f ca="1">D21*INDEX(regressions!$C$53:$AU$53, MATCH(D$3, regressions!$C$51:$AU$51, 0))</f>
        <v>2.4844780000000002</v>
      </c>
      <c r="J21" s="1">
        <f ca="1">E21*INDEX(regressions!$C$53:$AU$53, MATCH(E$3, regressions!$C$51:$AU$51, 0))</f>
        <v>2.0557080000000001</v>
      </c>
      <c r="K21" s="1">
        <f ca="1">F21*INDEX(regressions!$C$53:$AU$53, MATCH(F$3, regressions!$C$51:$AU$51, 0))</f>
        <v>14.005502230665988</v>
      </c>
      <c r="L21" s="1"/>
      <c r="M21" s="1"/>
      <c r="N21">
        <f t="shared" si="0"/>
        <v>2022</v>
      </c>
      <c r="O21" s="2">
        <f t="shared" ca="1" si="6"/>
        <v>5.3772162796999998</v>
      </c>
      <c r="P21" s="2">
        <f t="shared" ca="1" si="7"/>
        <v>10.4730136196</v>
      </c>
      <c r="Q21" s="2">
        <f ca="1">$H21+VLOOKUP(Q$3, regressions!$A$67:$B$71, 2, FALSE)</f>
        <v>7.1759765030482336</v>
      </c>
      <c r="R21" s="2">
        <f ca="1">$H21+VLOOKUP(R$3, regressions!$A$67:$B$71, 2, FALSE)</f>
        <v>10.994172502633585</v>
      </c>
      <c r="S21" s="2">
        <f ca="1">$H21+VLOOKUP(S$3, regressions!$A$67:$B$71, 2, FALSE)</f>
        <v>21.731786462306527</v>
      </c>
      <c r="T21" s="2">
        <f ca="1">J21+regressions!$B$75</f>
        <v>3.6330768234615629</v>
      </c>
      <c r="U21" s="2">
        <f t="shared" ca="1" si="8"/>
        <v>14.005502230665988</v>
      </c>
      <c r="V21" s="2">
        <f ca="1">$H21+VLOOKUP(V$3, regressions!$A$67:$B$71, 2, FALSE)</f>
        <v>19.880120107763876</v>
      </c>
      <c r="W21" s="2">
        <f ca="1">$H21+VLOOKUP(W$3, regressions!$A$67:$B$71, 2, FALSE)</f>
        <v>22.645121764597434</v>
      </c>
    </row>
    <row r="22" spans="1:40">
      <c r="A22">
        <v>2023</v>
      </c>
      <c r="B22">
        <v>38.215279000000002</v>
      </c>
      <c r="C22" s="1">
        <f>B22/regressions!$B$10</f>
        <v>6.5888412068965527</v>
      </c>
      <c r="D22">
        <v>2.531568</v>
      </c>
      <c r="E22">
        <v>2.0494849999999998</v>
      </c>
      <c r="F22">
        <v>13.25</v>
      </c>
      <c r="G22" s="1">
        <f ca="1">B22*INDEX(regressions!$C$53:$AU$53, MATCH(B$3, regressions!$C$51:$AU$51, 0))</f>
        <v>38.215279000000002</v>
      </c>
      <c r="H22" s="1">
        <f ca="1">C22*INDEX(regressions!$C$53:$AU$53, MATCH(C$3, regressions!$C$51:$AU$51, 0))</f>
        <v>6.5888412068965527</v>
      </c>
      <c r="I22" s="1">
        <f ca="1">D22*INDEX(regressions!$C$53:$AU$53, MATCH(D$3, regressions!$C$51:$AU$51, 0))</f>
        <v>2.531568</v>
      </c>
      <c r="J22" s="1">
        <f ca="1">E22*INDEX(regressions!$C$53:$AU$53, MATCH(E$3, regressions!$C$51:$AU$51, 0))</f>
        <v>2.0494849999999998</v>
      </c>
      <c r="K22" s="1">
        <f ca="1">F22*INDEX(regressions!$C$53:$AU$53, MATCH(F$3, regressions!$C$51:$AU$51, 0))</f>
        <v>14.005502230665988</v>
      </c>
      <c r="L22" s="1"/>
      <c r="M22" s="1"/>
      <c r="N22">
        <f t="shared" si="0"/>
        <v>2023</v>
      </c>
      <c r="O22" s="2">
        <f t="shared" ca="1" si="6"/>
        <v>5.5461966907000004</v>
      </c>
      <c r="P22" s="2">
        <f t="shared" ca="1" si="7"/>
        <v>10.546389257600001</v>
      </c>
      <c r="Q22" s="2">
        <f ca="1">$H22+VLOOKUP(Q$3, regressions!$A$67:$B$71, 2, FALSE)</f>
        <v>7.3945402961516828</v>
      </c>
      <c r="R22" s="2">
        <f ca="1">$H22+VLOOKUP(R$3, regressions!$A$67:$B$71, 2, FALSE)</f>
        <v>11.212736295737034</v>
      </c>
      <c r="S22" s="2">
        <f ca="1">$H22+VLOOKUP(S$3, regressions!$A$67:$B$71, 2, FALSE)</f>
        <v>21.950350255409976</v>
      </c>
      <c r="T22" s="2">
        <f ca="1">J22+regressions!$B$75</f>
        <v>3.6268538234615626</v>
      </c>
      <c r="U22" s="2">
        <f t="shared" ca="1" si="8"/>
        <v>14.005502230665988</v>
      </c>
      <c r="V22" s="2">
        <f ca="1">$H22+VLOOKUP(V$3, regressions!$A$67:$B$71, 2, FALSE)</f>
        <v>20.098683900867325</v>
      </c>
      <c r="W22" s="2">
        <f ca="1">$H22+VLOOKUP(W$3, regressions!$A$67:$B$71, 2, FALSE)</f>
        <v>22.863685557700883</v>
      </c>
    </row>
    <row r="23" spans="1:40">
      <c r="A23">
        <v>2024</v>
      </c>
      <c r="B23">
        <v>39.141005999999997</v>
      </c>
      <c r="C23" s="1">
        <f>B23/regressions!$B$10</f>
        <v>6.7484493103448271</v>
      </c>
      <c r="D23">
        <v>2.6437849999999998</v>
      </c>
      <c r="E23">
        <v>2.0272320000000001</v>
      </c>
      <c r="F23">
        <v>13.25</v>
      </c>
      <c r="G23" s="1">
        <f ca="1">B23*INDEX(regressions!$C$53:$AU$53, MATCH(B$3, regressions!$C$51:$AU$51, 0))</f>
        <v>39.141005999999997</v>
      </c>
      <c r="H23" s="1">
        <f ca="1">C23*INDEX(regressions!$C$53:$AU$53, MATCH(C$3, regressions!$C$51:$AU$51, 0))</f>
        <v>6.7484493103448271</v>
      </c>
      <c r="I23" s="1">
        <f ca="1">D23*INDEX(regressions!$C$53:$AU$53, MATCH(D$3, regressions!$C$51:$AU$51, 0))</f>
        <v>2.6437849999999998</v>
      </c>
      <c r="J23" s="1">
        <f ca="1">E23*INDEX(regressions!$C$53:$AU$53, MATCH(E$3, regressions!$C$51:$AU$51, 0))</f>
        <v>2.0272320000000001</v>
      </c>
      <c r="K23" s="1">
        <f ca="1">F23*INDEX(regressions!$C$53:$AU$53, MATCH(F$3, regressions!$C$51:$AU$51, 0))</f>
        <v>14.005502230665988</v>
      </c>
      <c r="L23" s="1"/>
      <c r="M23" s="1"/>
      <c r="N23">
        <f t="shared" si="0"/>
        <v>2024</v>
      </c>
      <c r="O23" s="2">
        <f t="shared" ca="1" si="6"/>
        <v>5.6695960997999997</v>
      </c>
      <c r="P23" s="2">
        <f t="shared" ca="1" si="7"/>
        <v>10.721245787000001</v>
      </c>
      <c r="Q23" s="2">
        <f ca="1">$H23+VLOOKUP(Q$3, regressions!$A$67:$B$71, 2, FALSE)</f>
        <v>7.5541483995999572</v>
      </c>
      <c r="R23" s="2">
        <f ca="1">$H23+VLOOKUP(R$3, regressions!$A$67:$B$71, 2, FALSE)</f>
        <v>11.372344399185309</v>
      </c>
      <c r="S23" s="2">
        <f ca="1">$H23+VLOOKUP(S$3, regressions!$A$67:$B$71, 2, FALSE)</f>
        <v>22.10995835885825</v>
      </c>
      <c r="T23" s="2">
        <f ca="1">J23+regressions!$B$75</f>
        <v>3.604600823461563</v>
      </c>
      <c r="U23" s="2">
        <f t="shared" ca="1" si="8"/>
        <v>14.005502230665988</v>
      </c>
      <c r="V23" s="2">
        <f ca="1">$H23+VLOOKUP(V$3, regressions!$A$67:$B$71, 2, FALSE)</f>
        <v>20.258292004315599</v>
      </c>
      <c r="W23" s="2">
        <f ca="1">$H23+VLOOKUP(W$3, regressions!$A$67:$B$71, 2, FALSE)</f>
        <v>23.023293661149157</v>
      </c>
    </row>
    <row r="24" spans="1:40">
      <c r="A24">
        <v>2025</v>
      </c>
      <c r="B24">
        <v>39.874473999999999</v>
      </c>
      <c r="C24" s="1">
        <f>B24/regressions!$B$10</f>
        <v>6.8749093103448278</v>
      </c>
      <c r="D24">
        <v>2.848884</v>
      </c>
      <c r="E24">
        <v>2.023841</v>
      </c>
      <c r="F24">
        <v>13.25</v>
      </c>
      <c r="G24" s="1">
        <f ca="1">B24*INDEX(regressions!$C$53:$AU$53, MATCH(B$3, regressions!$C$51:$AU$51, 0))</f>
        <v>39.874473999999999</v>
      </c>
      <c r="H24" s="1">
        <f ca="1">C24*INDEX(regressions!$C$53:$AU$53, MATCH(C$3, regressions!$C$51:$AU$51, 0))</f>
        <v>6.8749093103448278</v>
      </c>
      <c r="I24" s="1">
        <f ca="1">D24*INDEX(regressions!$C$53:$AU$53, MATCH(D$3, regressions!$C$51:$AU$51, 0))</f>
        <v>2.848884</v>
      </c>
      <c r="J24" s="1">
        <f ca="1">E24*INDEX(regressions!$C$53:$AU$53, MATCH(E$3, regressions!$C$51:$AU$51, 0))</f>
        <v>2.023841</v>
      </c>
      <c r="K24" s="1">
        <f ca="1">F24*INDEX(regressions!$C$53:$AU$53, MATCH(F$3, regressions!$C$51:$AU$51, 0))</f>
        <v>14.005502230665988</v>
      </c>
      <c r="L24" s="1"/>
      <c r="M24" s="1"/>
      <c r="N24">
        <f t="shared" si="0"/>
        <v>2025</v>
      </c>
      <c r="O24" s="2">
        <f t="shared" ca="1" si="6"/>
        <v>5.7673673841999999</v>
      </c>
      <c r="P24" s="2">
        <f t="shared" ca="1" si="7"/>
        <v>11.040831048800001</v>
      </c>
      <c r="Q24" s="2">
        <f ca="1">$H24+VLOOKUP(Q$3, regressions!$A$67:$B$71, 2, FALSE)</f>
        <v>7.6806083995999579</v>
      </c>
      <c r="R24" s="2">
        <f ca="1">$H24+VLOOKUP(R$3, regressions!$A$67:$B$71, 2, FALSE)</f>
        <v>11.49880439918531</v>
      </c>
      <c r="S24" s="2">
        <f ca="1">$H24+VLOOKUP(S$3, regressions!$A$67:$B$71, 2, FALSE)</f>
        <v>22.236418358858252</v>
      </c>
      <c r="T24" s="2">
        <f ca="1">J24+regressions!$B$75</f>
        <v>3.6012098234615628</v>
      </c>
      <c r="U24" s="2">
        <f t="shared" ca="1" si="8"/>
        <v>14.005502230665988</v>
      </c>
      <c r="V24" s="2">
        <f ca="1">$H24+VLOOKUP(V$3, regressions!$A$67:$B$71, 2, FALSE)</f>
        <v>20.384752004315601</v>
      </c>
      <c r="W24" s="2">
        <f ca="1">$H24+VLOOKUP(W$3, regressions!$A$67:$B$71, 2, FALSE)</f>
        <v>23.149753661149155</v>
      </c>
    </row>
    <row r="25" spans="1:40">
      <c r="A25">
        <v>2026</v>
      </c>
      <c r="B25">
        <v>40.483939999999997</v>
      </c>
      <c r="C25" s="1">
        <f>B25/regressions!$B$10</f>
        <v>6.9799896551724139</v>
      </c>
      <c r="D25">
        <v>3.0415999999999999</v>
      </c>
      <c r="E25">
        <v>2.0316519999999998</v>
      </c>
      <c r="F25">
        <v>13.25</v>
      </c>
      <c r="G25" s="1">
        <f ca="1">B25*INDEX(regressions!$C$53:$AU$53, MATCH(B$3, regressions!$C$51:$AU$51, 0))</f>
        <v>40.483939999999997</v>
      </c>
      <c r="H25" s="1">
        <f ca="1">C25*INDEX(regressions!$C$53:$AU$53, MATCH(C$3, regressions!$C$51:$AU$51, 0))</f>
        <v>6.9799896551724139</v>
      </c>
      <c r="I25" s="1">
        <f ca="1">D25*INDEX(regressions!$C$53:$AU$53, MATCH(D$3, regressions!$C$51:$AU$51, 0))</f>
        <v>3.0415999999999999</v>
      </c>
      <c r="J25" s="1">
        <f ca="1">E25*INDEX(regressions!$C$53:$AU$53, MATCH(E$3, regressions!$C$51:$AU$51, 0))</f>
        <v>2.0316519999999998</v>
      </c>
      <c r="K25" s="1">
        <f ca="1">F25*INDEX(regressions!$C$53:$AU$53, MATCH(F$3, regressions!$C$51:$AU$51, 0))</f>
        <v>14.005502230665988</v>
      </c>
      <c r="L25" s="1"/>
      <c r="M25" s="1"/>
      <c r="N25">
        <f t="shared" si="0"/>
        <v>2026</v>
      </c>
      <c r="O25" s="2">
        <f t="shared" ca="1" si="6"/>
        <v>5.8486092019999996</v>
      </c>
      <c r="P25" s="2">
        <f t="shared" ca="1" si="7"/>
        <v>11.34112112</v>
      </c>
      <c r="Q25" s="2">
        <f ca="1">$H25+VLOOKUP(Q$3, regressions!$A$67:$B$71, 2, FALSE)</f>
        <v>7.785688744427544</v>
      </c>
      <c r="R25" s="2">
        <f ca="1">$H25+VLOOKUP(R$3, regressions!$A$67:$B$71, 2, FALSE)</f>
        <v>11.603884744012896</v>
      </c>
      <c r="S25" s="2">
        <f ca="1">$H25+VLOOKUP(S$3, regressions!$A$67:$B$71, 2, FALSE)</f>
        <v>22.341498703685836</v>
      </c>
      <c r="T25" s="2">
        <f ca="1">J25+regressions!$B$75</f>
        <v>3.6090208234615626</v>
      </c>
      <c r="U25" s="2">
        <f t="shared" ca="1" si="8"/>
        <v>14.005502230665988</v>
      </c>
      <c r="V25" s="2">
        <f ca="1">$H25+VLOOKUP(V$3, regressions!$A$67:$B$71, 2, FALSE)</f>
        <v>20.489832349143185</v>
      </c>
      <c r="W25" s="2">
        <f ca="1">$H25+VLOOKUP(W$3, regressions!$A$67:$B$71, 2, FALSE)</f>
        <v>23.254834005976743</v>
      </c>
    </row>
    <row r="26" spans="1:40">
      <c r="A26">
        <v>2027</v>
      </c>
      <c r="B26">
        <v>41.006500000000003</v>
      </c>
      <c r="C26" s="1">
        <f>B26/regressions!$B$10</f>
        <v>7.0700862068965522</v>
      </c>
      <c r="D26">
        <v>3.162331</v>
      </c>
      <c r="E26">
        <v>2.0358550000000002</v>
      </c>
      <c r="F26">
        <v>13.25</v>
      </c>
      <c r="G26" s="1">
        <f ca="1">B26*INDEX(regressions!$C$53:$AU$53, MATCH(B$3, regressions!$C$51:$AU$51, 0))</f>
        <v>41.006500000000003</v>
      </c>
      <c r="H26" s="1">
        <f ca="1">C26*INDEX(regressions!$C$53:$AU$53, MATCH(C$3, regressions!$C$51:$AU$51, 0))</f>
        <v>7.0700862068965522</v>
      </c>
      <c r="I26" s="1">
        <f ca="1">D26*INDEX(regressions!$C$53:$AU$53, MATCH(D$3, regressions!$C$51:$AU$51, 0))</f>
        <v>3.162331</v>
      </c>
      <c r="J26" s="1">
        <f ca="1">E26*INDEX(regressions!$C$53:$AU$53, MATCH(E$3, regressions!$C$51:$AU$51, 0))</f>
        <v>2.0358550000000002</v>
      </c>
      <c r="K26" s="1">
        <f ca="1">F26*INDEX(regressions!$C$53:$AU$53, MATCH(F$3, regressions!$C$51:$AU$51, 0))</f>
        <v>14.005502230665988</v>
      </c>
      <c r="L26" s="1"/>
      <c r="M26" s="1"/>
      <c r="N26">
        <f t="shared" si="0"/>
        <v>2027</v>
      </c>
      <c r="O26" s="2">
        <f t="shared" ca="1" si="6"/>
        <v>5.91826645</v>
      </c>
      <c r="P26" s="2">
        <f t="shared" ca="1" si="7"/>
        <v>11.529244164200001</v>
      </c>
      <c r="Q26" s="2">
        <f ca="1">$H26+VLOOKUP(Q$3, regressions!$A$67:$B$71, 2, FALSE)</f>
        <v>7.8757852961516823</v>
      </c>
      <c r="R26" s="2">
        <f ca="1">$H26+VLOOKUP(R$3, regressions!$A$67:$B$71, 2, FALSE)</f>
        <v>11.693981295737036</v>
      </c>
      <c r="S26" s="2">
        <f ca="1">$H26+VLOOKUP(S$3, regressions!$A$67:$B$71, 2, FALSE)</f>
        <v>22.431595255409974</v>
      </c>
      <c r="T26" s="2">
        <f ca="1">J26+regressions!$B$75</f>
        <v>3.613223823461563</v>
      </c>
      <c r="U26" s="2">
        <f t="shared" ca="1" si="8"/>
        <v>14.005502230665988</v>
      </c>
      <c r="V26" s="2">
        <f ca="1">$H26+VLOOKUP(V$3, regressions!$A$67:$B$71, 2, FALSE)</f>
        <v>20.579928900867326</v>
      </c>
      <c r="W26" s="2">
        <f ca="1">$H26+VLOOKUP(W$3, regressions!$A$67:$B$71, 2, FALSE)</f>
        <v>23.344930557700881</v>
      </c>
    </row>
    <row r="27" spans="1:40">
      <c r="A27">
        <v>2028</v>
      </c>
      <c r="B27">
        <v>41.464615000000002</v>
      </c>
      <c r="C27" s="1">
        <f>B27/regressions!$B$10</f>
        <v>7.1490715517241386</v>
      </c>
      <c r="D27">
        <v>3.2422</v>
      </c>
      <c r="E27">
        <v>2.031908</v>
      </c>
      <c r="F27">
        <v>13.25</v>
      </c>
      <c r="G27" s="1">
        <f ca="1">B27*INDEX(regressions!$C$53:$AU$53, MATCH(B$3, regressions!$C$51:$AU$51, 0))</f>
        <v>41.464615000000002</v>
      </c>
      <c r="H27" s="1">
        <f ca="1">C27*INDEX(regressions!$C$53:$AU$53, MATCH(C$3, regressions!$C$51:$AU$51, 0))</f>
        <v>7.1490715517241386</v>
      </c>
      <c r="I27" s="1">
        <f ca="1">D27*INDEX(regressions!$C$53:$AU$53, MATCH(D$3, regressions!$C$51:$AU$51, 0))</f>
        <v>3.2422</v>
      </c>
      <c r="J27" s="1">
        <f ca="1">E27*INDEX(regressions!$C$53:$AU$53, MATCH(E$3, regressions!$C$51:$AU$51, 0))</f>
        <v>2.031908</v>
      </c>
      <c r="K27" s="1">
        <f ca="1">F27*INDEX(regressions!$C$53:$AU$53, MATCH(F$3, regressions!$C$51:$AU$51, 0))</f>
        <v>14.005502230665988</v>
      </c>
      <c r="L27" s="1"/>
      <c r="M27" s="1"/>
      <c r="N27">
        <f t="shared" si="0"/>
        <v>2028</v>
      </c>
      <c r="O27" s="2">
        <f t="shared" ca="1" si="6"/>
        <v>5.9793331795000002</v>
      </c>
      <c r="P27" s="2">
        <f t="shared" ca="1" si="7"/>
        <v>11.65369604</v>
      </c>
      <c r="Q27" s="2">
        <f ca="1">$H27+VLOOKUP(Q$3, regressions!$A$67:$B$71, 2, FALSE)</f>
        <v>7.9547706409792687</v>
      </c>
      <c r="R27" s="2">
        <f ca="1">$H27+VLOOKUP(R$3, regressions!$A$67:$B$71, 2, FALSE)</f>
        <v>11.772966640564622</v>
      </c>
      <c r="S27" s="2">
        <f ca="1">$H27+VLOOKUP(S$3, regressions!$A$67:$B$71, 2, FALSE)</f>
        <v>22.51058060023756</v>
      </c>
      <c r="T27" s="2">
        <f ca="1">J27+regressions!$B$75</f>
        <v>3.6092768234615629</v>
      </c>
      <c r="U27" s="2">
        <f t="shared" ca="1" si="8"/>
        <v>14.005502230665988</v>
      </c>
      <c r="V27" s="2">
        <f ca="1">$H27+VLOOKUP(V$3, regressions!$A$67:$B$71, 2, FALSE)</f>
        <v>20.658914245694913</v>
      </c>
      <c r="W27" s="2">
        <f ca="1">$H27+VLOOKUP(W$3, regressions!$A$67:$B$71, 2, FALSE)</f>
        <v>23.423915902528467</v>
      </c>
    </row>
    <row r="28" spans="1:40">
      <c r="A28">
        <v>2029</v>
      </c>
      <c r="B28">
        <v>41.872948000000001</v>
      </c>
      <c r="C28" s="1">
        <f>B28/regressions!$B$10</f>
        <v>7.2194737931034485</v>
      </c>
      <c r="D28">
        <v>3.250543</v>
      </c>
      <c r="E28">
        <v>2.0308820000000001</v>
      </c>
      <c r="F28">
        <v>13.25</v>
      </c>
      <c r="G28" s="1">
        <f ca="1">B28*INDEX(regressions!$C$53:$AU$53, MATCH(B$3, regressions!$C$51:$AU$51, 0))</f>
        <v>41.872948000000001</v>
      </c>
      <c r="H28" s="1">
        <f ca="1">C28*INDEX(regressions!$C$53:$AU$53, MATCH(C$3, regressions!$C$51:$AU$51, 0))</f>
        <v>7.2194737931034485</v>
      </c>
      <c r="I28" s="1">
        <f ca="1">D28*INDEX(regressions!$C$53:$AU$53, MATCH(D$3, regressions!$C$51:$AU$51, 0))</f>
        <v>3.250543</v>
      </c>
      <c r="J28" s="1">
        <f ca="1">E28*INDEX(regressions!$C$53:$AU$53, MATCH(E$3, regressions!$C$51:$AU$51, 0))</f>
        <v>2.0308820000000001</v>
      </c>
      <c r="K28" s="1">
        <f ca="1">F28*INDEX(regressions!$C$53:$AU$53, MATCH(F$3, regressions!$C$51:$AU$51, 0))</f>
        <v>14.005502230665988</v>
      </c>
      <c r="L28" s="1"/>
      <c r="M28" s="1"/>
      <c r="N28">
        <f t="shared" si="0"/>
        <v>2029</v>
      </c>
      <c r="O28" s="2">
        <f t="shared" ca="1" si="6"/>
        <v>6.0337639683999997</v>
      </c>
      <c r="P28" s="2">
        <f t="shared" ca="1" si="7"/>
        <v>11.6666961026</v>
      </c>
      <c r="Q28" s="2">
        <f ca="1">$H28+VLOOKUP(Q$3, regressions!$A$67:$B$71, 2, FALSE)</f>
        <v>8.0251728823585786</v>
      </c>
      <c r="R28" s="2">
        <f ca="1">$H28+VLOOKUP(R$3, regressions!$A$67:$B$71, 2, FALSE)</f>
        <v>11.843368881943931</v>
      </c>
      <c r="S28" s="2">
        <f ca="1">$H28+VLOOKUP(S$3, regressions!$A$67:$B$71, 2, FALSE)</f>
        <v>22.580982841616873</v>
      </c>
      <c r="T28" s="2">
        <f ca="1">J28+regressions!$B$75</f>
        <v>3.6082508234615629</v>
      </c>
      <c r="U28" s="2">
        <f t="shared" ca="1" si="8"/>
        <v>14.005502230665988</v>
      </c>
      <c r="V28" s="2">
        <f ca="1">$H28+VLOOKUP(V$3, regressions!$A$67:$B$71, 2, FALSE)</f>
        <v>20.729316487074222</v>
      </c>
      <c r="W28" s="2">
        <f ca="1">$H28+VLOOKUP(W$3, regressions!$A$67:$B$71, 2, FALSE)</f>
        <v>23.494318143907776</v>
      </c>
    </row>
    <row r="29" spans="1:40">
      <c r="A29">
        <v>2030</v>
      </c>
      <c r="B29">
        <v>42.241627000000001</v>
      </c>
      <c r="C29" s="1">
        <f>B29/regressions!$B$10</f>
        <v>7.2830391379310351</v>
      </c>
      <c r="D29">
        <v>3.2079789999999999</v>
      </c>
      <c r="E29">
        <v>2.0282849999999999</v>
      </c>
      <c r="F29">
        <v>13.25</v>
      </c>
      <c r="G29" s="1">
        <f ca="1">B29*INDEX(regressions!$C$53:$AU$53, MATCH(B$3, regressions!$C$51:$AU$51, 0))</f>
        <v>42.241627000000001</v>
      </c>
      <c r="H29" s="1">
        <f ca="1">C29*INDEX(regressions!$C$53:$AU$53, MATCH(C$3, regressions!$C$51:$AU$51, 0))</f>
        <v>7.2830391379310351</v>
      </c>
      <c r="I29" s="1">
        <f ca="1">D29*INDEX(regressions!$C$53:$AU$53, MATCH(D$3, regressions!$C$51:$AU$51, 0))</f>
        <v>3.2079789999999999</v>
      </c>
      <c r="J29" s="1">
        <f ca="1">E29*INDEX(regressions!$C$53:$AU$53, MATCH(E$3, regressions!$C$51:$AU$51, 0))</f>
        <v>2.0282849999999999</v>
      </c>
      <c r="K29" s="1">
        <f ca="1">F29*INDEX(regressions!$C$53:$AU$53, MATCH(F$3, regressions!$C$51:$AU$51, 0))</f>
        <v>14.005502230665988</v>
      </c>
      <c r="L29" s="1"/>
      <c r="M29" s="1"/>
      <c r="N29">
        <f t="shared" si="0"/>
        <v>2030</v>
      </c>
      <c r="O29" s="2">
        <f t="shared" ca="1" si="6"/>
        <v>6.0829088790999997</v>
      </c>
      <c r="P29" s="2">
        <f t="shared" ca="1" si="7"/>
        <v>11.6003728778</v>
      </c>
      <c r="Q29" s="2">
        <f ca="1">$H29+VLOOKUP(Q$3, regressions!$A$67:$B$71, 2, FALSE)</f>
        <v>8.0887382271861661</v>
      </c>
      <c r="R29" s="2">
        <f ca="1">$H29+VLOOKUP(R$3, regressions!$A$67:$B$71, 2, FALSE)</f>
        <v>11.906934226771519</v>
      </c>
      <c r="S29" s="2">
        <f ca="1">$H29+VLOOKUP(S$3, regressions!$A$67:$B$71, 2, FALSE)</f>
        <v>22.644548186444457</v>
      </c>
      <c r="T29" s="2">
        <f ca="1">J29+regressions!$B$75</f>
        <v>3.6056538234615627</v>
      </c>
      <c r="U29" s="2">
        <f t="shared" ca="1" si="8"/>
        <v>14.005502230665988</v>
      </c>
      <c r="V29" s="2">
        <f ca="1">$H29+VLOOKUP(V$3, regressions!$A$67:$B$71, 2, FALSE)</f>
        <v>20.792881831901809</v>
      </c>
      <c r="W29" s="2">
        <f ca="1">$H29+VLOOKUP(W$3, regressions!$A$67:$B$71, 2, FALSE)</f>
        <v>23.557883488735364</v>
      </c>
    </row>
    <row r="30" spans="1:40">
      <c r="A30">
        <v>2031</v>
      </c>
      <c r="B30">
        <v>42.577922999999998</v>
      </c>
      <c r="C30" s="1">
        <f>B30/regressions!$B$10</f>
        <v>7.3410212068965519</v>
      </c>
      <c r="D30">
        <v>3.194296</v>
      </c>
      <c r="E30">
        <v>2.0265249999999999</v>
      </c>
      <c r="F30">
        <v>13.25</v>
      </c>
      <c r="G30" s="1">
        <f ca="1">B30*INDEX(regressions!$C$53:$AU$53, MATCH(B$3, regressions!$C$51:$AU$51, 0))</f>
        <v>42.577922999999998</v>
      </c>
      <c r="H30" s="1">
        <f ca="1">C30*INDEX(regressions!$C$53:$AU$53, MATCH(C$3, regressions!$C$51:$AU$51, 0))</f>
        <v>7.3410212068965519</v>
      </c>
      <c r="I30" s="1">
        <f ca="1">D30*INDEX(regressions!$C$53:$AU$53, MATCH(D$3, regressions!$C$51:$AU$51, 0))</f>
        <v>3.194296</v>
      </c>
      <c r="J30" s="1">
        <f ca="1">E30*INDEX(regressions!$C$53:$AU$53, MATCH(E$3, regressions!$C$51:$AU$51, 0))</f>
        <v>2.0265249999999999</v>
      </c>
      <c r="K30" s="1">
        <f ca="1">F30*INDEX(regressions!$C$53:$AU$53, MATCH(F$3, regressions!$C$51:$AU$51, 0))</f>
        <v>14.005502230665988</v>
      </c>
      <c r="L30" s="1"/>
      <c r="M30" s="1"/>
      <c r="N30">
        <f t="shared" si="0"/>
        <v>2031</v>
      </c>
      <c r="O30" s="2">
        <f t="shared" ca="1" si="6"/>
        <v>6.1277371358999995</v>
      </c>
      <c r="P30" s="2">
        <f t="shared" ca="1" si="7"/>
        <v>11.579052027199999</v>
      </c>
      <c r="Q30" s="2">
        <f ca="1">$H30+VLOOKUP(Q$3, regressions!$A$67:$B$71, 2, FALSE)</f>
        <v>8.1467202961516811</v>
      </c>
      <c r="R30" s="2">
        <f ca="1">$H30+VLOOKUP(R$3, regressions!$A$67:$B$71, 2, FALSE)</f>
        <v>11.964916295737034</v>
      </c>
      <c r="S30" s="2">
        <f ca="1">$H30+VLOOKUP(S$3, regressions!$A$67:$B$71, 2, FALSE)</f>
        <v>22.702530255409975</v>
      </c>
      <c r="T30" s="2">
        <f ca="1">J30+regressions!$B$75</f>
        <v>3.6038938234615627</v>
      </c>
      <c r="U30" s="2">
        <f t="shared" ca="1" si="8"/>
        <v>14.005502230665988</v>
      </c>
      <c r="V30" s="2">
        <f ca="1">$H30+VLOOKUP(V$3, regressions!$A$67:$B$71, 2, FALSE)</f>
        <v>20.850863900867324</v>
      </c>
      <c r="W30" s="2">
        <f ca="1">$H30+VLOOKUP(W$3, regressions!$A$67:$B$71, 2, FALSE)</f>
        <v>23.615865557700882</v>
      </c>
    </row>
    <row r="31" spans="1:40">
      <c r="A31">
        <v>2032</v>
      </c>
      <c r="B31">
        <v>42.887276</v>
      </c>
      <c r="C31" s="1">
        <f>B31/regressions!$B$10</f>
        <v>7.3943579310344827</v>
      </c>
      <c r="D31">
        <v>3.220539</v>
      </c>
      <c r="E31">
        <v>2.0252059999999998</v>
      </c>
      <c r="F31">
        <v>13.25</v>
      </c>
      <c r="G31" s="1">
        <f ca="1">B31*INDEX(regressions!$C$53:$AU$53, MATCH(B$3, regressions!$C$51:$AU$51, 0))</f>
        <v>42.887276</v>
      </c>
      <c r="H31" s="1">
        <f ca="1">C31*INDEX(regressions!$C$53:$AU$53, MATCH(C$3, regressions!$C$51:$AU$51, 0))</f>
        <v>7.3943579310344827</v>
      </c>
      <c r="I31" s="1">
        <f ca="1">D31*INDEX(regressions!$C$53:$AU$53, MATCH(D$3, regressions!$C$51:$AU$51, 0))</f>
        <v>3.220539</v>
      </c>
      <c r="J31" s="1">
        <f ca="1">E31*INDEX(regressions!$C$53:$AU$53, MATCH(E$3, regressions!$C$51:$AU$51, 0))</f>
        <v>2.0252059999999998</v>
      </c>
      <c r="K31" s="1">
        <f ca="1">F31*INDEX(regressions!$C$53:$AU$53, MATCH(F$3, regressions!$C$51:$AU$51, 0))</f>
        <v>14.005502230665988</v>
      </c>
      <c r="L31" s="1"/>
      <c r="M31" s="1"/>
      <c r="N31">
        <f t="shared" si="0"/>
        <v>2032</v>
      </c>
      <c r="O31" s="2">
        <f t="shared" ca="1" si="6"/>
        <v>6.1689738907999994</v>
      </c>
      <c r="P31" s="2">
        <f t="shared" ca="1" si="7"/>
        <v>11.6199438698</v>
      </c>
      <c r="Q31" s="2">
        <f ca="1">$H31+VLOOKUP(Q$3, regressions!$A$67:$B$71, 2, FALSE)</f>
        <v>8.2000570202896128</v>
      </c>
      <c r="R31" s="2">
        <f ca="1">$H31+VLOOKUP(R$3, regressions!$A$67:$B$71, 2, FALSE)</f>
        <v>12.018253019874965</v>
      </c>
      <c r="S31" s="2">
        <f ca="1">$H31+VLOOKUP(S$3, regressions!$A$67:$B$71, 2, FALSE)</f>
        <v>22.755866979547903</v>
      </c>
      <c r="T31" s="2">
        <f ca="1">J31+regressions!$B$75</f>
        <v>3.6025748234615627</v>
      </c>
      <c r="U31" s="2">
        <f t="shared" ca="1" si="8"/>
        <v>14.005502230665988</v>
      </c>
      <c r="V31" s="2">
        <f ca="1">$H31+VLOOKUP(V$3, regressions!$A$67:$B$71, 2, FALSE)</f>
        <v>20.904200625005256</v>
      </c>
      <c r="W31" s="2">
        <f ca="1">$H31+VLOOKUP(W$3, regressions!$A$67:$B$71, 2, FALSE)</f>
        <v>23.669202281838814</v>
      </c>
    </row>
    <row r="32" spans="1:40">
      <c r="A32">
        <v>2033</v>
      </c>
      <c r="B32">
        <v>43.173839999999998</v>
      </c>
      <c r="C32" s="1">
        <f>B32/regressions!$B$10</f>
        <v>7.4437655172413795</v>
      </c>
      <c r="D32">
        <v>3.262219</v>
      </c>
      <c r="E32">
        <v>2.0316200000000002</v>
      </c>
      <c r="F32">
        <v>13.25</v>
      </c>
      <c r="G32" s="1">
        <f ca="1">B32*INDEX(regressions!$C$53:$AU$53, MATCH(B$3, regressions!$C$51:$AU$51, 0))</f>
        <v>43.173839999999998</v>
      </c>
      <c r="H32" s="1">
        <f ca="1">C32*INDEX(regressions!$C$53:$AU$53, MATCH(C$3, regressions!$C$51:$AU$51, 0))</f>
        <v>7.4437655172413795</v>
      </c>
      <c r="I32" s="1">
        <f ca="1">D32*INDEX(regressions!$C$53:$AU$53, MATCH(D$3, regressions!$C$51:$AU$51, 0))</f>
        <v>3.262219</v>
      </c>
      <c r="J32" s="1">
        <f ca="1">E32*INDEX(regressions!$C$53:$AU$53, MATCH(E$3, regressions!$C$51:$AU$51, 0))</f>
        <v>2.0316200000000002</v>
      </c>
      <c r="K32" s="1">
        <f ca="1">F32*INDEX(regressions!$C$53:$AU$53, MATCH(F$3, regressions!$C$51:$AU$51, 0))</f>
        <v>14.005502230665988</v>
      </c>
      <c r="L32" s="1"/>
      <c r="M32" s="1"/>
      <c r="N32">
        <f t="shared" si="0"/>
        <v>2033</v>
      </c>
      <c r="O32" s="2">
        <f t="shared" ca="1" si="6"/>
        <v>6.2071728719999992</v>
      </c>
      <c r="P32" s="2">
        <f t="shared" ca="1" si="7"/>
        <v>11.6848896458</v>
      </c>
      <c r="Q32" s="2">
        <f ca="1">$H32+VLOOKUP(Q$3, regressions!$A$67:$B$71, 2, FALSE)</f>
        <v>8.2494646064965096</v>
      </c>
      <c r="R32" s="2">
        <f ca="1">$H32+VLOOKUP(R$3, regressions!$A$67:$B$71, 2, FALSE)</f>
        <v>12.067660606081862</v>
      </c>
      <c r="S32" s="2">
        <f ca="1">$H32+VLOOKUP(S$3, regressions!$A$67:$B$71, 2, FALSE)</f>
        <v>22.8052745657548</v>
      </c>
      <c r="T32" s="2">
        <f ca="1">J32+regressions!$B$75</f>
        <v>3.608988823461563</v>
      </c>
      <c r="U32" s="2">
        <f t="shared" ca="1" si="8"/>
        <v>14.005502230665988</v>
      </c>
      <c r="V32" s="2">
        <f ca="1">$H32+VLOOKUP(V$3, regressions!$A$67:$B$71, 2, FALSE)</f>
        <v>20.953608211212153</v>
      </c>
      <c r="W32" s="2">
        <f ca="1">$H32+VLOOKUP(W$3, regressions!$A$67:$B$71, 2, FALSE)</f>
        <v>23.718609868045711</v>
      </c>
    </row>
    <row r="33" spans="1:23">
      <c r="A33">
        <v>2034</v>
      </c>
      <c r="B33">
        <v>43.440860999999998</v>
      </c>
      <c r="C33" s="1">
        <f>B33/regressions!$B$10</f>
        <v>7.4898036206896554</v>
      </c>
      <c r="D33">
        <v>3.2987250000000001</v>
      </c>
      <c r="E33">
        <v>2.0335730000000001</v>
      </c>
      <c r="F33">
        <v>13.25</v>
      </c>
      <c r="G33" s="1">
        <f ca="1">B33*INDEX(regressions!$C$53:$AU$53, MATCH(B$3, regressions!$C$51:$AU$51, 0))</f>
        <v>43.440860999999998</v>
      </c>
      <c r="H33" s="1">
        <f ca="1">C33*INDEX(regressions!$C$53:$AU$53, MATCH(C$3, regressions!$C$51:$AU$51, 0))</f>
        <v>7.4898036206896554</v>
      </c>
      <c r="I33" s="1">
        <f ca="1">D33*INDEX(regressions!$C$53:$AU$53, MATCH(D$3, regressions!$C$51:$AU$51, 0))</f>
        <v>3.2987250000000001</v>
      </c>
      <c r="J33" s="1">
        <f ca="1">E33*INDEX(regressions!$C$53:$AU$53, MATCH(E$3, regressions!$C$51:$AU$51, 0))</f>
        <v>2.0335730000000001</v>
      </c>
      <c r="K33" s="1">
        <f ca="1">F33*INDEX(regressions!$C$53:$AU$53, MATCH(F$3, regressions!$C$51:$AU$51, 0))</f>
        <v>14.005502230665988</v>
      </c>
      <c r="L33" s="1"/>
      <c r="M33" s="1"/>
      <c r="N33">
        <f t="shared" si="0"/>
        <v>2034</v>
      </c>
      <c r="O33" s="2">
        <f t="shared" ca="1" si="6"/>
        <v>6.2427667712999995</v>
      </c>
      <c r="P33" s="2">
        <f t="shared" ca="1" si="7"/>
        <v>11.741773295000002</v>
      </c>
      <c r="Q33" s="2">
        <f ca="1">$H33+VLOOKUP(Q$3, regressions!$A$67:$B$71, 2, FALSE)</f>
        <v>8.2955027099447847</v>
      </c>
      <c r="R33" s="2">
        <f ca="1">$H33+VLOOKUP(R$3, regressions!$A$67:$B$71, 2, FALSE)</f>
        <v>12.113698709530137</v>
      </c>
      <c r="S33" s="2">
        <f ca="1">$H33+VLOOKUP(S$3, regressions!$A$67:$B$71, 2, FALSE)</f>
        <v>22.851312669203079</v>
      </c>
      <c r="T33" s="2">
        <f ca="1">J33+regressions!$B$75</f>
        <v>3.6109418234615629</v>
      </c>
      <c r="U33" s="2">
        <f t="shared" ca="1" si="8"/>
        <v>14.005502230665988</v>
      </c>
      <c r="V33" s="2">
        <f ca="1">$H33+VLOOKUP(V$3, regressions!$A$67:$B$71, 2, FALSE)</f>
        <v>20.999646314660428</v>
      </c>
      <c r="W33" s="2">
        <f ca="1">$H33+VLOOKUP(W$3, regressions!$A$67:$B$71, 2, FALSE)</f>
        <v>23.764647971493986</v>
      </c>
    </row>
    <row r="34" spans="1:23">
      <c r="A34">
        <v>2035</v>
      </c>
      <c r="B34">
        <v>43.690936999999998</v>
      </c>
      <c r="C34" s="1">
        <f>B34/regressions!$B$10</f>
        <v>7.5329201724137933</v>
      </c>
      <c r="D34">
        <v>3.2812160000000001</v>
      </c>
      <c r="E34">
        <v>2.0320369999999999</v>
      </c>
      <c r="F34">
        <v>13.25</v>
      </c>
      <c r="G34" s="1">
        <f ca="1">B34*INDEX(regressions!$C$53:$AU$53, MATCH(B$3, regressions!$C$51:$AU$51, 0))</f>
        <v>43.690936999999998</v>
      </c>
      <c r="H34" s="1">
        <f ca="1">C34*INDEX(regressions!$C$53:$AU$53, MATCH(C$3, regressions!$C$51:$AU$51, 0))</f>
        <v>7.5329201724137933</v>
      </c>
      <c r="I34" s="1">
        <f ca="1">D34*INDEX(regressions!$C$53:$AU$53, MATCH(D$3, regressions!$C$51:$AU$51, 0))</f>
        <v>3.2812160000000001</v>
      </c>
      <c r="J34" s="1">
        <f ca="1">E34*INDEX(regressions!$C$53:$AU$53, MATCH(E$3, regressions!$C$51:$AU$51, 0))</f>
        <v>2.0320369999999999</v>
      </c>
      <c r="K34" s="1">
        <f ca="1">F34*INDEX(regressions!$C$53:$AU$53, MATCH(F$3, regressions!$C$51:$AU$51, 0))</f>
        <v>14.005502230665988</v>
      </c>
      <c r="L34" s="1"/>
      <c r="M34" s="1"/>
      <c r="N34">
        <f t="shared" si="0"/>
        <v>2035</v>
      </c>
      <c r="O34" s="2">
        <f t="shared" ca="1" si="6"/>
        <v>6.2761019020999997</v>
      </c>
      <c r="P34" s="2">
        <f t="shared" ca="1" si="7"/>
        <v>11.714490771200001</v>
      </c>
      <c r="Q34" s="2">
        <f ca="1">$H34+VLOOKUP(Q$3, regressions!$A$67:$B$71, 2, FALSE)</f>
        <v>8.3386192616689243</v>
      </c>
      <c r="R34" s="2">
        <f ca="1">$H34+VLOOKUP(R$3, regressions!$A$67:$B$71, 2, FALSE)</f>
        <v>12.156815261254277</v>
      </c>
      <c r="S34" s="2">
        <f ca="1">$H34+VLOOKUP(S$3, regressions!$A$67:$B$71, 2, FALSE)</f>
        <v>22.894429220927215</v>
      </c>
      <c r="T34" s="2">
        <f ca="1">J34+regressions!$B$75</f>
        <v>3.6094058234615627</v>
      </c>
      <c r="U34" s="2">
        <f t="shared" ca="1" si="8"/>
        <v>14.005502230665988</v>
      </c>
      <c r="V34" s="2">
        <f ca="1">$H34+VLOOKUP(V$3, regressions!$A$67:$B$71, 2, FALSE)</f>
        <v>21.042762866384567</v>
      </c>
      <c r="W34" s="2">
        <f ca="1">$H34+VLOOKUP(W$3, regressions!$A$67:$B$71, 2, FALSE)</f>
        <v>23.807764523218122</v>
      </c>
    </row>
    <row r="35" spans="1:23">
      <c r="A35">
        <v>2036</v>
      </c>
      <c r="B35">
        <v>43.926174000000003</v>
      </c>
      <c r="C35" s="1">
        <f>B35/regressions!$B$10</f>
        <v>7.5734782758620698</v>
      </c>
      <c r="D35">
        <v>3.2961610000000001</v>
      </c>
      <c r="E35">
        <v>2.0334850000000002</v>
      </c>
      <c r="F35">
        <v>13.25</v>
      </c>
      <c r="G35" s="1">
        <f ca="1">B35*INDEX(regressions!$C$53:$AU$53, MATCH(B$3, regressions!$C$51:$AU$51, 0))</f>
        <v>43.926174000000003</v>
      </c>
      <c r="H35" s="1">
        <f ca="1">C35*INDEX(regressions!$C$53:$AU$53, MATCH(C$3, regressions!$C$51:$AU$51, 0))</f>
        <v>7.5734782758620698</v>
      </c>
      <c r="I35" s="1">
        <f ca="1">D35*INDEX(regressions!$C$53:$AU$53, MATCH(D$3, regressions!$C$51:$AU$51, 0))</f>
        <v>3.2961610000000001</v>
      </c>
      <c r="J35" s="1">
        <f ca="1">E35*INDEX(regressions!$C$53:$AU$53, MATCH(E$3, regressions!$C$51:$AU$51, 0))</f>
        <v>2.0334850000000002</v>
      </c>
      <c r="K35" s="1">
        <f ca="1">F35*INDEX(regressions!$C$53:$AU$53, MATCH(F$3, regressions!$C$51:$AU$51, 0))</f>
        <v>14.005502230665988</v>
      </c>
      <c r="L35" s="1"/>
      <c r="M35" s="1"/>
      <c r="N35">
        <f t="shared" si="0"/>
        <v>2036</v>
      </c>
      <c r="O35" s="2">
        <f t="shared" ca="1" si="6"/>
        <v>6.3074589942000001</v>
      </c>
      <c r="P35" s="2">
        <f t="shared" ca="1" si="7"/>
        <v>11.737778070200001</v>
      </c>
      <c r="Q35" s="2">
        <f ca="1">$H35+VLOOKUP(Q$3, regressions!$A$67:$B$71, 2, FALSE)</f>
        <v>8.3791773651172008</v>
      </c>
      <c r="R35" s="2">
        <f ca="1">$H35+VLOOKUP(R$3, regressions!$A$67:$B$71, 2, FALSE)</f>
        <v>12.197373364702553</v>
      </c>
      <c r="S35" s="2">
        <f ca="1">$H35+VLOOKUP(S$3, regressions!$A$67:$B$71, 2, FALSE)</f>
        <v>22.934987324375491</v>
      </c>
      <c r="T35" s="2">
        <f ca="1">J35+regressions!$B$75</f>
        <v>3.610853823461563</v>
      </c>
      <c r="U35" s="2">
        <f t="shared" ca="1" si="8"/>
        <v>14.005502230665988</v>
      </c>
      <c r="V35" s="2">
        <f ca="1">$H35+VLOOKUP(V$3, regressions!$A$67:$B$71, 2, FALSE)</f>
        <v>21.083320969832844</v>
      </c>
      <c r="W35" s="2">
        <f ca="1">$H35+VLOOKUP(W$3, regressions!$A$67:$B$71, 2, FALSE)</f>
        <v>23.848322626666398</v>
      </c>
    </row>
    <row r="36" spans="1:23">
      <c r="A36">
        <v>2037</v>
      </c>
      <c r="B36">
        <v>44.148296000000002</v>
      </c>
      <c r="C36" s="1">
        <f>B36/regressions!$B$10</f>
        <v>7.6117751724137941</v>
      </c>
      <c r="D36">
        <v>3.3369900000000001</v>
      </c>
      <c r="E36">
        <v>2.042195</v>
      </c>
      <c r="F36">
        <v>13.25</v>
      </c>
      <c r="G36" s="1">
        <f ca="1">B36*INDEX(regressions!$C$53:$AU$53, MATCH(B$3, regressions!$C$51:$AU$51, 0))</f>
        <v>44.148296000000002</v>
      </c>
      <c r="H36" s="1">
        <f ca="1">C36*INDEX(regressions!$C$53:$AU$53, MATCH(C$3, regressions!$C$51:$AU$51, 0))</f>
        <v>7.6117751724137941</v>
      </c>
      <c r="I36" s="1">
        <f ca="1">D36*INDEX(regressions!$C$53:$AU$53, MATCH(D$3, regressions!$C$51:$AU$51, 0))</f>
        <v>3.3369900000000001</v>
      </c>
      <c r="J36" s="1">
        <f ca="1">E36*INDEX(regressions!$C$53:$AU$53, MATCH(E$3, regressions!$C$51:$AU$51, 0))</f>
        <v>2.042195</v>
      </c>
      <c r="K36" s="1">
        <f ca="1">F36*INDEX(regressions!$C$53:$AU$53, MATCH(F$3, regressions!$C$51:$AU$51, 0))</f>
        <v>14.005502230665988</v>
      </c>
      <c r="L36" s="1"/>
      <c r="M36" s="1"/>
      <c r="N36">
        <f t="shared" si="0"/>
        <v>2037</v>
      </c>
      <c r="O36" s="2">
        <f t="shared" ca="1" si="6"/>
        <v>6.3370678568000001</v>
      </c>
      <c r="P36" s="2">
        <f t="shared" ca="1" si="7"/>
        <v>11.801397818000002</v>
      </c>
      <c r="Q36" s="2">
        <f ca="1">$H36+VLOOKUP(Q$3, regressions!$A$67:$B$71, 2, FALSE)</f>
        <v>8.4174742616689251</v>
      </c>
      <c r="R36" s="2">
        <f ca="1">$H36+VLOOKUP(R$3, regressions!$A$67:$B$71, 2, FALSE)</f>
        <v>12.235670261254278</v>
      </c>
      <c r="S36" s="2">
        <f ca="1">$H36+VLOOKUP(S$3, regressions!$A$67:$B$71, 2, FALSE)</f>
        <v>22.973284220927216</v>
      </c>
      <c r="T36" s="2">
        <f ca="1">J36+regressions!$B$75</f>
        <v>3.6195638234615628</v>
      </c>
      <c r="U36" s="2">
        <f t="shared" ca="1" si="8"/>
        <v>14.005502230665988</v>
      </c>
      <c r="V36" s="2">
        <f ca="1">$H36+VLOOKUP(V$3, regressions!$A$67:$B$71, 2, FALSE)</f>
        <v>21.121617866384568</v>
      </c>
      <c r="W36" s="2">
        <f ca="1">$H36+VLOOKUP(W$3, regressions!$A$67:$B$71, 2, FALSE)</f>
        <v>23.886619523218123</v>
      </c>
    </row>
    <row r="37" spans="1:23">
      <c r="A37">
        <v>2038</v>
      </c>
      <c r="B37">
        <v>44.358741999999999</v>
      </c>
      <c r="C37" s="1">
        <f>B37/regressions!$B$10</f>
        <v>7.648058965517242</v>
      </c>
      <c r="D37">
        <v>3.3883860000000001</v>
      </c>
      <c r="E37">
        <v>2.047946</v>
      </c>
      <c r="F37">
        <v>13.25</v>
      </c>
      <c r="G37" s="1">
        <f ca="1">B37*INDEX(regressions!$C$53:$AU$53, MATCH(B$3, regressions!$C$51:$AU$51, 0))</f>
        <v>44.358741999999999</v>
      </c>
      <c r="H37" s="1">
        <f ca="1">C37*INDEX(regressions!$C$53:$AU$53, MATCH(C$3, regressions!$C$51:$AU$51, 0))</f>
        <v>7.648058965517242</v>
      </c>
      <c r="I37" s="1">
        <f ca="1">D37*INDEX(regressions!$C$53:$AU$53, MATCH(D$3, regressions!$C$51:$AU$51, 0))</f>
        <v>3.3883860000000001</v>
      </c>
      <c r="J37" s="1">
        <f ca="1">E37*INDEX(regressions!$C$53:$AU$53, MATCH(E$3, regressions!$C$51:$AU$51, 0))</f>
        <v>2.047946</v>
      </c>
      <c r="K37" s="1">
        <f ca="1">F37*INDEX(regressions!$C$53:$AU$53, MATCH(F$3, regressions!$C$51:$AU$51, 0))</f>
        <v>14.005502230665988</v>
      </c>
      <c r="L37" s="1"/>
      <c r="M37" s="1"/>
      <c r="N37">
        <f t="shared" si="0"/>
        <v>2038</v>
      </c>
      <c r="O37" s="2">
        <f t="shared" ca="1" si="6"/>
        <v>6.3651203085999999</v>
      </c>
      <c r="P37" s="2">
        <f t="shared" ca="1" si="7"/>
        <v>11.881483065200001</v>
      </c>
      <c r="Q37" s="2">
        <f ca="1">$H37+VLOOKUP(Q$3, regressions!$A$67:$B$71, 2, FALSE)</f>
        <v>8.4537580547723721</v>
      </c>
      <c r="R37" s="2">
        <f ca="1">$H37+VLOOKUP(R$3, regressions!$A$67:$B$71, 2, FALSE)</f>
        <v>12.271954054357725</v>
      </c>
      <c r="S37" s="2">
        <f ca="1">$H37+VLOOKUP(S$3, regressions!$A$67:$B$71, 2, FALSE)</f>
        <v>23.009568014030663</v>
      </c>
      <c r="T37" s="2">
        <f ca="1">J37+regressions!$B$75</f>
        <v>3.6253148234615629</v>
      </c>
      <c r="U37" s="2">
        <f t="shared" ca="1" si="8"/>
        <v>14.005502230665988</v>
      </c>
      <c r="V37" s="2">
        <f ca="1">$H37+VLOOKUP(V$3, regressions!$A$67:$B$71, 2, FALSE)</f>
        <v>21.157901659488015</v>
      </c>
      <c r="W37" s="2">
        <f ca="1">$H37+VLOOKUP(W$3, regressions!$A$67:$B$71, 2, FALSE)</f>
        <v>23.922903316321573</v>
      </c>
    </row>
    <row r="38" spans="1:23">
      <c r="A38">
        <v>2039</v>
      </c>
      <c r="B38">
        <v>44.558739000000003</v>
      </c>
      <c r="C38" s="1">
        <f>B38/regressions!$B$10</f>
        <v>7.6825412068965528</v>
      </c>
      <c r="D38">
        <v>3.4548109999999999</v>
      </c>
      <c r="E38">
        <v>2.052657</v>
      </c>
      <c r="F38">
        <v>13.25</v>
      </c>
      <c r="G38" s="1">
        <f ca="1">B38*INDEX(regressions!$C$53:$AU$53, MATCH(B$3, regressions!$C$51:$AU$51, 0))</f>
        <v>44.558739000000003</v>
      </c>
      <c r="H38" s="1">
        <f ca="1">C38*INDEX(regressions!$C$53:$AU$53, MATCH(C$3, regressions!$C$51:$AU$51, 0))</f>
        <v>7.6825412068965528</v>
      </c>
      <c r="I38" s="1">
        <f ca="1">D38*INDEX(regressions!$C$53:$AU$53, MATCH(D$3, regressions!$C$51:$AU$51, 0))</f>
        <v>3.4548109999999999</v>
      </c>
      <c r="J38" s="1">
        <f ca="1">E38*INDEX(regressions!$C$53:$AU$53, MATCH(E$3, regressions!$C$51:$AU$51, 0))</f>
        <v>2.052657</v>
      </c>
      <c r="K38" s="1">
        <f ca="1">F38*INDEX(regressions!$C$53:$AU$53, MATCH(F$3, regressions!$C$51:$AU$51, 0))</f>
        <v>14.005502230665988</v>
      </c>
      <c r="L38" s="1"/>
      <c r="M38" s="1"/>
      <c r="N38">
        <f t="shared" si="0"/>
        <v>2039</v>
      </c>
      <c r="O38" s="2">
        <f t="shared" ca="1" si="6"/>
        <v>6.3917799087000002</v>
      </c>
      <c r="P38" s="2">
        <f t="shared" ca="1" si="7"/>
        <v>11.9849865002</v>
      </c>
      <c r="Q38" s="2">
        <f ca="1">$H38+VLOOKUP(Q$3, regressions!$A$67:$B$71, 2, FALSE)</f>
        <v>8.4882402961516839</v>
      </c>
      <c r="R38" s="2">
        <f ca="1">$H38+VLOOKUP(R$3, regressions!$A$67:$B$71, 2, FALSE)</f>
        <v>12.306436295737036</v>
      </c>
      <c r="S38" s="2">
        <f ca="1">$H38+VLOOKUP(S$3, regressions!$A$67:$B$71, 2, FALSE)</f>
        <v>23.044050255409974</v>
      </c>
      <c r="T38" s="2">
        <f ca="1">J38+regressions!$B$75</f>
        <v>3.6300258234615628</v>
      </c>
      <c r="U38" s="2">
        <f t="shared" ca="1" si="8"/>
        <v>14.005502230665988</v>
      </c>
      <c r="V38" s="2">
        <f ca="1">$H38+VLOOKUP(V$3, regressions!$A$67:$B$71, 2, FALSE)</f>
        <v>21.192383900867327</v>
      </c>
      <c r="W38" s="2">
        <f ca="1">$H38+VLOOKUP(W$3, regressions!$A$67:$B$71, 2, FALSE)</f>
        <v>23.957385557700881</v>
      </c>
    </row>
    <row r="39" spans="1:23">
      <c r="A39">
        <v>2040</v>
      </c>
      <c r="B39">
        <v>44.749305999999997</v>
      </c>
      <c r="C39" s="1">
        <f>B39/regressions!$B$10</f>
        <v>7.7153975862068966</v>
      </c>
      <c r="D39">
        <v>3.493614</v>
      </c>
      <c r="E39">
        <v>2.0524110000000002</v>
      </c>
      <c r="F39">
        <v>13.25</v>
      </c>
      <c r="G39" s="1">
        <f ca="1">B39*INDEX(regressions!$C$53:$AU$53, MATCH(B$3, regressions!$C$51:$AU$51, 0))</f>
        <v>44.749305999999997</v>
      </c>
      <c r="H39" s="1">
        <f ca="1">C39*INDEX(regressions!$C$53:$AU$53, MATCH(C$3, regressions!$C$51:$AU$51, 0))</f>
        <v>7.7153975862068966</v>
      </c>
      <c r="I39" s="1">
        <f ca="1">D39*INDEX(regressions!$C$53:$AU$53, MATCH(D$3, regressions!$C$51:$AU$51, 0))</f>
        <v>3.493614</v>
      </c>
      <c r="J39" s="1">
        <f ca="1">E39*INDEX(regressions!$C$53:$AU$53, MATCH(E$3, regressions!$C$51:$AU$51, 0))</f>
        <v>2.0524110000000002</v>
      </c>
      <c r="K39" s="1">
        <f ca="1">F39*INDEX(regressions!$C$53:$AU$53, MATCH(F$3, regressions!$C$51:$AU$51, 0))</f>
        <v>14.005502230665988</v>
      </c>
      <c r="L39" s="1"/>
      <c r="M39" s="1"/>
      <c r="N39">
        <f t="shared" si="0"/>
        <v>2040</v>
      </c>
      <c r="O39" s="2">
        <f t="shared" ca="1" si="6"/>
        <v>6.4171824897999992</v>
      </c>
      <c r="P39" s="2">
        <f t="shared" ca="1" si="7"/>
        <v>12.045449334800001</v>
      </c>
      <c r="Q39" s="2">
        <f ca="1">$H39+VLOOKUP(Q$3, regressions!$A$67:$B$71, 2, FALSE)</f>
        <v>8.5210966754620259</v>
      </c>
      <c r="R39" s="2">
        <f ca="1">$H39+VLOOKUP(R$3, regressions!$A$67:$B$71, 2, FALSE)</f>
        <v>12.339292675047378</v>
      </c>
      <c r="S39" s="2">
        <f ca="1">$H39+VLOOKUP(S$3, regressions!$A$67:$B$71, 2, FALSE)</f>
        <v>23.07690663472032</v>
      </c>
      <c r="T39" s="2">
        <f ca="1">J39+regressions!$B$75</f>
        <v>3.629779823461563</v>
      </c>
      <c r="U39" s="2">
        <f t="shared" ca="1" si="8"/>
        <v>14.005502230665988</v>
      </c>
      <c r="V39" s="2">
        <f ca="1">$H39+VLOOKUP(V$3, regressions!$A$67:$B$71, 2, FALSE)</f>
        <v>21.225240280177669</v>
      </c>
      <c r="W39" s="2">
        <f ca="1">$H39+VLOOKUP(W$3, regressions!$A$67:$B$71, 2, FALSE)</f>
        <v>23.990241937011227</v>
      </c>
    </row>
    <row r="40" spans="1:23">
      <c r="A40">
        <v>2041</v>
      </c>
      <c r="B40">
        <v>44.931323999999996</v>
      </c>
      <c r="C40" s="1">
        <f>B40/regressions!$B$10</f>
        <v>7.7467799999999993</v>
      </c>
      <c r="D40">
        <v>3.5074529999999999</v>
      </c>
      <c r="E40">
        <v>2.0549360000000001</v>
      </c>
      <c r="F40">
        <v>13.25</v>
      </c>
      <c r="G40" s="1">
        <f ca="1">B40*INDEX(regressions!$C$53:$AU$53, MATCH(B$3, regressions!$C$51:$AU$51, 0))</f>
        <v>44.931323999999996</v>
      </c>
      <c r="H40" s="1">
        <f ca="1">C40*INDEX(regressions!$C$53:$AU$53, MATCH(C$3, regressions!$C$51:$AU$51, 0))</f>
        <v>7.7467799999999993</v>
      </c>
      <c r="I40" s="1">
        <f ca="1">D40*INDEX(regressions!$C$53:$AU$53, MATCH(D$3, regressions!$C$51:$AU$51, 0))</f>
        <v>3.5074529999999999</v>
      </c>
      <c r="J40" s="1">
        <f ca="1">E40*INDEX(regressions!$C$53:$AU$53, MATCH(E$3, regressions!$C$51:$AU$51, 0))</f>
        <v>2.0549360000000001</v>
      </c>
      <c r="K40" s="1">
        <f ca="1">F40*INDEX(regressions!$C$53:$AU$53, MATCH(F$3, regressions!$C$51:$AU$51, 0))</f>
        <v>14.005502230665988</v>
      </c>
      <c r="L40" s="1"/>
      <c r="M40" s="1"/>
      <c r="N40">
        <f t="shared" si="0"/>
        <v>2041</v>
      </c>
      <c r="O40" s="2">
        <f t="shared" ca="1" si="6"/>
        <v>6.4414454891999995</v>
      </c>
      <c r="P40" s="2">
        <f t="shared" ca="1" si="7"/>
        <v>12.0670132646</v>
      </c>
      <c r="Q40" s="2">
        <f ca="1">$H40+VLOOKUP(Q$3, regressions!$A$67:$B$71, 2, FALSE)</f>
        <v>8.5524790892551295</v>
      </c>
      <c r="R40" s="2">
        <f ca="1">$H40+VLOOKUP(R$3, regressions!$A$67:$B$71, 2, FALSE)</f>
        <v>12.370675088840482</v>
      </c>
      <c r="S40" s="2">
        <f ca="1">$H40+VLOOKUP(S$3, regressions!$A$67:$B$71, 2, FALSE)</f>
        <v>23.10828904851342</v>
      </c>
      <c r="T40" s="2">
        <f ca="1">J40+regressions!$B$75</f>
        <v>3.6323048234615629</v>
      </c>
      <c r="U40" s="2">
        <f t="shared" ca="1" si="8"/>
        <v>14.005502230665988</v>
      </c>
      <c r="V40" s="2">
        <f ca="1">$H40+VLOOKUP(V$3, regressions!$A$67:$B$71, 2, FALSE)</f>
        <v>21.256622693970773</v>
      </c>
      <c r="W40" s="2">
        <f ca="1">$H40+VLOOKUP(W$3, regressions!$A$67:$B$71, 2, FALSE)</f>
        <v>24.021624350804331</v>
      </c>
    </row>
    <row r="41" spans="1:23">
      <c r="A41">
        <v>2042</v>
      </c>
      <c r="B41">
        <v>45.105572000000002</v>
      </c>
      <c r="C41" s="1">
        <f>B41/regressions!$B$10</f>
        <v>7.7768227586206899</v>
      </c>
      <c r="D41">
        <v>3.5456089999999998</v>
      </c>
      <c r="E41">
        <v>2.054262</v>
      </c>
      <c r="F41">
        <v>13.25</v>
      </c>
      <c r="G41" s="1">
        <f ca="1">B41*INDEX(regressions!$C$53:$AU$53, MATCH(B$3, regressions!$C$51:$AU$51, 0))</f>
        <v>45.105572000000002</v>
      </c>
      <c r="H41" s="1">
        <f ca="1">C41*INDEX(regressions!$C$53:$AU$53, MATCH(C$3, regressions!$C$51:$AU$51, 0))</f>
        <v>7.7768227586206899</v>
      </c>
      <c r="I41" s="1">
        <f ca="1">D41*INDEX(regressions!$C$53:$AU$53, MATCH(D$3, regressions!$C$51:$AU$51, 0))</f>
        <v>3.5456089999999998</v>
      </c>
      <c r="J41" s="1">
        <f ca="1">E41*INDEX(regressions!$C$53:$AU$53, MATCH(E$3, regressions!$C$51:$AU$51, 0))</f>
        <v>2.054262</v>
      </c>
      <c r="K41" s="1">
        <f ca="1">F41*INDEX(regressions!$C$53:$AU$53, MATCH(F$3, regressions!$C$51:$AU$51, 0))</f>
        <v>14.005502230665988</v>
      </c>
      <c r="L41" s="1"/>
      <c r="M41" s="1"/>
      <c r="N41">
        <f t="shared" si="0"/>
        <v>2042</v>
      </c>
      <c r="O41" s="2">
        <f t="shared" ca="1" si="6"/>
        <v>6.4646727475999999</v>
      </c>
      <c r="P41" s="2">
        <f t="shared" ca="1" si="7"/>
        <v>12.1264679438</v>
      </c>
      <c r="Q41" s="2">
        <f ca="1">$H41+VLOOKUP(Q$3, regressions!$A$67:$B$71, 2, FALSE)</f>
        <v>8.582521847875821</v>
      </c>
      <c r="R41" s="2">
        <f ca="1">$H41+VLOOKUP(R$3, regressions!$A$67:$B$71, 2, FALSE)</f>
        <v>12.400717847461173</v>
      </c>
      <c r="S41" s="2">
        <f ca="1">$H41+VLOOKUP(S$3, regressions!$A$67:$B$71, 2, FALSE)</f>
        <v>23.138331807134112</v>
      </c>
      <c r="T41" s="2">
        <f ca="1">J41+regressions!$B$75</f>
        <v>3.6316308234615629</v>
      </c>
      <c r="U41" s="2">
        <f t="shared" ca="1" si="8"/>
        <v>14.005502230665988</v>
      </c>
      <c r="V41" s="2">
        <f ca="1">$H41+VLOOKUP(V$3, regressions!$A$67:$B$71, 2, FALSE)</f>
        <v>21.286665452591464</v>
      </c>
      <c r="W41" s="2">
        <f ca="1">$H41+VLOOKUP(W$3, regressions!$A$67:$B$71, 2, FALSE)</f>
        <v>24.051667109425019</v>
      </c>
    </row>
    <row r="42" spans="1:23">
      <c r="A42">
        <v>2043</v>
      </c>
      <c r="B42">
        <v>45.272694000000001</v>
      </c>
      <c r="C42" s="1">
        <f>B42/regressions!$B$10</f>
        <v>7.8056368965517242</v>
      </c>
      <c r="D42">
        <v>3.5783510000000001</v>
      </c>
      <c r="E42">
        <v>2.0568219999999999</v>
      </c>
      <c r="F42">
        <v>13.25</v>
      </c>
      <c r="G42" s="1">
        <f ca="1">B42*INDEX(regressions!$C$53:$AU$53, MATCH(B$3, regressions!$C$51:$AU$51, 0))</f>
        <v>45.272694000000001</v>
      </c>
      <c r="H42" s="1">
        <f ca="1">C42*INDEX(regressions!$C$53:$AU$53, MATCH(C$3, regressions!$C$51:$AU$51, 0))</f>
        <v>7.8056368965517242</v>
      </c>
      <c r="I42" s="1">
        <f ca="1">D42*INDEX(regressions!$C$53:$AU$53, MATCH(D$3, regressions!$C$51:$AU$51, 0))</f>
        <v>3.5783510000000001</v>
      </c>
      <c r="J42" s="1">
        <f ca="1">E42*INDEX(regressions!$C$53:$AU$53, MATCH(E$3, regressions!$C$51:$AU$51, 0))</f>
        <v>2.0568219999999999</v>
      </c>
      <c r="K42" s="1">
        <f ca="1">F42*INDEX(regressions!$C$53:$AU$53, MATCH(F$3, regressions!$C$51:$AU$51, 0))</f>
        <v>14.005502230665988</v>
      </c>
      <c r="L42" s="1"/>
      <c r="M42" s="1"/>
      <c r="N42">
        <f t="shared" si="0"/>
        <v>2043</v>
      </c>
      <c r="O42" s="2">
        <f t="shared" ca="1" si="6"/>
        <v>6.4869501101999996</v>
      </c>
      <c r="P42" s="2">
        <f t="shared" ca="1" si="7"/>
        <v>12.177486528199999</v>
      </c>
      <c r="Q42" s="2">
        <f ca="1">$H42+VLOOKUP(Q$3, regressions!$A$67:$B$71, 2, FALSE)</f>
        <v>8.6113359858068534</v>
      </c>
      <c r="R42" s="2">
        <f ca="1">$H42+VLOOKUP(R$3, regressions!$A$67:$B$71, 2, FALSE)</f>
        <v>12.429531985392206</v>
      </c>
      <c r="S42" s="2">
        <f ca="1">$H42+VLOOKUP(S$3, regressions!$A$67:$B$71, 2, FALSE)</f>
        <v>23.167145945065148</v>
      </c>
      <c r="T42" s="2">
        <f ca="1">J42+regressions!$B$75</f>
        <v>3.6341908234615627</v>
      </c>
      <c r="U42" s="2">
        <f t="shared" ca="1" si="8"/>
        <v>14.005502230665988</v>
      </c>
      <c r="V42" s="2">
        <f ca="1">$H42+VLOOKUP(V$3, regressions!$A$67:$B$71, 2, FALSE)</f>
        <v>21.315479590522497</v>
      </c>
      <c r="W42" s="2">
        <f ca="1">$H42+VLOOKUP(W$3, regressions!$A$67:$B$71, 2, FALSE)</f>
        <v>24.080481247356055</v>
      </c>
    </row>
    <row r="43" spans="1:23">
      <c r="A43">
        <v>2044</v>
      </c>
      <c r="B43">
        <v>45.433284999999998</v>
      </c>
      <c r="C43" s="1">
        <f>B43/regressions!$B$10</f>
        <v>7.8333250000000003</v>
      </c>
      <c r="D43">
        <v>3.589229</v>
      </c>
      <c r="E43">
        <v>2.0619130000000001</v>
      </c>
      <c r="F43">
        <v>13.25</v>
      </c>
      <c r="G43" s="1">
        <f ca="1">B43*INDEX(regressions!$C$53:$AU$53, MATCH(B$3, regressions!$C$51:$AU$51, 0))</f>
        <v>45.433284999999998</v>
      </c>
      <c r="H43" s="1">
        <f ca="1">C43*INDEX(regressions!$C$53:$AU$53, MATCH(C$3, regressions!$C$51:$AU$51, 0))</f>
        <v>7.8333250000000003</v>
      </c>
      <c r="I43" s="1">
        <f ca="1">D43*INDEX(regressions!$C$53:$AU$53, MATCH(D$3, regressions!$C$51:$AU$51, 0))</f>
        <v>3.589229</v>
      </c>
      <c r="J43" s="1">
        <f ca="1">E43*INDEX(regressions!$C$53:$AU$53, MATCH(E$3, regressions!$C$51:$AU$51, 0))</f>
        <v>2.0619130000000001</v>
      </c>
      <c r="K43" s="1">
        <f ca="1">F43*INDEX(regressions!$C$53:$AU$53, MATCH(F$3, regressions!$C$51:$AU$51, 0))</f>
        <v>14.005502230665988</v>
      </c>
      <c r="L43" s="1"/>
      <c r="M43" s="1"/>
      <c r="N43">
        <f t="shared" si="0"/>
        <v>2044</v>
      </c>
      <c r="O43" s="2">
        <f t="shared" ca="1" si="6"/>
        <v>6.5083568904999991</v>
      </c>
      <c r="P43" s="2">
        <f t="shared" ca="1" si="7"/>
        <v>12.1944366278</v>
      </c>
      <c r="Q43" s="2">
        <f ca="1">$H43+VLOOKUP(Q$3, regressions!$A$67:$B$71, 2, FALSE)</f>
        <v>8.6390240892551304</v>
      </c>
      <c r="R43" s="2">
        <f ca="1">$H43+VLOOKUP(R$3, regressions!$A$67:$B$71, 2, FALSE)</f>
        <v>12.457220088840483</v>
      </c>
      <c r="S43" s="2">
        <f ca="1">$H43+VLOOKUP(S$3, regressions!$A$67:$B$71, 2, FALSE)</f>
        <v>23.194834048513421</v>
      </c>
      <c r="T43" s="2">
        <f ca="1">J43+regressions!$B$75</f>
        <v>3.6392818234615629</v>
      </c>
      <c r="U43" s="2">
        <f t="shared" ca="1" si="8"/>
        <v>14.005502230665988</v>
      </c>
      <c r="V43" s="2">
        <f ca="1">$H43+VLOOKUP(V$3, regressions!$A$67:$B$71, 2, FALSE)</f>
        <v>21.343167693970774</v>
      </c>
      <c r="W43" s="2">
        <f ca="1">$H43+VLOOKUP(W$3, regressions!$A$67:$B$71, 2, FALSE)</f>
        <v>24.108169350804332</v>
      </c>
    </row>
    <row r="44" spans="1:23">
      <c r="A44">
        <v>2045</v>
      </c>
      <c r="B44">
        <v>45.587864000000003</v>
      </c>
      <c r="C44" s="1">
        <f>B44/regressions!$B$10</f>
        <v>7.8599765517241389</v>
      </c>
      <c r="D44">
        <v>3.582201</v>
      </c>
      <c r="E44">
        <v>2.0691290000000002</v>
      </c>
      <c r="F44">
        <v>13.25</v>
      </c>
      <c r="G44" s="1">
        <f ca="1">B44*INDEX(regressions!$C$53:$AU$53, MATCH(B$3, regressions!$C$51:$AU$51, 0))</f>
        <v>45.587864000000003</v>
      </c>
      <c r="H44" s="1">
        <f ca="1">C44*INDEX(regressions!$C$53:$AU$53, MATCH(C$3, regressions!$C$51:$AU$51, 0))</f>
        <v>7.8599765517241389</v>
      </c>
      <c r="I44" s="1">
        <f ca="1">D44*INDEX(regressions!$C$53:$AU$53, MATCH(D$3, regressions!$C$51:$AU$51, 0))</f>
        <v>3.582201</v>
      </c>
      <c r="J44" s="1">
        <f ca="1">E44*INDEX(regressions!$C$53:$AU$53, MATCH(E$3, regressions!$C$51:$AU$51, 0))</f>
        <v>2.0691290000000002</v>
      </c>
      <c r="K44" s="1">
        <f ca="1">F44*INDEX(regressions!$C$53:$AU$53, MATCH(F$3, regressions!$C$51:$AU$51, 0))</f>
        <v>14.005502230665988</v>
      </c>
      <c r="L44" s="1"/>
      <c r="M44" s="1"/>
      <c r="N44">
        <f t="shared" si="0"/>
        <v>2045</v>
      </c>
      <c r="O44" s="2">
        <f t="shared" ca="1" si="6"/>
        <v>6.5289622712000002</v>
      </c>
      <c r="P44" s="2">
        <f t="shared" ca="1" si="7"/>
        <v>12.183485598200001</v>
      </c>
      <c r="Q44" s="2">
        <f ca="1">$H44+VLOOKUP(Q$3, regressions!$A$67:$B$71, 2, FALSE)</f>
        <v>8.6656756409792699</v>
      </c>
      <c r="R44" s="2">
        <f ca="1">$H44+VLOOKUP(R$3, regressions!$A$67:$B$71, 2, FALSE)</f>
        <v>12.483871640564622</v>
      </c>
      <c r="S44" s="2">
        <f ca="1">$H44+VLOOKUP(S$3, regressions!$A$67:$B$71, 2, FALSE)</f>
        <v>23.22148560023756</v>
      </c>
      <c r="T44" s="2">
        <f ca="1">J44+regressions!$B$75</f>
        <v>3.646497823461563</v>
      </c>
      <c r="U44" s="2">
        <f t="shared" ca="1" si="8"/>
        <v>14.005502230665988</v>
      </c>
      <c r="V44" s="2">
        <f ca="1">$H44+VLOOKUP(V$3, regressions!$A$67:$B$71, 2, FALSE)</f>
        <v>21.369819245694913</v>
      </c>
      <c r="W44" s="2">
        <f ca="1">$H44+VLOOKUP(W$3, regressions!$A$67:$B$71, 2, FALSE)</f>
        <v>24.134820902528467</v>
      </c>
    </row>
    <row r="45" spans="1:23">
      <c r="A45">
        <v>2046</v>
      </c>
      <c r="B45">
        <v>45.736862000000002</v>
      </c>
      <c r="C45" s="1">
        <f>B45/regressions!$B$10</f>
        <v>7.8856658620689659</v>
      </c>
      <c r="D45">
        <v>3.5877340000000002</v>
      </c>
      <c r="E45">
        <v>2.0728580000000001</v>
      </c>
      <c r="F45">
        <v>13.25</v>
      </c>
      <c r="G45" s="1">
        <f ca="1">B45*INDEX(regressions!$C$53:$AU$53, MATCH(B$3, regressions!$C$51:$AU$51, 0))</f>
        <v>45.736862000000002</v>
      </c>
      <c r="H45" s="1">
        <f ca="1">C45*INDEX(regressions!$C$53:$AU$53, MATCH(C$3, regressions!$C$51:$AU$51, 0))</f>
        <v>7.8856658620689659</v>
      </c>
      <c r="I45" s="1">
        <f ca="1">D45*INDEX(regressions!$C$53:$AU$53, MATCH(D$3, regressions!$C$51:$AU$51, 0))</f>
        <v>3.5877340000000002</v>
      </c>
      <c r="J45" s="1">
        <f ca="1">E45*INDEX(regressions!$C$53:$AU$53, MATCH(E$3, regressions!$C$51:$AU$51, 0))</f>
        <v>2.0728580000000001</v>
      </c>
      <c r="K45" s="1">
        <f ca="1">F45*INDEX(regressions!$C$53:$AU$53, MATCH(F$3, regressions!$C$51:$AU$51, 0))</f>
        <v>14.005502230665988</v>
      </c>
      <c r="L45" s="1"/>
      <c r="M45" s="1"/>
      <c r="N45">
        <f t="shared" si="0"/>
        <v>2046</v>
      </c>
      <c r="O45" s="2">
        <f t="shared" ca="1" si="6"/>
        <v>6.5488237046000002</v>
      </c>
      <c r="P45" s="2">
        <f t="shared" ca="1" si="7"/>
        <v>12.192107118800001</v>
      </c>
      <c r="Q45" s="2">
        <f ca="1">$H45+VLOOKUP(Q$3, regressions!$A$67:$B$71, 2, FALSE)</f>
        <v>8.6913649513240969</v>
      </c>
      <c r="R45" s="2">
        <f ca="1">$H45+VLOOKUP(R$3, regressions!$A$67:$B$71, 2, FALSE)</f>
        <v>12.509560950909449</v>
      </c>
      <c r="S45" s="2">
        <f ca="1">$H45+VLOOKUP(S$3, regressions!$A$67:$B$71, 2, FALSE)</f>
        <v>23.247174910582387</v>
      </c>
      <c r="T45" s="2">
        <f ca="1">J45+regressions!$B$75</f>
        <v>3.6502268234615629</v>
      </c>
      <c r="U45" s="2">
        <f t="shared" ca="1" si="8"/>
        <v>14.005502230665988</v>
      </c>
      <c r="V45" s="2">
        <f ca="1">$H45+VLOOKUP(V$3, regressions!$A$67:$B$71, 2, FALSE)</f>
        <v>21.39550855603974</v>
      </c>
      <c r="W45" s="2">
        <f ca="1">$H45+VLOOKUP(W$3, regressions!$A$67:$B$71, 2, FALSE)</f>
        <v>24.160510212873294</v>
      </c>
    </row>
    <row r="46" spans="1:23">
      <c r="A46">
        <v>2047</v>
      </c>
      <c r="B46">
        <v>45.880702999999997</v>
      </c>
      <c r="C46" s="1">
        <f>B46/regressions!$B$10</f>
        <v>7.9104660344827584</v>
      </c>
      <c r="D46">
        <v>3.5952609999999998</v>
      </c>
      <c r="E46">
        <v>2.0781209999999999</v>
      </c>
      <c r="F46">
        <v>13.25</v>
      </c>
      <c r="G46" s="1">
        <f ca="1">B46*INDEX(regressions!$C$53:$AU$53, MATCH(B$3, regressions!$C$51:$AU$51, 0))</f>
        <v>45.880702999999997</v>
      </c>
      <c r="H46" s="1">
        <f ca="1">C46*INDEX(regressions!$C$53:$AU$53, MATCH(C$3, regressions!$C$51:$AU$51, 0))</f>
        <v>7.9104660344827584</v>
      </c>
      <c r="I46" s="1">
        <f ca="1">D46*INDEX(regressions!$C$53:$AU$53, MATCH(D$3, regressions!$C$51:$AU$51, 0))</f>
        <v>3.5952609999999998</v>
      </c>
      <c r="J46" s="1">
        <f ca="1">E46*INDEX(regressions!$C$53:$AU$53, MATCH(E$3, regressions!$C$51:$AU$51, 0))</f>
        <v>2.0781209999999999</v>
      </c>
      <c r="K46" s="1">
        <f ca="1">F46*INDEX(regressions!$C$53:$AU$53, MATCH(F$3, regressions!$C$51:$AU$51, 0))</f>
        <v>14.005502230665988</v>
      </c>
      <c r="L46" s="1"/>
      <c r="M46" s="1"/>
      <c r="N46">
        <f t="shared" si="0"/>
        <v>2047</v>
      </c>
      <c r="O46" s="2">
        <f t="shared" ca="1" si="6"/>
        <v>6.5679977098999993</v>
      </c>
      <c r="P46" s="2">
        <f t="shared" ca="1" si="7"/>
        <v>12.2038356902</v>
      </c>
      <c r="Q46" s="2">
        <f ca="1">$H46+VLOOKUP(Q$3, regressions!$A$67:$B$71, 2, FALSE)</f>
        <v>8.7161651237378877</v>
      </c>
      <c r="R46" s="2">
        <f ca="1">$H46+VLOOKUP(R$3, regressions!$A$67:$B$71, 2, FALSE)</f>
        <v>12.53436112332324</v>
      </c>
      <c r="S46" s="2">
        <f ca="1">$H46+VLOOKUP(S$3, regressions!$A$67:$B$71, 2, FALSE)</f>
        <v>23.271975082996182</v>
      </c>
      <c r="T46" s="2">
        <f ca="1">J46+regressions!$B$75</f>
        <v>3.6554898234615627</v>
      </c>
      <c r="U46" s="2">
        <f t="shared" ca="1" si="8"/>
        <v>14.005502230665988</v>
      </c>
      <c r="V46" s="2">
        <f ca="1">$H46+VLOOKUP(V$3, regressions!$A$67:$B$71, 2, FALSE)</f>
        <v>21.420308728453531</v>
      </c>
      <c r="W46" s="2">
        <f ca="1">$H46+VLOOKUP(W$3, regressions!$A$67:$B$71, 2, FALSE)</f>
        <v>24.185310385287089</v>
      </c>
    </row>
    <row r="47" spans="1:23">
      <c r="A47">
        <v>2048</v>
      </c>
      <c r="B47">
        <v>46.019736999999999</v>
      </c>
      <c r="C47" s="1">
        <f>B47/regressions!$B$10</f>
        <v>7.9344374137931037</v>
      </c>
      <c r="D47">
        <v>3.6120130000000001</v>
      </c>
      <c r="E47">
        <v>2.0815739999999998</v>
      </c>
      <c r="F47">
        <v>13.25</v>
      </c>
      <c r="G47" s="1">
        <f ca="1">B47*INDEX(regressions!$C$53:$AU$53, MATCH(B$3, regressions!$C$51:$AU$51, 0))</f>
        <v>46.019736999999999</v>
      </c>
      <c r="H47" s="1">
        <f ca="1">C47*INDEX(regressions!$C$53:$AU$53, MATCH(C$3, regressions!$C$51:$AU$51, 0))</f>
        <v>7.9344374137931037</v>
      </c>
      <c r="I47" s="1">
        <f ca="1">D47*INDEX(regressions!$C$53:$AU$53, MATCH(D$3, regressions!$C$51:$AU$51, 0))</f>
        <v>3.6120130000000001</v>
      </c>
      <c r="J47" s="1">
        <f ca="1">E47*INDEX(regressions!$C$53:$AU$53, MATCH(E$3, regressions!$C$51:$AU$51, 0))</f>
        <v>2.0815739999999998</v>
      </c>
      <c r="K47" s="1">
        <f ca="1">F47*INDEX(regressions!$C$53:$AU$53, MATCH(F$3, regressions!$C$51:$AU$51, 0))</f>
        <v>14.005502230665988</v>
      </c>
      <c r="L47" s="1"/>
      <c r="M47" s="1"/>
      <c r="N47">
        <f t="shared" si="0"/>
        <v>2048</v>
      </c>
      <c r="O47" s="2">
        <f t="shared" ca="1" si="6"/>
        <v>6.5865309420999996</v>
      </c>
      <c r="P47" s="2">
        <f t="shared" ca="1" si="7"/>
        <v>12.229938656600002</v>
      </c>
      <c r="Q47" s="2">
        <f ca="1">$H47+VLOOKUP(Q$3, regressions!$A$67:$B$71, 2, FALSE)</f>
        <v>8.7401365030482339</v>
      </c>
      <c r="R47" s="2">
        <f ca="1">$H47+VLOOKUP(R$3, regressions!$A$67:$B$71, 2, FALSE)</f>
        <v>12.558332502633586</v>
      </c>
      <c r="S47" s="2">
        <f ca="1">$H47+VLOOKUP(S$3, regressions!$A$67:$B$71, 2, FALSE)</f>
        <v>23.295946462306524</v>
      </c>
      <c r="T47" s="2">
        <f ca="1">J47+regressions!$B$75</f>
        <v>3.6589428234615626</v>
      </c>
      <c r="U47" s="2">
        <f t="shared" ca="1" si="8"/>
        <v>14.005502230665988</v>
      </c>
      <c r="V47" s="2">
        <f ca="1">$H47+VLOOKUP(V$3, regressions!$A$67:$B$71, 2, FALSE)</f>
        <v>21.444280107763877</v>
      </c>
      <c r="W47" s="2">
        <f ca="1">$H47+VLOOKUP(W$3, regressions!$A$67:$B$71, 2, FALSE)</f>
        <v>24.209281764597435</v>
      </c>
    </row>
    <row r="48" spans="1:23">
      <c r="A48">
        <v>2049</v>
      </c>
      <c r="B48">
        <v>46.154293000000003</v>
      </c>
      <c r="C48" s="1">
        <f>B48/regressions!$B$10</f>
        <v>7.9576367241379318</v>
      </c>
      <c r="D48">
        <v>3.6533669999999998</v>
      </c>
      <c r="E48">
        <v>2.0889519999999999</v>
      </c>
      <c r="F48">
        <v>13.25</v>
      </c>
      <c r="G48" s="1">
        <f ca="1">B48*INDEX(regressions!$C$53:$AU$53, MATCH(B$3, regressions!$C$51:$AU$51, 0))</f>
        <v>46.154293000000003</v>
      </c>
      <c r="H48" s="1">
        <f ca="1">C48*INDEX(regressions!$C$53:$AU$53, MATCH(C$3, regressions!$C$51:$AU$51, 0))</f>
        <v>7.9576367241379318</v>
      </c>
      <c r="I48" s="1">
        <f ca="1">D48*INDEX(regressions!$C$53:$AU$53, MATCH(D$3, regressions!$C$51:$AU$51, 0))</f>
        <v>3.6533669999999998</v>
      </c>
      <c r="J48" s="1">
        <f ca="1">E48*INDEX(regressions!$C$53:$AU$53, MATCH(E$3, regressions!$C$51:$AU$51, 0))</f>
        <v>2.0889519999999999</v>
      </c>
      <c r="K48" s="1">
        <f ca="1">F48*INDEX(regressions!$C$53:$AU$53, MATCH(F$3, regressions!$C$51:$AU$51, 0))</f>
        <v>14.005502230665988</v>
      </c>
      <c r="L48" s="1"/>
      <c r="M48" s="1"/>
      <c r="N48">
        <f t="shared" si="0"/>
        <v>2049</v>
      </c>
      <c r="O48" s="2">
        <f t="shared" ca="1" si="6"/>
        <v>6.6044672569000005</v>
      </c>
      <c r="P48" s="2">
        <f t="shared" ca="1" si="7"/>
        <v>12.294376459399999</v>
      </c>
      <c r="Q48" s="2">
        <f ca="1">$H48+VLOOKUP(Q$3, regressions!$A$67:$B$71, 2, FALSE)</f>
        <v>8.7633358133930628</v>
      </c>
      <c r="R48" s="2">
        <f ca="1">$H48+VLOOKUP(R$3, regressions!$A$67:$B$71, 2, FALSE)</f>
        <v>12.581531812978415</v>
      </c>
      <c r="S48" s="2">
        <f ca="1">$H48+VLOOKUP(S$3, regressions!$A$67:$B$71, 2, FALSE)</f>
        <v>23.319145772651353</v>
      </c>
      <c r="T48" s="2">
        <f ca="1">J48+regressions!$B$75</f>
        <v>3.6663208234615627</v>
      </c>
      <c r="U48" s="2">
        <f t="shared" ca="1" si="8"/>
        <v>14.005502230665988</v>
      </c>
      <c r="V48" s="2">
        <f ca="1">$H48+VLOOKUP(V$3, regressions!$A$67:$B$71, 2, FALSE)</f>
        <v>21.467479418108706</v>
      </c>
      <c r="W48" s="2">
        <f ca="1">$H48+VLOOKUP(W$3, regressions!$A$67:$B$71, 2, FALSE)</f>
        <v>24.23248107494226</v>
      </c>
    </row>
    <row r="49" spans="1:28">
      <c r="A49">
        <v>2050</v>
      </c>
      <c r="B49">
        <v>46.284660000000002</v>
      </c>
      <c r="C49" s="1">
        <f>B49/regressions!$B$10</f>
        <v>7.9801137931034489</v>
      </c>
      <c r="D49">
        <v>3.6925180000000002</v>
      </c>
      <c r="E49">
        <v>2.095526</v>
      </c>
      <c r="F49">
        <v>13.25</v>
      </c>
      <c r="G49" s="1">
        <f ca="1">B49*INDEX(regressions!$C$53:$AU$53, MATCH(B$3, regressions!$C$51:$AU$51, 0))</f>
        <v>46.284660000000002</v>
      </c>
      <c r="H49" s="1">
        <f ca="1">C49*INDEX(regressions!$C$53:$AU$53, MATCH(C$3, regressions!$C$51:$AU$51, 0))</f>
        <v>7.9801137931034489</v>
      </c>
      <c r="I49" s="1">
        <f ca="1">D49*INDEX(regressions!$C$53:$AU$53, MATCH(D$3, regressions!$C$51:$AU$51, 0))</f>
        <v>3.6925180000000002</v>
      </c>
      <c r="J49" s="1">
        <f ca="1">E49*INDEX(regressions!$C$53:$AU$53, MATCH(E$3, regressions!$C$51:$AU$51, 0))</f>
        <v>2.095526</v>
      </c>
      <c r="K49" s="1">
        <f ca="1">F49*INDEX(regressions!$C$53:$AU$53, MATCH(F$3, regressions!$C$51:$AU$51, 0))</f>
        <v>14.005502230665988</v>
      </c>
      <c r="L49" s="1"/>
      <c r="M49" s="1"/>
      <c r="N49">
        <f t="shared" si="0"/>
        <v>2050</v>
      </c>
      <c r="O49" s="2">
        <f t="shared" ca="1" si="6"/>
        <v>6.6218451780000001</v>
      </c>
      <c r="P49" s="2">
        <f t="shared" ca="1" si="7"/>
        <v>12.3553815476</v>
      </c>
      <c r="Q49" s="2">
        <f ca="1">$H49+VLOOKUP(Q$3, regressions!$A$67:$B$71, 2, FALSE)</f>
        <v>8.785812882358579</v>
      </c>
      <c r="R49" s="2">
        <f ca="1">$H49+VLOOKUP(R$3, regressions!$A$67:$B$71, 2, FALSE)</f>
        <v>12.604008881943932</v>
      </c>
      <c r="S49" s="2">
        <f ca="1">$H49+VLOOKUP(S$3, regressions!$A$67:$B$71, 2, FALSE)</f>
        <v>23.341622841616871</v>
      </c>
      <c r="T49" s="2">
        <f ca="1">J49+regressions!$B$75</f>
        <v>3.6728948234615628</v>
      </c>
      <c r="U49" s="2">
        <f t="shared" ca="1" si="8"/>
        <v>14.005502230665988</v>
      </c>
      <c r="V49" s="2">
        <f ca="1">$H49+VLOOKUP(V$3, regressions!$A$67:$B$71, 2, FALSE)</f>
        <v>21.489956487074224</v>
      </c>
      <c r="W49" s="2">
        <f ca="1">$H49+VLOOKUP(W$3, regressions!$A$67:$B$71, 2, FALSE)</f>
        <v>24.254958143907778</v>
      </c>
    </row>
    <row r="50" spans="1:28">
      <c r="B50" s="1"/>
      <c r="C50" s="1"/>
      <c r="D50" s="1"/>
      <c r="E50" s="1"/>
      <c r="F50" s="6"/>
      <c r="G50" s="8"/>
      <c r="H50" s="8"/>
      <c r="N50" s="9"/>
    </row>
    <row r="51" spans="1:28">
      <c r="A51" t="s">
        <v>54</v>
      </c>
      <c r="B51">
        <v>1</v>
      </c>
      <c r="F51" t="s">
        <v>8</v>
      </c>
      <c r="J51" s="19" t="s">
        <v>58</v>
      </c>
      <c r="K51" s="19"/>
      <c r="L51" s="19"/>
      <c r="M51" s="19"/>
      <c r="N51" t="str">
        <f t="shared" ref="N51:W51" si="9">N3</f>
        <v>fuel_type</v>
      </c>
      <c r="O51" t="str">
        <f t="shared" si="9"/>
        <v>LNG</v>
      </c>
      <c r="P51" t="str">
        <f t="shared" si="9"/>
        <v>LNG</v>
      </c>
      <c r="Q51" t="str">
        <f t="shared" si="9"/>
        <v>LSFO</v>
      </c>
      <c r="R51" t="str">
        <f t="shared" si="9"/>
        <v>Diesel</v>
      </c>
      <c r="S51" t="str">
        <f t="shared" si="9"/>
        <v>Biodiesel</v>
      </c>
      <c r="T51" t="str">
        <f t="shared" si="9"/>
        <v>Coal</v>
      </c>
      <c r="U51" t="str">
        <f t="shared" si="9"/>
        <v>Pellet-Biomass</v>
      </c>
      <c r="V51" t="str">
        <f t="shared" si="9"/>
        <v>Motor Gasoline</v>
      </c>
      <c r="W51" t="str">
        <f t="shared" si="9"/>
        <v>Motor Diesel</v>
      </c>
    </row>
    <row r="52" spans="1:28">
      <c r="F52" t="s">
        <v>9</v>
      </c>
      <c r="G52" t="s">
        <v>7</v>
      </c>
      <c r="N52" t="str">
        <f t="shared" ref="N52:W52" si="10">N4</f>
        <v>tier</v>
      </c>
      <c r="O52" t="str">
        <f t="shared" si="10"/>
        <v>bulk</v>
      </c>
      <c r="P52" t="str">
        <f t="shared" si="10"/>
        <v>container</v>
      </c>
      <c r="Q52" t="str">
        <f t="shared" si="10"/>
        <v>base</v>
      </c>
      <c r="R52" t="str">
        <f t="shared" si="10"/>
        <v>base</v>
      </c>
      <c r="S52" t="str">
        <f t="shared" si="10"/>
        <v>base</v>
      </c>
      <c r="T52" t="str">
        <f t="shared" si="10"/>
        <v>base</v>
      </c>
      <c r="U52" t="str">
        <f t="shared" si="10"/>
        <v>base</v>
      </c>
      <c r="V52" t="str">
        <f t="shared" si="10"/>
        <v>base</v>
      </c>
      <c r="W52" t="str">
        <f t="shared" si="10"/>
        <v>base</v>
      </c>
    </row>
    <row r="53" spans="1:28">
      <c r="A53" t="s">
        <v>0</v>
      </c>
      <c r="F53" t="s">
        <v>10</v>
      </c>
      <c r="G53" s="4">
        <v>1030000</v>
      </c>
      <c r="H53" s="4"/>
      <c r="N53" t="s">
        <v>25</v>
      </c>
      <c r="O53" s="10">
        <f>C68</f>
        <v>51113806</v>
      </c>
      <c r="P53" s="10">
        <f>G69</f>
        <v>34757388.080000006</v>
      </c>
      <c r="Q53" s="3"/>
      <c r="R53" s="3"/>
      <c r="S53" s="3"/>
      <c r="T53" s="3"/>
      <c r="U53" s="3"/>
      <c r="V53" s="3"/>
      <c r="W53" s="3"/>
    </row>
    <row r="54" spans="1:28">
      <c r="A54" t="s">
        <v>1</v>
      </c>
      <c r="B54" t="s">
        <v>2</v>
      </c>
      <c r="C54" t="s">
        <v>12</v>
      </c>
      <c r="D54" t="s">
        <v>3</v>
      </c>
      <c r="F54" t="s">
        <v>11</v>
      </c>
      <c r="G54" s="10">
        <v>51113806</v>
      </c>
      <c r="H54" t="s">
        <v>23</v>
      </c>
      <c r="X54" s="4"/>
      <c r="Y54" s="4"/>
    </row>
    <row r="55" spans="1:28">
      <c r="A55">
        <v>20</v>
      </c>
      <c r="B55" s="2">
        <f>A55/5.8</f>
        <v>3.4482758620689657</v>
      </c>
      <c r="C55">
        <v>3.12</v>
      </c>
      <c r="D55" s="2">
        <f>0.1333*A55+0.4521</f>
        <v>3.1181000000000001</v>
      </c>
      <c r="H55" t="s">
        <v>24</v>
      </c>
      <c r="J55" s="19" t="s">
        <v>58</v>
      </c>
      <c r="K55" s="19"/>
      <c r="L55" s="19"/>
      <c r="M55" s="19"/>
      <c r="Q55" s="10"/>
      <c r="R55" s="10"/>
      <c r="S55" s="10"/>
      <c r="T55" s="10"/>
      <c r="U55" s="10"/>
      <c r="V55" s="10"/>
      <c r="W55" s="10"/>
      <c r="X55" s="10"/>
      <c r="Y55" s="10"/>
    </row>
    <row r="56" spans="1:28">
      <c r="A56">
        <v>30</v>
      </c>
      <c r="B56" s="2">
        <f t="shared" ref="B56:B65" si="11">A56/5.8</f>
        <v>5.1724137931034484</v>
      </c>
      <c r="C56">
        <v>4.45</v>
      </c>
      <c r="D56" s="2">
        <f t="shared" ref="D56:D65" si="12">0.1333*A56+0.4521</f>
        <v>4.4511000000000003</v>
      </c>
      <c r="N56" s="7" t="s">
        <v>44</v>
      </c>
    </row>
    <row r="57" spans="1:28">
      <c r="A57">
        <v>40</v>
      </c>
      <c r="B57" s="2">
        <f t="shared" si="11"/>
        <v>6.8965517241379315</v>
      </c>
      <c r="C57">
        <v>5.78</v>
      </c>
      <c r="D57" s="2">
        <f t="shared" si="12"/>
        <v>5.7840999999999996</v>
      </c>
      <c r="F57" t="s">
        <v>47</v>
      </c>
      <c r="G57" t="s">
        <v>48</v>
      </c>
      <c r="H57" t="s">
        <v>26</v>
      </c>
      <c r="I57" t="s">
        <v>40</v>
      </c>
      <c r="N57" t="s">
        <v>38</v>
      </c>
      <c r="O57" t="str">
        <f t="shared" ref="O57:T58" si="13">O51</f>
        <v>LNG</v>
      </c>
      <c r="P57" t="str">
        <f t="shared" si="13"/>
        <v>LNG</v>
      </c>
      <c r="Q57" t="str">
        <f t="shared" si="13"/>
        <v>LSFO</v>
      </c>
      <c r="R57" t="str">
        <f t="shared" si="13"/>
        <v>Diesel</v>
      </c>
      <c r="S57" t="str">
        <f t="shared" si="13"/>
        <v>Biodiesel</v>
      </c>
      <c r="T57" t="str">
        <f t="shared" si="13"/>
        <v>Coal</v>
      </c>
      <c r="U57" t="str">
        <f t="shared" ref="U57:W57" si="14">U51</f>
        <v>Pellet-Biomass</v>
      </c>
      <c r="V57" t="str">
        <f t="shared" si="14"/>
        <v>Motor Gasoline</v>
      </c>
      <c r="W57" t="str">
        <f t="shared" si="14"/>
        <v>Motor Diesel</v>
      </c>
    </row>
    <row r="58" spans="1:28">
      <c r="A58">
        <v>50</v>
      </c>
      <c r="B58" s="2">
        <f t="shared" si="11"/>
        <v>8.6206896551724146</v>
      </c>
      <c r="C58">
        <v>7.12</v>
      </c>
      <c r="D58" s="2">
        <f t="shared" si="12"/>
        <v>7.1170999999999998</v>
      </c>
      <c r="F58" s="13">
        <v>0.06</v>
      </c>
      <c r="G58" s="13">
        <f>(1+interest_rate)*(1+inflation_rate)-1</f>
        <v>6.0000000000000053E-2</v>
      </c>
      <c r="H58">
        <v>20</v>
      </c>
      <c r="I58">
        <v>2019</v>
      </c>
      <c r="J58" s="13"/>
      <c r="K58" s="13"/>
      <c r="L58" s="13"/>
      <c r="M58" s="13"/>
      <c r="N58" t="s">
        <v>19</v>
      </c>
      <c r="O58" t="str">
        <f t="shared" si="13"/>
        <v>bulk</v>
      </c>
      <c r="P58" t="str">
        <f t="shared" si="13"/>
        <v>container</v>
      </c>
      <c r="Q58" t="str">
        <f t="shared" si="13"/>
        <v>base</v>
      </c>
      <c r="R58" t="str">
        <f t="shared" si="13"/>
        <v>base</v>
      </c>
      <c r="S58" t="str">
        <f t="shared" si="13"/>
        <v>base</v>
      </c>
      <c r="T58" t="str">
        <f t="shared" si="13"/>
        <v>base</v>
      </c>
      <c r="U58" t="str">
        <f t="shared" ref="U58:W58" si="15">U52</f>
        <v>base</v>
      </c>
      <c r="V58" t="str">
        <f t="shared" si="15"/>
        <v>base</v>
      </c>
      <c r="W58" t="str">
        <f t="shared" si="15"/>
        <v>base</v>
      </c>
    </row>
    <row r="59" spans="1:28">
      <c r="A59">
        <v>60</v>
      </c>
      <c r="B59" s="2">
        <f t="shared" si="11"/>
        <v>10.344827586206897</v>
      </c>
      <c r="C59">
        <v>8.4499999999999993</v>
      </c>
      <c r="D59" s="2">
        <f t="shared" si="12"/>
        <v>8.4501000000000008</v>
      </c>
      <c r="N59" t="s">
        <v>43</v>
      </c>
      <c r="O59" s="3">
        <f>B71/O53</f>
        <v>1.0715097344603173</v>
      </c>
      <c r="P59" s="3">
        <f>G67/P53</f>
        <v>0.66258123654713841</v>
      </c>
      <c r="Q59">
        <v>0</v>
      </c>
      <c r="R59">
        <v>0</v>
      </c>
      <c r="S59">
        <v>0</v>
      </c>
      <c r="T59">
        <v>0</v>
      </c>
      <c r="U59">
        <v>0</v>
      </c>
      <c r="V59">
        <v>0</v>
      </c>
      <c r="W59">
        <v>0</v>
      </c>
    </row>
    <row r="60" spans="1:28">
      <c r="A60">
        <v>70</v>
      </c>
      <c r="B60" s="2">
        <f t="shared" si="11"/>
        <v>12.068965517241379</v>
      </c>
      <c r="C60">
        <v>9.7799999999999994</v>
      </c>
      <c r="D60" s="2">
        <f t="shared" si="12"/>
        <v>9.7830999999999992</v>
      </c>
      <c r="F60" t="s">
        <v>32</v>
      </c>
      <c r="G60" t="s">
        <v>27</v>
      </c>
      <c r="H60" t="s">
        <v>28</v>
      </c>
      <c r="N60">
        <v>5</v>
      </c>
      <c r="O60" s="18">
        <f t="dataTable" ref="O60:W64" dt2D="0" dtr="0" r1="H58"/>
        <v>1.7119163029513489</v>
      </c>
      <c r="P60" s="3">
        <v>1.8041543824246395</v>
      </c>
      <c r="Q60">
        <v>0</v>
      </c>
      <c r="R60">
        <v>0</v>
      </c>
      <c r="S60">
        <v>0</v>
      </c>
      <c r="T60">
        <v>0</v>
      </c>
      <c r="U60">
        <v>0</v>
      </c>
      <c r="V60">
        <v>0</v>
      </c>
      <c r="W60">
        <v>0</v>
      </c>
    </row>
    <row r="61" spans="1:28">
      <c r="A61">
        <v>80</v>
      </c>
      <c r="B61" s="2">
        <f t="shared" si="11"/>
        <v>13.793103448275863</v>
      </c>
      <c r="C61">
        <v>11.11</v>
      </c>
      <c r="D61" s="2">
        <f t="shared" si="12"/>
        <v>11.116099999999999</v>
      </c>
      <c r="F61" t="s">
        <v>29</v>
      </c>
      <c r="G61" s="5">
        <v>148152158</v>
      </c>
      <c r="H61">
        <f>280+383</f>
        <v>663</v>
      </c>
      <c r="N61">
        <v>10</v>
      </c>
      <c r="O61" s="3">
        <v>1.2790644066877432</v>
      </c>
      <c r="P61" s="3">
        <v>1.0325631383170208</v>
      </c>
      <c r="Q61">
        <v>0</v>
      </c>
      <c r="R61">
        <v>0</v>
      </c>
      <c r="S61">
        <v>0</v>
      </c>
      <c r="T61">
        <v>0</v>
      </c>
      <c r="U61">
        <v>0</v>
      </c>
      <c r="V61">
        <v>0</v>
      </c>
      <c r="W61">
        <v>0</v>
      </c>
      <c r="Z61" t="s">
        <v>14</v>
      </c>
      <c r="AA61" t="s">
        <v>13</v>
      </c>
      <c r="AB61" t="s">
        <v>15</v>
      </c>
    </row>
    <row r="62" spans="1:28">
      <c r="A62">
        <v>90</v>
      </c>
      <c r="B62" s="2">
        <f t="shared" si="11"/>
        <v>15.517241379310345</v>
      </c>
      <c r="C62">
        <v>12.45</v>
      </c>
      <c r="D62" s="2">
        <f t="shared" si="12"/>
        <v>12.4491</v>
      </c>
      <c r="F62" t="s">
        <v>31</v>
      </c>
      <c r="G62" s="5">
        <f>G61*H62/H61</f>
        <v>46479108.392156862</v>
      </c>
      <c r="H62">
        <v>208</v>
      </c>
      <c r="N62">
        <v>15</v>
      </c>
      <c r="O62" s="3">
        <v>1.1387778483163944</v>
      </c>
      <c r="P62" s="3">
        <v>0.78249173736050259</v>
      </c>
      <c r="Q62">
        <v>0</v>
      </c>
      <c r="R62">
        <v>0</v>
      </c>
      <c r="S62">
        <v>0</v>
      </c>
      <c r="T62">
        <v>0</v>
      </c>
      <c r="U62">
        <v>0</v>
      </c>
      <c r="V62">
        <v>0</v>
      </c>
      <c r="W62">
        <v>0</v>
      </c>
      <c r="Z62">
        <f ca="1">1.02^30*Q42</f>
        <v>15.598243192497314</v>
      </c>
      <c r="AA62">
        <f t="shared" ref="AA62:AB62" ca="1" si="16">1.02^30*R42</f>
        <v>22.514376746723325</v>
      </c>
      <c r="AB62">
        <f t="shared" ca="1" si="16"/>
        <v>41.96407817820679</v>
      </c>
    </row>
    <row r="63" spans="1:28">
      <c r="A63">
        <v>100</v>
      </c>
      <c r="B63" s="2">
        <f t="shared" si="11"/>
        <v>17.241379310344829</v>
      </c>
      <c r="C63">
        <v>13.78</v>
      </c>
      <c r="D63" s="2">
        <f t="shared" si="12"/>
        <v>13.7821</v>
      </c>
      <c r="F63" t="s">
        <v>30</v>
      </c>
      <c r="G63" s="5">
        <f>8958092+8958261</f>
        <v>17916353</v>
      </c>
      <c r="N63">
        <v>20</v>
      </c>
      <c r="O63" s="3">
        <v>1.0715097344603173</v>
      </c>
      <c r="P63" s="3">
        <v>0.66258123654713841</v>
      </c>
      <c r="Q63">
        <v>0</v>
      </c>
      <c r="R63">
        <v>0</v>
      </c>
      <c r="S63">
        <v>0</v>
      </c>
      <c r="T63">
        <v>0</v>
      </c>
      <c r="U63">
        <v>0</v>
      </c>
      <c r="V63">
        <v>0</v>
      </c>
      <c r="W63">
        <v>0</v>
      </c>
    </row>
    <row r="64" spans="1:28">
      <c r="A64">
        <v>110</v>
      </c>
      <c r="B64" s="2">
        <f t="shared" si="11"/>
        <v>18.96551724137931</v>
      </c>
      <c r="C64">
        <v>15.11</v>
      </c>
      <c r="D64" s="2">
        <f t="shared" si="12"/>
        <v>15.1151</v>
      </c>
      <c r="F64" t="s">
        <v>33</v>
      </c>
      <c r="G64" s="5">
        <v>51600000</v>
      </c>
      <c r="N64">
        <v>25</v>
      </c>
      <c r="O64" s="3">
        <v>1.0333192785522061</v>
      </c>
      <c r="P64" s="3">
        <v>0.59450386033245484</v>
      </c>
      <c r="Q64">
        <v>0</v>
      </c>
      <c r="R64">
        <v>0</v>
      </c>
      <c r="S64">
        <v>0</v>
      </c>
      <c r="T64">
        <v>0</v>
      </c>
      <c r="U64">
        <v>0</v>
      </c>
      <c r="V64">
        <v>0</v>
      </c>
      <c r="W64">
        <v>0</v>
      </c>
    </row>
    <row r="65" spans="1:7">
      <c r="A65">
        <v>120</v>
      </c>
      <c r="B65" s="2">
        <f t="shared" si="11"/>
        <v>20.689655172413794</v>
      </c>
      <c r="C65">
        <v>16.45</v>
      </c>
      <c r="D65" s="2">
        <f t="shared" si="12"/>
        <v>16.4481</v>
      </c>
      <c r="F65" t="s">
        <v>37</v>
      </c>
      <c r="G65" s="5">
        <f>SUM(G61:G64)</f>
        <v>264147619.39215687</v>
      </c>
    </row>
    <row r="67" spans="1:7">
      <c r="C67" t="s">
        <v>4</v>
      </c>
      <c r="D67" t="s">
        <v>5</v>
      </c>
      <c r="F67" t="s">
        <v>34</v>
      </c>
      <c r="G67" s="11">
        <f>PMT(interest_rate_real, H58, -G65)</f>
        <v>23029593.173195172</v>
      </c>
    </row>
    <row r="68" spans="1:7">
      <c r="A68" t="s">
        <v>39</v>
      </c>
      <c r="B68" s="5">
        <f>PMT(interest_rate_real, $H$58, -200000000)</f>
        <v>17436911.39537029</v>
      </c>
      <c r="C68" s="10">
        <f>$B$51*$G$54</f>
        <v>51113806</v>
      </c>
      <c r="D68" s="3">
        <f>B68/C68</f>
        <v>0.3411389751600632</v>
      </c>
      <c r="E68" s="3"/>
      <c r="F68" t="s">
        <v>55</v>
      </c>
      <c r="G68">
        <v>0.68</v>
      </c>
    </row>
    <row r="69" spans="1:7">
      <c r="A69" t="s">
        <v>30</v>
      </c>
      <c r="B69" s="5">
        <f>PMT(interest_rate_real, $H$58, -$G$63)</f>
        <v>1562029.2989458833</v>
      </c>
      <c r="C69" s="10">
        <f>$B$51*$G$54</f>
        <v>51113806</v>
      </c>
      <c r="D69" s="3">
        <f>B69/C69</f>
        <v>3.0559831505129618E-2</v>
      </c>
      <c r="E69" s="3"/>
      <c r="F69" t="s">
        <v>36</v>
      </c>
      <c r="G69" s="10">
        <f>G68*G54</f>
        <v>34757388.080000006</v>
      </c>
    </row>
    <row r="70" spans="1:7">
      <c r="A70" t="s">
        <v>6</v>
      </c>
      <c r="B70" s="5">
        <f>98000*365</f>
        <v>35770000</v>
      </c>
      <c r="C70" s="10">
        <f>$B$51*$G$54</f>
        <v>51113806</v>
      </c>
      <c r="D70" s="3">
        <f>B70/C70</f>
        <v>0.69981092779512444</v>
      </c>
    </row>
    <row r="71" spans="1:7">
      <c r="A71" t="s">
        <v>35</v>
      </c>
      <c r="B71" s="12">
        <f>SUM(B68:B70)</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K58"/>
  <sheetViews>
    <sheetView topLeftCell="A15" workbookViewId="0">
      <selection activeCell="F40" sqref="F40"/>
    </sheetView>
  </sheetViews>
  <sheetFormatPr baseColWidth="10" defaultRowHeight="16"/>
  <cols>
    <col min="1" max="1" width="34" customWidth="1"/>
  </cols>
  <sheetData>
    <row r="1" spans="1:37">
      <c r="A1" t="s">
        <v>233</v>
      </c>
    </row>
    <row r="2" spans="1:37">
      <c r="A2" t="s">
        <v>255</v>
      </c>
    </row>
    <row r="3" spans="1:37">
      <c r="A3" t="s">
        <v>256</v>
      </c>
    </row>
    <row r="4" spans="1:37">
      <c r="A4" t="s">
        <v>86</v>
      </c>
    </row>
    <row r="5" spans="1:37">
      <c r="B5" t="s">
        <v>87</v>
      </c>
      <c r="C5" t="s">
        <v>88</v>
      </c>
      <c r="D5" t="s">
        <v>89</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234</v>
      </c>
    </row>
    <row r="6" spans="1:37">
      <c r="A6" t="s">
        <v>90</v>
      </c>
      <c r="C6" t="s">
        <v>235</v>
      </c>
    </row>
    <row r="7" spans="1:37">
      <c r="A7" t="s">
        <v>91</v>
      </c>
      <c r="B7" t="s">
        <v>257</v>
      </c>
      <c r="C7" t="s">
        <v>258</v>
      </c>
      <c r="D7" t="s">
        <v>92</v>
      </c>
      <c r="E7">
        <v>25.618914</v>
      </c>
      <c r="F7">
        <v>25.845568</v>
      </c>
      <c r="G7">
        <v>26.168310000000002</v>
      </c>
      <c r="H7">
        <v>26.589131999999999</v>
      </c>
      <c r="I7">
        <v>26.704239000000001</v>
      </c>
      <c r="J7">
        <v>26.660906000000001</v>
      </c>
      <c r="K7">
        <v>26.543388</v>
      </c>
      <c r="L7">
        <v>26.630451000000001</v>
      </c>
      <c r="M7">
        <v>26.550013</v>
      </c>
      <c r="N7">
        <v>26.194849000000001</v>
      </c>
      <c r="O7">
        <v>25.970331000000002</v>
      </c>
      <c r="P7">
        <v>25.803515999999998</v>
      </c>
      <c r="Q7">
        <v>25.597460000000002</v>
      </c>
      <c r="R7">
        <v>25.333203999999999</v>
      </c>
      <c r="S7">
        <v>24.939776999999999</v>
      </c>
      <c r="T7">
        <v>24.47467</v>
      </c>
      <c r="U7">
        <v>24.027573</v>
      </c>
      <c r="V7">
        <v>23.258455000000001</v>
      </c>
      <c r="W7">
        <v>22.619059</v>
      </c>
      <c r="X7">
        <v>21.859667000000002</v>
      </c>
      <c r="Y7">
        <v>21.127310000000001</v>
      </c>
      <c r="Z7">
        <v>20.795254</v>
      </c>
      <c r="AA7">
        <v>20.580475</v>
      </c>
      <c r="AB7">
        <v>20.290823</v>
      </c>
      <c r="AC7">
        <v>20.049289999999999</v>
      </c>
      <c r="AD7">
        <v>19.844743999999999</v>
      </c>
      <c r="AE7">
        <v>19.563354</v>
      </c>
      <c r="AF7">
        <v>19.383772</v>
      </c>
      <c r="AG7">
        <v>18.990673000000001</v>
      </c>
      <c r="AH7">
        <v>18.75581</v>
      </c>
      <c r="AI7">
        <v>18.058942999999999</v>
      </c>
      <c r="AJ7">
        <v>17.889192999999999</v>
      </c>
      <c r="AK7" s="13">
        <v>-1.2E-2</v>
      </c>
    </row>
    <row r="8" spans="1:37">
      <c r="A8" t="s">
        <v>93</v>
      </c>
      <c r="B8" t="s">
        <v>259</v>
      </c>
      <c r="C8" t="s">
        <v>260</v>
      </c>
      <c r="D8" t="s">
        <v>92</v>
      </c>
      <c r="E8">
        <v>6.6019019999999999</v>
      </c>
      <c r="F8">
        <v>7.0131209999999999</v>
      </c>
      <c r="G8">
        <v>7.0318370000000003</v>
      </c>
      <c r="H8">
        <v>7.7194089999999997</v>
      </c>
      <c r="I8">
        <v>7.7620170000000002</v>
      </c>
      <c r="J8">
        <v>7.8266299999999998</v>
      </c>
      <c r="K8">
        <v>7.8951739999999999</v>
      </c>
      <c r="L8">
        <v>8.0222289999999994</v>
      </c>
      <c r="M8">
        <v>8.1378059999999994</v>
      </c>
      <c r="N8">
        <v>8.1664309999999993</v>
      </c>
      <c r="O8">
        <v>8.1331109999999995</v>
      </c>
      <c r="P8">
        <v>8.0505329999999997</v>
      </c>
      <c r="Q8">
        <v>7.9753619999999996</v>
      </c>
      <c r="R8">
        <v>7.9259500000000003</v>
      </c>
      <c r="S8">
        <v>7.9121259999999998</v>
      </c>
      <c r="T8">
        <v>7.9003370000000004</v>
      </c>
      <c r="U8">
        <v>7.8853970000000002</v>
      </c>
      <c r="V8">
        <v>7.7756059999999998</v>
      </c>
      <c r="W8">
        <v>7.6862690000000002</v>
      </c>
      <c r="X8">
        <v>7.5954220000000001</v>
      </c>
      <c r="Y8">
        <v>7.5286359999999997</v>
      </c>
      <c r="Z8">
        <v>7.5056310000000002</v>
      </c>
      <c r="AA8">
        <v>7.481814</v>
      </c>
      <c r="AB8">
        <v>7.4500520000000003</v>
      </c>
      <c r="AC8">
        <v>7.4116249999999999</v>
      </c>
      <c r="AD8">
        <v>7.3861990000000004</v>
      </c>
      <c r="AE8">
        <v>7.3686999999999996</v>
      </c>
      <c r="AF8">
        <v>7.3313759999999997</v>
      </c>
      <c r="AG8">
        <v>7.2861560000000001</v>
      </c>
      <c r="AH8">
        <v>7.2621349999999998</v>
      </c>
      <c r="AI8">
        <v>7.210731</v>
      </c>
      <c r="AJ8">
        <v>7.2223759999999997</v>
      </c>
      <c r="AK8" s="13">
        <v>3.0000000000000001E-3</v>
      </c>
    </row>
    <row r="9" spans="1:37">
      <c r="A9" t="s">
        <v>94</v>
      </c>
      <c r="B9" t="s">
        <v>261</v>
      </c>
      <c r="C9" t="s">
        <v>262</v>
      </c>
      <c r="D9" t="s">
        <v>92</v>
      </c>
      <c r="E9">
        <v>35.062331999999998</v>
      </c>
      <c r="F9">
        <v>35.602218999999998</v>
      </c>
      <c r="G9">
        <v>36.328583000000002</v>
      </c>
      <c r="H9">
        <v>36.583736000000002</v>
      </c>
      <c r="I9">
        <v>36.878757</v>
      </c>
      <c r="J9">
        <v>37.354064999999999</v>
      </c>
      <c r="K9">
        <v>38.061981000000003</v>
      </c>
      <c r="L9">
        <v>38.518959000000002</v>
      </c>
      <c r="M9">
        <v>38.569378</v>
      </c>
      <c r="N9">
        <v>38.84798</v>
      </c>
      <c r="O9">
        <v>38.933734999999999</v>
      </c>
      <c r="P9">
        <v>38.781714999999998</v>
      </c>
      <c r="Q9">
        <v>38.916611000000003</v>
      </c>
      <c r="R9">
        <v>39.219898000000001</v>
      </c>
      <c r="S9">
        <v>39.647972000000003</v>
      </c>
      <c r="T9">
        <v>40.122334000000002</v>
      </c>
      <c r="U9">
        <v>40.409599</v>
      </c>
      <c r="V9">
        <v>40.739857000000001</v>
      </c>
      <c r="W9">
        <v>40.965279000000002</v>
      </c>
      <c r="X9">
        <v>41.255074</v>
      </c>
      <c r="Y9">
        <v>41.424351000000001</v>
      </c>
      <c r="Z9">
        <v>41.637279999999997</v>
      </c>
      <c r="AA9">
        <v>41.787239</v>
      </c>
      <c r="AB9">
        <v>41.991978000000003</v>
      </c>
      <c r="AC9">
        <v>42.191372000000001</v>
      </c>
      <c r="AD9">
        <v>42.475757999999999</v>
      </c>
      <c r="AE9">
        <v>42.666694999999997</v>
      </c>
      <c r="AF9">
        <v>42.953116999999999</v>
      </c>
      <c r="AG9">
        <v>43.116706999999998</v>
      </c>
      <c r="AH9">
        <v>43.437992000000001</v>
      </c>
      <c r="AI9">
        <v>43.775939999999999</v>
      </c>
      <c r="AJ9">
        <v>44.196773999999998</v>
      </c>
      <c r="AK9" s="13">
        <v>7.0000000000000001E-3</v>
      </c>
    </row>
    <row r="10" spans="1:37">
      <c r="A10" t="s">
        <v>41</v>
      </c>
      <c r="B10" t="s">
        <v>263</v>
      </c>
      <c r="C10" t="s">
        <v>264</v>
      </c>
      <c r="D10" t="s">
        <v>92</v>
      </c>
      <c r="E10">
        <v>13.569163</v>
      </c>
      <c r="F10">
        <v>12.266121999999999</v>
      </c>
      <c r="G10">
        <v>12.101254000000001</v>
      </c>
      <c r="H10">
        <v>12.207241</v>
      </c>
      <c r="I10">
        <v>11.761948</v>
      </c>
      <c r="J10">
        <v>11.663107</v>
      </c>
      <c r="K10">
        <v>11.161038</v>
      </c>
      <c r="L10">
        <v>11.486889</v>
      </c>
      <c r="M10">
        <v>11.507104999999999</v>
      </c>
      <c r="N10">
        <v>11.521273000000001</v>
      </c>
      <c r="O10">
        <v>11.45359</v>
      </c>
      <c r="P10">
        <v>11.398033</v>
      </c>
      <c r="Q10">
        <v>11.320897</v>
      </c>
      <c r="R10">
        <v>11.303694</v>
      </c>
      <c r="S10">
        <v>11.389003000000001</v>
      </c>
      <c r="T10">
        <v>11.374104000000001</v>
      </c>
      <c r="U10">
        <v>11.29143</v>
      </c>
      <c r="V10">
        <v>11.318117000000001</v>
      </c>
      <c r="W10">
        <v>11.325289</v>
      </c>
      <c r="X10">
        <v>11.333085000000001</v>
      </c>
      <c r="Y10">
        <v>11.325526</v>
      </c>
      <c r="Z10">
        <v>11.289045</v>
      </c>
      <c r="AA10">
        <v>11.228716</v>
      </c>
      <c r="AB10">
        <v>11.212287999999999</v>
      </c>
      <c r="AC10">
        <v>11.169162</v>
      </c>
      <c r="AD10">
        <v>11.146569</v>
      </c>
      <c r="AE10">
        <v>11.139802</v>
      </c>
      <c r="AF10">
        <v>11.165558000000001</v>
      </c>
      <c r="AG10">
        <v>11.151026</v>
      </c>
      <c r="AH10">
        <v>11.152638</v>
      </c>
      <c r="AI10">
        <v>11.137027</v>
      </c>
      <c r="AJ10">
        <v>11.186934000000001</v>
      </c>
      <c r="AK10" s="13">
        <v>-6.0000000000000001E-3</v>
      </c>
    </row>
    <row r="11" spans="1:37">
      <c r="A11" t="s">
        <v>95</v>
      </c>
      <c r="B11" t="s">
        <v>265</v>
      </c>
      <c r="C11" t="s">
        <v>266</v>
      </c>
      <c r="D11" t="s">
        <v>92</v>
      </c>
      <c r="E11">
        <v>8.4447749999999999</v>
      </c>
      <c r="F11">
        <v>8.2843739999999997</v>
      </c>
      <c r="G11">
        <v>8.1616649999999993</v>
      </c>
      <c r="H11">
        <v>8.0085010000000008</v>
      </c>
      <c r="I11">
        <v>8.0299270000000007</v>
      </c>
      <c r="J11">
        <v>8.0625940000000007</v>
      </c>
      <c r="K11">
        <v>7.9799249999999997</v>
      </c>
      <c r="L11">
        <v>7.0976100000000004</v>
      </c>
      <c r="M11">
        <v>7.1012180000000003</v>
      </c>
      <c r="N11">
        <v>7.1043690000000002</v>
      </c>
      <c r="O11">
        <v>7.1085820000000002</v>
      </c>
      <c r="P11">
        <v>7.1156540000000001</v>
      </c>
      <c r="Q11">
        <v>7.1269830000000001</v>
      </c>
      <c r="R11">
        <v>7.1348640000000003</v>
      </c>
      <c r="S11">
        <v>7.0514400000000004</v>
      </c>
      <c r="T11">
        <v>6.7987960000000003</v>
      </c>
      <c r="U11">
        <v>6.8134930000000002</v>
      </c>
      <c r="V11">
        <v>6.8244210000000001</v>
      </c>
      <c r="W11">
        <v>6.8266299999999998</v>
      </c>
      <c r="X11">
        <v>6.8288330000000004</v>
      </c>
      <c r="Y11">
        <v>6.8288330000000004</v>
      </c>
      <c r="Z11">
        <v>6.8324410000000002</v>
      </c>
      <c r="AA11">
        <v>6.8455399999999997</v>
      </c>
      <c r="AB11">
        <v>6.8550120000000003</v>
      </c>
      <c r="AC11">
        <v>6.8641500000000004</v>
      </c>
      <c r="AD11">
        <v>6.872052</v>
      </c>
      <c r="AE11">
        <v>6.8806149999999997</v>
      </c>
      <c r="AF11">
        <v>6.8850720000000001</v>
      </c>
      <c r="AG11">
        <v>6.8895289999999996</v>
      </c>
      <c r="AH11">
        <v>6.8923040000000002</v>
      </c>
      <c r="AI11">
        <v>6.8956580000000001</v>
      </c>
      <c r="AJ11">
        <v>6.9005049999999999</v>
      </c>
      <c r="AK11" s="13">
        <v>-6.0000000000000001E-3</v>
      </c>
    </row>
    <row r="12" spans="1:37">
      <c r="A12" t="s">
        <v>96</v>
      </c>
      <c r="B12" t="s">
        <v>267</v>
      </c>
      <c r="C12" t="s">
        <v>268</v>
      </c>
      <c r="D12" t="s">
        <v>92</v>
      </c>
      <c r="E12">
        <v>2.6272549999999999</v>
      </c>
      <c r="F12">
        <v>2.6285090000000002</v>
      </c>
      <c r="G12">
        <v>2.6128019999999998</v>
      </c>
      <c r="H12">
        <v>2.5651579999999998</v>
      </c>
      <c r="I12">
        <v>2.526697</v>
      </c>
      <c r="J12">
        <v>2.4870640000000002</v>
      </c>
      <c r="K12">
        <v>2.4730880000000002</v>
      </c>
      <c r="L12">
        <v>2.4123290000000002</v>
      </c>
      <c r="M12">
        <v>2.3993120000000001</v>
      </c>
      <c r="N12">
        <v>2.3905789999999998</v>
      </c>
      <c r="O12">
        <v>2.386495</v>
      </c>
      <c r="P12">
        <v>2.3808500000000001</v>
      </c>
      <c r="Q12">
        <v>2.3814510000000002</v>
      </c>
      <c r="R12">
        <v>2.3702299999999998</v>
      </c>
      <c r="S12">
        <v>2.3679559999999999</v>
      </c>
      <c r="T12">
        <v>2.3672029999999999</v>
      </c>
      <c r="U12">
        <v>2.3604430000000001</v>
      </c>
      <c r="V12">
        <v>2.3529339999999999</v>
      </c>
      <c r="W12">
        <v>2.3477239999999999</v>
      </c>
      <c r="X12">
        <v>2.3396149999999998</v>
      </c>
      <c r="Y12">
        <v>2.3307159999999998</v>
      </c>
      <c r="Z12">
        <v>2.3242219999999998</v>
      </c>
      <c r="AA12">
        <v>2.3154029999999999</v>
      </c>
      <c r="AB12">
        <v>2.3167759999999999</v>
      </c>
      <c r="AC12">
        <v>2.304802</v>
      </c>
      <c r="AD12">
        <v>2.2916650000000001</v>
      </c>
      <c r="AE12">
        <v>2.2925650000000002</v>
      </c>
      <c r="AF12">
        <v>2.301539</v>
      </c>
      <c r="AG12">
        <v>2.2998530000000001</v>
      </c>
      <c r="AH12">
        <v>2.300173</v>
      </c>
      <c r="AI12">
        <v>2.2953619999999999</v>
      </c>
      <c r="AJ12">
        <v>2.2751169999999998</v>
      </c>
      <c r="AK12" s="13">
        <v>-5.0000000000000001E-3</v>
      </c>
    </row>
    <row r="13" spans="1:37">
      <c r="A13" t="s">
        <v>97</v>
      </c>
      <c r="B13" t="s">
        <v>269</v>
      </c>
      <c r="C13" t="s">
        <v>270</v>
      </c>
      <c r="D13" t="s">
        <v>92</v>
      </c>
      <c r="E13">
        <v>4.8243939999999998</v>
      </c>
      <c r="F13">
        <v>4.7110440000000002</v>
      </c>
      <c r="G13">
        <v>4.7390280000000002</v>
      </c>
      <c r="H13">
        <v>4.7812989999999997</v>
      </c>
      <c r="I13">
        <v>4.7933940000000002</v>
      </c>
      <c r="J13">
        <v>4.8224470000000004</v>
      </c>
      <c r="K13">
        <v>4.8631609999999998</v>
      </c>
      <c r="L13">
        <v>4.9029360000000004</v>
      </c>
      <c r="M13">
        <v>4.9313409999999998</v>
      </c>
      <c r="N13">
        <v>4.9650980000000002</v>
      </c>
      <c r="O13">
        <v>5.0090940000000002</v>
      </c>
      <c r="P13">
        <v>5.0410589999999997</v>
      </c>
      <c r="Q13">
        <v>5.0621260000000001</v>
      </c>
      <c r="R13">
        <v>5.0761710000000004</v>
      </c>
      <c r="S13">
        <v>5.0914460000000004</v>
      </c>
      <c r="T13">
        <v>5.1119779999999997</v>
      </c>
      <c r="U13">
        <v>5.1351560000000003</v>
      </c>
      <c r="V13">
        <v>5.1560439999999996</v>
      </c>
      <c r="W13">
        <v>5.1620970000000002</v>
      </c>
      <c r="X13">
        <v>5.1787020000000004</v>
      </c>
      <c r="Y13">
        <v>5.1899769999999998</v>
      </c>
      <c r="Z13">
        <v>5.2015159999999998</v>
      </c>
      <c r="AA13">
        <v>5.2175250000000002</v>
      </c>
      <c r="AB13">
        <v>5.2378809999999998</v>
      </c>
      <c r="AC13">
        <v>5.2526799999999998</v>
      </c>
      <c r="AD13">
        <v>5.2824239999999998</v>
      </c>
      <c r="AE13">
        <v>5.3167869999999997</v>
      </c>
      <c r="AF13">
        <v>5.3610350000000002</v>
      </c>
      <c r="AG13">
        <v>5.3952980000000004</v>
      </c>
      <c r="AH13">
        <v>5.4301849999999998</v>
      </c>
      <c r="AI13">
        <v>5.464798</v>
      </c>
      <c r="AJ13">
        <v>5.5123689999999996</v>
      </c>
      <c r="AK13" s="13">
        <v>4.0000000000000001E-3</v>
      </c>
    </row>
    <row r="14" spans="1:37">
      <c r="A14" t="s">
        <v>98</v>
      </c>
      <c r="B14" t="s">
        <v>271</v>
      </c>
      <c r="C14" t="s">
        <v>272</v>
      </c>
      <c r="D14" t="s">
        <v>92</v>
      </c>
      <c r="E14">
        <v>3.986612</v>
      </c>
      <c r="F14">
        <v>4.4820460000000004</v>
      </c>
      <c r="G14">
        <v>5.0687139999999999</v>
      </c>
      <c r="H14">
        <v>5.8242050000000001</v>
      </c>
      <c r="I14">
        <v>6.3803599999999996</v>
      </c>
      <c r="J14">
        <v>6.6352669999999998</v>
      </c>
      <c r="K14">
        <v>6.9876170000000002</v>
      </c>
      <c r="L14">
        <v>7.0815440000000001</v>
      </c>
      <c r="M14">
        <v>7.2283309999999998</v>
      </c>
      <c r="N14">
        <v>7.4068560000000003</v>
      </c>
      <c r="O14">
        <v>7.587415</v>
      </c>
      <c r="P14">
        <v>7.9711429999999996</v>
      </c>
      <c r="Q14">
        <v>8.1253270000000004</v>
      </c>
      <c r="R14">
        <v>8.205686</v>
      </c>
      <c r="S14">
        <v>8.2752560000000006</v>
      </c>
      <c r="T14">
        <v>8.3535489999999992</v>
      </c>
      <c r="U14">
        <v>8.6375379999999993</v>
      </c>
      <c r="V14">
        <v>8.7805970000000002</v>
      </c>
      <c r="W14">
        <v>8.9088619999999992</v>
      </c>
      <c r="X14">
        <v>9.0720620000000007</v>
      </c>
      <c r="Y14">
        <v>9.2645750000000007</v>
      </c>
      <c r="Z14">
        <v>9.4776659999999993</v>
      </c>
      <c r="AA14">
        <v>9.7144189999999995</v>
      </c>
      <c r="AB14">
        <v>9.9868290000000002</v>
      </c>
      <c r="AC14">
        <v>10.305541</v>
      </c>
      <c r="AD14">
        <v>10.685574000000001</v>
      </c>
      <c r="AE14">
        <v>11.118423</v>
      </c>
      <c r="AF14">
        <v>11.529121</v>
      </c>
      <c r="AG14">
        <v>11.991935</v>
      </c>
      <c r="AH14">
        <v>12.395348</v>
      </c>
      <c r="AI14">
        <v>12.651403999999999</v>
      </c>
      <c r="AJ14">
        <v>13.018019000000001</v>
      </c>
      <c r="AK14" s="13">
        <v>3.9E-2</v>
      </c>
    </row>
    <row r="15" spans="1:37">
      <c r="A15" t="s">
        <v>99</v>
      </c>
      <c r="B15" t="s">
        <v>273</v>
      </c>
      <c r="C15" t="s">
        <v>274</v>
      </c>
      <c r="D15" t="s">
        <v>92</v>
      </c>
      <c r="E15">
        <v>1.419109</v>
      </c>
      <c r="F15">
        <v>0.64468899999999996</v>
      </c>
      <c r="G15">
        <v>0.638378</v>
      </c>
      <c r="H15">
        <v>0.68473899999999999</v>
      </c>
      <c r="I15">
        <v>0.77375400000000005</v>
      </c>
      <c r="J15">
        <v>0.80447199999999996</v>
      </c>
      <c r="K15">
        <v>0.74669799999999997</v>
      </c>
      <c r="L15">
        <v>0.57951900000000001</v>
      </c>
      <c r="M15">
        <v>0.57095700000000005</v>
      </c>
      <c r="N15">
        <v>0.56942000000000004</v>
      </c>
      <c r="O15">
        <v>0.57269000000000003</v>
      </c>
      <c r="P15">
        <v>0.54172600000000004</v>
      </c>
      <c r="Q15">
        <v>0.55627499999999996</v>
      </c>
      <c r="R15">
        <v>0.58449600000000002</v>
      </c>
      <c r="S15">
        <v>0.58488700000000005</v>
      </c>
      <c r="T15">
        <v>0.58470999999999995</v>
      </c>
      <c r="U15">
        <v>0.58955100000000005</v>
      </c>
      <c r="V15">
        <v>0.58454399999999995</v>
      </c>
      <c r="W15">
        <v>0.58668100000000001</v>
      </c>
      <c r="X15">
        <v>0.59466799999999997</v>
      </c>
      <c r="Y15">
        <v>0.59889700000000001</v>
      </c>
      <c r="Z15">
        <v>0.59419299999999997</v>
      </c>
      <c r="AA15">
        <v>0.59809599999999996</v>
      </c>
      <c r="AB15">
        <v>0.59884899999999996</v>
      </c>
      <c r="AC15">
        <v>0.59526500000000004</v>
      </c>
      <c r="AD15">
        <v>0.59676600000000002</v>
      </c>
      <c r="AE15">
        <v>0.59541200000000005</v>
      </c>
      <c r="AF15">
        <v>0.597831</v>
      </c>
      <c r="AG15">
        <v>0.59451200000000004</v>
      </c>
      <c r="AH15">
        <v>0.59765500000000005</v>
      </c>
      <c r="AI15">
        <v>0.60124500000000003</v>
      </c>
      <c r="AJ15">
        <v>0.60130399999999995</v>
      </c>
      <c r="AK15" s="13">
        <v>-2.7E-2</v>
      </c>
    </row>
    <row r="16" spans="1:37">
      <c r="A16" t="s">
        <v>100</v>
      </c>
      <c r="B16" t="s">
        <v>275</v>
      </c>
      <c r="C16" t="s">
        <v>276</v>
      </c>
      <c r="D16" t="s">
        <v>92</v>
      </c>
      <c r="E16">
        <v>102.15445699999999</v>
      </c>
      <c r="F16">
        <v>101.477692</v>
      </c>
      <c r="G16">
        <v>102.850571</v>
      </c>
      <c r="H16">
        <v>104.96341700000001</v>
      </c>
      <c r="I16">
        <v>105.611099</v>
      </c>
      <c r="J16">
        <v>106.316551</v>
      </c>
      <c r="K16">
        <v>106.712074</v>
      </c>
      <c r="L16">
        <v>106.73246</v>
      </c>
      <c r="M16">
        <v>106.99546100000001</v>
      </c>
      <c r="N16">
        <v>107.166847</v>
      </c>
      <c r="O16">
        <v>107.155052</v>
      </c>
      <c r="P16">
        <v>107.08422899999999</v>
      </c>
      <c r="Q16">
        <v>107.0625</v>
      </c>
      <c r="R16">
        <v>107.15419799999999</v>
      </c>
      <c r="S16">
        <v>107.259857</v>
      </c>
      <c r="T16">
        <v>107.08768499999999</v>
      </c>
      <c r="U16">
        <v>107.150177</v>
      </c>
      <c r="V16">
        <v>106.79057299999999</v>
      </c>
      <c r="W16">
        <v>106.427879</v>
      </c>
      <c r="X16">
        <v>106.057121</v>
      </c>
      <c r="Y16">
        <v>105.618813</v>
      </c>
      <c r="Z16">
        <v>105.657257</v>
      </c>
      <c r="AA16">
        <v>105.769226</v>
      </c>
      <c r="AB16">
        <v>105.940483</v>
      </c>
      <c r="AC16">
        <v>106.143883</v>
      </c>
      <c r="AD16">
        <v>106.58174099999999</v>
      </c>
      <c r="AE16">
        <v>106.942352</v>
      </c>
      <c r="AF16">
        <v>107.50842299999999</v>
      </c>
      <c r="AG16">
        <v>107.71569100000001</v>
      </c>
      <c r="AH16">
        <v>108.224243</v>
      </c>
      <c r="AI16">
        <v>108.09111</v>
      </c>
      <c r="AJ16">
        <v>108.802589</v>
      </c>
      <c r="AK16" s="13">
        <v>2E-3</v>
      </c>
    </row>
    <row r="17" spans="1:37">
      <c r="A17" t="s">
        <v>101</v>
      </c>
      <c r="C17" t="s">
        <v>236</v>
      </c>
    </row>
    <row r="18" spans="1:37">
      <c r="A18" t="s">
        <v>102</v>
      </c>
      <c r="B18" t="s">
        <v>277</v>
      </c>
      <c r="C18" t="s">
        <v>278</v>
      </c>
      <c r="D18" t="s">
        <v>92</v>
      </c>
      <c r="E18">
        <v>15.641063000000001</v>
      </c>
      <c r="F18">
        <v>11.665315</v>
      </c>
      <c r="G18">
        <v>11.633667000000001</v>
      </c>
      <c r="H18">
        <v>11.710259000000001</v>
      </c>
      <c r="I18">
        <v>11.446770000000001</v>
      </c>
      <c r="J18">
        <v>11.304909</v>
      </c>
      <c r="K18">
        <v>11.430619999999999</v>
      </c>
      <c r="L18">
        <v>11.278826</v>
      </c>
      <c r="M18">
        <v>11.150947</v>
      </c>
      <c r="N18">
        <v>11.447042</v>
      </c>
      <c r="O18">
        <v>11.583698999999999</v>
      </c>
      <c r="P18">
        <v>11.560841999999999</v>
      </c>
      <c r="Q18">
        <v>11.758558000000001</v>
      </c>
      <c r="R18">
        <v>12.181644</v>
      </c>
      <c r="S18">
        <v>12.432437999999999</v>
      </c>
      <c r="T18">
        <v>12.708553999999999</v>
      </c>
      <c r="U18">
        <v>13.106436</v>
      </c>
      <c r="V18">
        <v>13.751465</v>
      </c>
      <c r="W18">
        <v>14.326617000000001</v>
      </c>
      <c r="X18">
        <v>15.061883</v>
      </c>
      <c r="Y18">
        <v>15.63039</v>
      </c>
      <c r="Z18">
        <v>15.860557999999999</v>
      </c>
      <c r="AA18">
        <v>16.058409000000001</v>
      </c>
      <c r="AB18">
        <v>16.305902</v>
      </c>
      <c r="AC18">
        <v>16.472135999999999</v>
      </c>
      <c r="AD18">
        <v>16.660617999999999</v>
      </c>
      <c r="AE18">
        <v>16.826160000000002</v>
      </c>
      <c r="AF18">
        <v>17.030228000000001</v>
      </c>
      <c r="AG18">
        <v>17.165206999999999</v>
      </c>
      <c r="AH18">
        <v>17.435168999999998</v>
      </c>
      <c r="AI18">
        <v>18.207388000000002</v>
      </c>
      <c r="AJ18">
        <v>18.259314</v>
      </c>
      <c r="AK18" s="13">
        <v>5.0000000000000001E-3</v>
      </c>
    </row>
    <row r="19" spans="1:37">
      <c r="A19" t="s">
        <v>103</v>
      </c>
      <c r="B19" t="s">
        <v>279</v>
      </c>
      <c r="C19" t="s">
        <v>280</v>
      </c>
      <c r="D19" t="s">
        <v>92</v>
      </c>
      <c r="E19">
        <v>4.8020490000000002</v>
      </c>
      <c r="F19">
        <v>4.8634750000000002</v>
      </c>
      <c r="G19">
        <v>4.7867899999999999</v>
      </c>
      <c r="H19">
        <v>4.7154199999999999</v>
      </c>
      <c r="I19">
        <v>4.6201540000000003</v>
      </c>
      <c r="J19">
        <v>4.5459800000000001</v>
      </c>
      <c r="K19">
        <v>4.4997230000000004</v>
      </c>
      <c r="L19">
        <v>4.400881</v>
      </c>
      <c r="M19">
        <v>4.3122319999999998</v>
      </c>
      <c r="N19">
        <v>4.2728349999999997</v>
      </c>
      <c r="O19">
        <v>4.3274299999999997</v>
      </c>
      <c r="P19">
        <v>4.4859369999999998</v>
      </c>
      <c r="Q19">
        <v>4.8069269999999999</v>
      </c>
      <c r="R19">
        <v>5.0064089999999997</v>
      </c>
      <c r="S19">
        <v>5.1290009999999997</v>
      </c>
      <c r="T19">
        <v>5.2512090000000002</v>
      </c>
      <c r="U19">
        <v>5.4212490000000004</v>
      </c>
      <c r="V19">
        <v>5.6139960000000002</v>
      </c>
      <c r="W19">
        <v>5.7148209999999997</v>
      </c>
      <c r="X19">
        <v>5.8944530000000004</v>
      </c>
      <c r="Y19">
        <v>6.129588</v>
      </c>
      <c r="Z19">
        <v>6.3045049999999998</v>
      </c>
      <c r="AA19">
        <v>6.3515170000000003</v>
      </c>
      <c r="AB19">
        <v>6.4827450000000004</v>
      </c>
      <c r="AC19">
        <v>6.5922850000000004</v>
      </c>
      <c r="AD19">
        <v>6.6746749999999997</v>
      </c>
      <c r="AE19">
        <v>6.7616750000000003</v>
      </c>
      <c r="AF19">
        <v>6.8334770000000002</v>
      </c>
      <c r="AG19">
        <v>6.9965869999999999</v>
      </c>
      <c r="AH19">
        <v>7.0310119999999996</v>
      </c>
      <c r="AI19">
        <v>7.1224679999999996</v>
      </c>
      <c r="AJ19">
        <v>7.2556000000000003</v>
      </c>
      <c r="AK19" s="13">
        <v>1.2999999999999999E-2</v>
      </c>
    </row>
    <row r="20" spans="1:37">
      <c r="A20" t="s">
        <v>104</v>
      </c>
      <c r="B20" t="s">
        <v>281</v>
      </c>
      <c r="C20" t="s">
        <v>282</v>
      </c>
      <c r="D20" t="s">
        <v>92</v>
      </c>
      <c r="E20">
        <v>2.7906930000000001</v>
      </c>
      <c r="F20">
        <v>2.7292969999999999</v>
      </c>
      <c r="G20">
        <v>2.427009</v>
      </c>
      <c r="H20">
        <v>2.315849</v>
      </c>
      <c r="I20">
        <v>2.1933340000000001</v>
      </c>
      <c r="J20">
        <v>2.1797559999999998</v>
      </c>
      <c r="K20">
        <v>2.2360180000000001</v>
      </c>
      <c r="L20">
        <v>2.300297</v>
      </c>
      <c r="M20">
        <v>2.1740849999999998</v>
      </c>
      <c r="N20">
        <v>1.929076</v>
      </c>
      <c r="O20">
        <v>1.881888</v>
      </c>
      <c r="P20">
        <v>1.8405670000000001</v>
      </c>
      <c r="Q20">
        <v>1.9196040000000001</v>
      </c>
      <c r="R20">
        <v>1.8509709999999999</v>
      </c>
      <c r="S20">
        <v>1.6935579999999999</v>
      </c>
      <c r="T20">
        <v>1.6615770000000001</v>
      </c>
      <c r="U20">
        <v>1.627362</v>
      </c>
      <c r="V20">
        <v>1.6189690000000001</v>
      </c>
      <c r="W20">
        <v>1.62276</v>
      </c>
      <c r="X20">
        <v>1.6267100000000001</v>
      </c>
      <c r="Y20">
        <v>1.6266480000000001</v>
      </c>
      <c r="Z20">
        <v>1.6258919999999999</v>
      </c>
      <c r="AA20">
        <v>1.615359</v>
      </c>
      <c r="AB20">
        <v>1.60985</v>
      </c>
      <c r="AC20">
        <v>1.5987130000000001</v>
      </c>
      <c r="AD20">
        <v>1.5572569999999999</v>
      </c>
      <c r="AE20">
        <v>1.5344230000000001</v>
      </c>
      <c r="AF20">
        <v>1.518281</v>
      </c>
      <c r="AG20">
        <v>1.5040960000000001</v>
      </c>
      <c r="AH20">
        <v>1.483552</v>
      </c>
      <c r="AI20">
        <v>1.487009</v>
      </c>
      <c r="AJ20">
        <v>1.4729449999999999</v>
      </c>
      <c r="AK20" s="13">
        <v>-0.02</v>
      </c>
    </row>
    <row r="21" spans="1:37">
      <c r="A21" t="s">
        <v>99</v>
      </c>
      <c r="B21" t="s">
        <v>283</v>
      </c>
      <c r="C21" t="s">
        <v>284</v>
      </c>
      <c r="D21" t="s">
        <v>92</v>
      </c>
      <c r="E21">
        <v>0.29146899999999998</v>
      </c>
      <c r="F21">
        <v>0.29943999999999998</v>
      </c>
      <c r="G21">
        <v>0.19794200000000001</v>
      </c>
      <c r="H21">
        <v>0.19392699999999999</v>
      </c>
      <c r="I21">
        <v>0.19123399999999999</v>
      </c>
      <c r="J21">
        <v>0.19514999999999999</v>
      </c>
      <c r="K21">
        <v>0.188916</v>
      </c>
      <c r="L21">
        <v>0.198351</v>
      </c>
      <c r="M21">
        <v>0.21516299999999999</v>
      </c>
      <c r="N21">
        <v>0.216312</v>
      </c>
      <c r="O21">
        <v>0.21328</v>
      </c>
      <c r="P21">
        <v>0.212419</v>
      </c>
      <c r="Q21">
        <v>0.20466799999999999</v>
      </c>
      <c r="R21">
        <v>0.212838</v>
      </c>
      <c r="S21">
        <v>0.21329100000000001</v>
      </c>
      <c r="T21">
        <v>0.222223</v>
      </c>
      <c r="U21">
        <v>0.22078500000000001</v>
      </c>
      <c r="V21">
        <v>0.216284</v>
      </c>
      <c r="W21">
        <v>0.21506400000000001</v>
      </c>
      <c r="X21">
        <v>0.21445</v>
      </c>
      <c r="Y21">
        <v>0.21537300000000001</v>
      </c>
      <c r="Z21">
        <v>0.21473900000000001</v>
      </c>
      <c r="AA21">
        <v>0.216339</v>
      </c>
      <c r="AB21">
        <v>0.21543399999999999</v>
      </c>
      <c r="AC21">
        <v>0.214117</v>
      </c>
      <c r="AD21">
        <v>0.21323900000000001</v>
      </c>
      <c r="AE21">
        <v>0.215091</v>
      </c>
      <c r="AF21">
        <v>0.216834</v>
      </c>
      <c r="AG21">
        <v>0.20926800000000001</v>
      </c>
      <c r="AH21">
        <v>0.204813</v>
      </c>
      <c r="AI21">
        <v>0.203594</v>
      </c>
      <c r="AJ21">
        <v>0.202851</v>
      </c>
      <c r="AK21" s="13">
        <v>-1.2E-2</v>
      </c>
    </row>
    <row r="22" spans="1:37">
      <c r="A22" t="s">
        <v>100</v>
      </c>
      <c r="B22" t="s">
        <v>285</v>
      </c>
      <c r="C22" t="s">
        <v>286</v>
      </c>
      <c r="D22" t="s">
        <v>92</v>
      </c>
      <c r="E22">
        <v>23.525274</v>
      </c>
      <c r="F22">
        <v>19.557528000000001</v>
      </c>
      <c r="G22">
        <v>19.045407999999998</v>
      </c>
      <c r="H22">
        <v>18.935455000000001</v>
      </c>
      <c r="I22">
        <v>18.451494</v>
      </c>
      <c r="J22">
        <v>18.225795999999999</v>
      </c>
      <c r="K22">
        <v>18.355276</v>
      </c>
      <c r="L22">
        <v>18.178353999999999</v>
      </c>
      <c r="M22">
        <v>17.852426999999999</v>
      </c>
      <c r="N22">
        <v>17.865265000000001</v>
      </c>
      <c r="O22">
        <v>18.006295999999999</v>
      </c>
      <c r="P22">
        <v>18.099764</v>
      </c>
      <c r="Q22">
        <v>18.689755999999999</v>
      </c>
      <c r="R22">
        <v>19.251863</v>
      </c>
      <c r="S22">
        <v>19.468288000000001</v>
      </c>
      <c r="T22">
        <v>19.843563</v>
      </c>
      <c r="U22">
        <v>20.375834000000001</v>
      </c>
      <c r="V22">
        <v>21.200714000000001</v>
      </c>
      <c r="W22">
        <v>21.879263000000002</v>
      </c>
      <c r="X22">
        <v>22.797497</v>
      </c>
      <c r="Y22">
        <v>23.601998999999999</v>
      </c>
      <c r="Z22">
        <v>24.005693000000001</v>
      </c>
      <c r="AA22">
        <v>24.241623000000001</v>
      </c>
      <c r="AB22">
        <v>24.613931999999998</v>
      </c>
      <c r="AC22">
        <v>24.877251000000001</v>
      </c>
      <c r="AD22">
        <v>25.105789000000001</v>
      </c>
      <c r="AE22">
        <v>25.337349</v>
      </c>
      <c r="AF22">
        <v>25.59882</v>
      </c>
      <c r="AG22">
        <v>25.875156</v>
      </c>
      <c r="AH22">
        <v>26.154544999999999</v>
      </c>
      <c r="AI22">
        <v>27.020458000000001</v>
      </c>
      <c r="AJ22">
        <v>27.190709999999999</v>
      </c>
      <c r="AK22" s="13">
        <v>5.0000000000000001E-3</v>
      </c>
    </row>
    <row r="23" spans="1:37">
      <c r="A23" t="s">
        <v>105</v>
      </c>
      <c r="C23" t="s">
        <v>237</v>
      </c>
    </row>
    <row r="24" spans="1:37">
      <c r="A24" t="s">
        <v>103</v>
      </c>
      <c r="B24" t="s">
        <v>287</v>
      </c>
      <c r="C24" t="s">
        <v>288</v>
      </c>
      <c r="D24" t="s">
        <v>92</v>
      </c>
      <c r="E24">
        <v>16.493258999999998</v>
      </c>
      <c r="F24">
        <v>13.574145</v>
      </c>
      <c r="G24">
        <v>13.734940999999999</v>
      </c>
      <c r="H24">
        <v>15.126192</v>
      </c>
      <c r="I24">
        <v>15.216562</v>
      </c>
      <c r="J24">
        <v>15.259130000000001</v>
      </c>
      <c r="K24">
        <v>15.322279</v>
      </c>
      <c r="L24">
        <v>15.280625000000001</v>
      </c>
      <c r="M24">
        <v>15.200627000000001</v>
      </c>
      <c r="N24">
        <v>15.221748</v>
      </c>
      <c r="O24">
        <v>15.22777</v>
      </c>
      <c r="P24">
        <v>15.096653999999999</v>
      </c>
      <c r="Q24">
        <v>15.317458999999999</v>
      </c>
      <c r="R24">
        <v>15.576478</v>
      </c>
      <c r="S24">
        <v>15.468807999999999</v>
      </c>
      <c r="T24">
        <v>15.305052999999999</v>
      </c>
      <c r="U24">
        <v>15.300110999999999</v>
      </c>
      <c r="V24">
        <v>15.087704</v>
      </c>
      <c r="W24">
        <v>14.974684</v>
      </c>
      <c r="X24">
        <v>14.845497999999999</v>
      </c>
      <c r="Y24">
        <v>14.669796</v>
      </c>
      <c r="Z24">
        <v>14.571410999999999</v>
      </c>
      <c r="AA24">
        <v>14.45434</v>
      </c>
      <c r="AB24">
        <v>14.335481</v>
      </c>
      <c r="AC24">
        <v>14.139359000000001</v>
      </c>
      <c r="AD24">
        <v>13.946139000000001</v>
      </c>
      <c r="AE24">
        <v>13.639106</v>
      </c>
      <c r="AF24">
        <v>13.312991</v>
      </c>
      <c r="AG24">
        <v>12.844642</v>
      </c>
      <c r="AH24">
        <v>12.559485</v>
      </c>
      <c r="AI24">
        <v>12.28839</v>
      </c>
      <c r="AJ24">
        <v>11.875002</v>
      </c>
      <c r="AK24" s="13">
        <v>-1.0999999999999999E-2</v>
      </c>
    </row>
    <row r="25" spans="1:37">
      <c r="A25" t="s">
        <v>104</v>
      </c>
      <c r="B25" t="s">
        <v>289</v>
      </c>
      <c r="C25" t="s">
        <v>290</v>
      </c>
      <c r="D25" t="s">
        <v>92</v>
      </c>
      <c r="E25">
        <v>4.4833129999999999</v>
      </c>
      <c r="F25">
        <v>5.3908639999999997</v>
      </c>
      <c r="G25">
        <v>6.3264810000000002</v>
      </c>
      <c r="H25">
        <v>6.7137960000000003</v>
      </c>
      <c r="I25">
        <v>6.944604</v>
      </c>
      <c r="J25">
        <v>7.4650550000000004</v>
      </c>
      <c r="K25">
        <v>8.1123290000000008</v>
      </c>
      <c r="L25">
        <v>8.4874609999999997</v>
      </c>
      <c r="M25">
        <v>8.5337969999999999</v>
      </c>
      <c r="N25">
        <v>8.674061</v>
      </c>
      <c r="O25">
        <v>8.6924220000000005</v>
      </c>
      <c r="P25">
        <v>8.7418499999999995</v>
      </c>
      <c r="Q25">
        <v>8.7756819999999998</v>
      </c>
      <c r="R25">
        <v>8.8314540000000008</v>
      </c>
      <c r="S25">
        <v>8.8555810000000008</v>
      </c>
      <c r="T25">
        <v>8.8916520000000006</v>
      </c>
      <c r="U25">
        <v>8.9209420000000001</v>
      </c>
      <c r="V25">
        <v>8.9727239999999995</v>
      </c>
      <c r="W25">
        <v>8.9651230000000002</v>
      </c>
      <c r="X25">
        <v>8.9836120000000008</v>
      </c>
      <c r="Y25">
        <v>8.9974430000000005</v>
      </c>
      <c r="Z25">
        <v>9.0373210000000004</v>
      </c>
      <c r="AA25">
        <v>9.0243179999999992</v>
      </c>
      <c r="AB25">
        <v>9.0374239999999997</v>
      </c>
      <c r="AC25">
        <v>9.0506609999999998</v>
      </c>
      <c r="AD25">
        <v>9.0907490000000006</v>
      </c>
      <c r="AE25">
        <v>9.0789139999999993</v>
      </c>
      <c r="AF25">
        <v>9.091253</v>
      </c>
      <c r="AG25">
        <v>9.1095600000000001</v>
      </c>
      <c r="AH25">
        <v>9.1556010000000008</v>
      </c>
      <c r="AI25">
        <v>9.1441169999999996</v>
      </c>
      <c r="AJ25">
        <v>9.1370939999999994</v>
      </c>
      <c r="AK25" s="13">
        <v>2.3E-2</v>
      </c>
    </row>
    <row r="26" spans="1:37">
      <c r="A26" t="s">
        <v>41</v>
      </c>
      <c r="B26" t="s">
        <v>291</v>
      </c>
      <c r="C26" t="s">
        <v>292</v>
      </c>
      <c r="D26" t="s">
        <v>92</v>
      </c>
      <c r="E26">
        <v>2.384849</v>
      </c>
      <c r="F26">
        <v>2.0802809999999998</v>
      </c>
      <c r="G26">
        <v>2.2186750000000002</v>
      </c>
      <c r="H26">
        <v>2.7331300000000001</v>
      </c>
      <c r="I26">
        <v>2.7490260000000002</v>
      </c>
      <c r="J26">
        <v>2.7655249999999998</v>
      </c>
      <c r="K26">
        <v>2.7840210000000001</v>
      </c>
      <c r="L26">
        <v>2.799102</v>
      </c>
      <c r="M26">
        <v>2.800643</v>
      </c>
      <c r="N26">
        <v>2.790009</v>
      </c>
      <c r="O26">
        <v>2.7213440000000002</v>
      </c>
      <c r="P26">
        <v>2.693622</v>
      </c>
      <c r="Q26">
        <v>2.6861670000000002</v>
      </c>
      <c r="R26">
        <v>2.6606049999999999</v>
      </c>
      <c r="S26">
        <v>2.659977</v>
      </c>
      <c r="T26">
        <v>2.6593990000000001</v>
      </c>
      <c r="U26">
        <v>2.6898879999999998</v>
      </c>
      <c r="V26">
        <v>2.7083840000000001</v>
      </c>
      <c r="W26">
        <v>2.7079409999999999</v>
      </c>
      <c r="X26">
        <v>2.707541</v>
      </c>
      <c r="Y26">
        <v>2.7055259999999999</v>
      </c>
      <c r="Z26">
        <v>2.705193</v>
      </c>
      <c r="AA26">
        <v>2.7048930000000002</v>
      </c>
      <c r="AB26">
        <v>2.7046320000000001</v>
      </c>
      <c r="AC26">
        <v>2.706099</v>
      </c>
      <c r="AD26">
        <v>2.705911</v>
      </c>
      <c r="AE26">
        <v>2.7057540000000002</v>
      </c>
      <c r="AF26">
        <v>2.7056239999999998</v>
      </c>
      <c r="AG26">
        <v>2.7055229999999999</v>
      </c>
      <c r="AH26">
        <v>2.7054480000000001</v>
      </c>
      <c r="AI26">
        <v>2.7053980000000002</v>
      </c>
      <c r="AJ26">
        <v>2.7181489999999999</v>
      </c>
      <c r="AK26" s="13">
        <v>4.0000000000000001E-3</v>
      </c>
    </row>
    <row r="27" spans="1:37">
      <c r="A27" t="s">
        <v>100</v>
      </c>
      <c r="B27" t="s">
        <v>293</v>
      </c>
      <c r="C27" t="s">
        <v>294</v>
      </c>
      <c r="D27" t="s">
        <v>92</v>
      </c>
      <c r="E27">
        <v>23.361422000000001</v>
      </c>
      <c r="F27">
        <v>21.045292</v>
      </c>
      <c r="G27">
        <v>22.280097999999999</v>
      </c>
      <c r="H27">
        <v>24.573118000000001</v>
      </c>
      <c r="I27">
        <v>24.910194000000001</v>
      </c>
      <c r="J27">
        <v>25.489712000000001</v>
      </c>
      <c r="K27">
        <v>26.218630000000001</v>
      </c>
      <c r="L27">
        <v>26.567188000000002</v>
      </c>
      <c r="M27">
        <v>26.535069</v>
      </c>
      <c r="N27">
        <v>26.685818000000001</v>
      </c>
      <c r="O27">
        <v>26.641537</v>
      </c>
      <c r="P27">
        <v>26.532126999999999</v>
      </c>
      <c r="Q27">
        <v>26.779308</v>
      </c>
      <c r="R27">
        <v>27.068536999999999</v>
      </c>
      <c r="S27">
        <v>26.984366999999999</v>
      </c>
      <c r="T27">
        <v>26.856103999999998</v>
      </c>
      <c r="U27">
        <v>26.910941999999999</v>
      </c>
      <c r="V27">
        <v>26.768812</v>
      </c>
      <c r="W27">
        <v>26.647749000000001</v>
      </c>
      <c r="X27">
        <v>26.536650000000002</v>
      </c>
      <c r="Y27">
        <v>26.372765999999999</v>
      </c>
      <c r="Z27">
        <v>26.313925000000001</v>
      </c>
      <c r="AA27">
        <v>26.18355</v>
      </c>
      <c r="AB27">
        <v>26.077538000000001</v>
      </c>
      <c r="AC27">
        <v>25.896118000000001</v>
      </c>
      <c r="AD27">
        <v>25.742799999999999</v>
      </c>
      <c r="AE27">
        <v>25.423773000000001</v>
      </c>
      <c r="AF27">
        <v>25.109867000000001</v>
      </c>
      <c r="AG27">
        <v>24.659723</v>
      </c>
      <c r="AH27">
        <v>24.420534</v>
      </c>
      <c r="AI27">
        <v>24.137905</v>
      </c>
      <c r="AJ27">
        <v>23.730246000000001</v>
      </c>
      <c r="AK27" s="13">
        <v>1E-3</v>
      </c>
    </row>
    <row r="28" spans="1:37">
      <c r="A28" t="s">
        <v>106</v>
      </c>
      <c r="B28" t="s">
        <v>295</v>
      </c>
      <c r="C28" t="s">
        <v>296</v>
      </c>
      <c r="D28" t="s">
        <v>92</v>
      </c>
      <c r="E28">
        <v>2.3060719999999999</v>
      </c>
      <c r="F28">
        <v>1.0089319999999999</v>
      </c>
      <c r="G28">
        <v>0.29476000000000002</v>
      </c>
      <c r="H28">
        <v>0.224802</v>
      </c>
      <c r="I28">
        <v>0.249949</v>
      </c>
      <c r="J28">
        <v>0.239235</v>
      </c>
      <c r="K28">
        <v>0.23344000000000001</v>
      </c>
      <c r="L28">
        <v>0.25337799999999999</v>
      </c>
      <c r="M28">
        <v>0.25237799999999999</v>
      </c>
      <c r="N28">
        <v>0.27579100000000001</v>
      </c>
      <c r="O28">
        <v>0.280584</v>
      </c>
      <c r="P28">
        <v>0.32749400000000001</v>
      </c>
      <c r="Q28">
        <v>0.33054499999999998</v>
      </c>
      <c r="R28">
        <v>0.301514</v>
      </c>
      <c r="S28">
        <v>0.29944199999999999</v>
      </c>
      <c r="T28">
        <v>0.30944300000000002</v>
      </c>
      <c r="U28">
        <v>0.32331300000000002</v>
      </c>
      <c r="V28">
        <v>0.31669799999999998</v>
      </c>
      <c r="W28">
        <v>0.35398099999999999</v>
      </c>
      <c r="X28">
        <v>0.37093199999999998</v>
      </c>
      <c r="Y28">
        <v>0.353661</v>
      </c>
      <c r="Z28">
        <v>0.36571900000000002</v>
      </c>
      <c r="AA28">
        <v>0.38583899999999999</v>
      </c>
      <c r="AB28">
        <v>0.33183499999999999</v>
      </c>
      <c r="AC28">
        <v>0.28776600000000002</v>
      </c>
      <c r="AD28">
        <v>0.24982299999999999</v>
      </c>
      <c r="AE28">
        <v>0.20138700000000001</v>
      </c>
      <c r="AF28">
        <v>8.2381999999999997E-2</v>
      </c>
      <c r="AG28">
        <v>7.1443999999999994E-2</v>
      </c>
      <c r="AH28">
        <v>1.9692999999999999E-2</v>
      </c>
      <c r="AI28">
        <v>-6.4186000000000007E-2</v>
      </c>
      <c r="AJ28">
        <v>-0.175209</v>
      </c>
      <c r="AK28" t="s">
        <v>107</v>
      </c>
    </row>
    <row r="29" spans="1:37">
      <c r="A29" t="s">
        <v>108</v>
      </c>
      <c r="C29" t="s">
        <v>238</v>
      </c>
    </row>
    <row r="30" spans="1:37">
      <c r="A30" t="s">
        <v>103</v>
      </c>
      <c r="B30" t="s">
        <v>297</v>
      </c>
      <c r="C30" t="s">
        <v>298</v>
      </c>
      <c r="D30" t="s">
        <v>92</v>
      </c>
      <c r="E30">
        <v>38.047812999999998</v>
      </c>
      <c r="F30">
        <v>38.218356999999997</v>
      </c>
      <c r="G30">
        <v>38.315933000000001</v>
      </c>
      <c r="H30">
        <v>38.135249999999999</v>
      </c>
      <c r="I30">
        <v>37.945521999999997</v>
      </c>
      <c r="J30">
        <v>37.755459000000002</v>
      </c>
      <c r="K30">
        <v>37.666454000000002</v>
      </c>
      <c r="L30">
        <v>37.516109</v>
      </c>
      <c r="M30">
        <v>37.418540999999998</v>
      </c>
      <c r="N30">
        <v>37.329262</v>
      </c>
      <c r="O30">
        <v>37.279345999999997</v>
      </c>
      <c r="P30">
        <v>37.260264999999997</v>
      </c>
      <c r="Q30">
        <v>37.285117999999997</v>
      </c>
      <c r="R30">
        <v>37.372909999999997</v>
      </c>
      <c r="S30">
        <v>37.452331999999998</v>
      </c>
      <c r="T30">
        <v>37.529243000000001</v>
      </c>
      <c r="U30">
        <v>37.653289999999998</v>
      </c>
      <c r="V30">
        <v>37.833812999999999</v>
      </c>
      <c r="W30">
        <v>37.913516999999999</v>
      </c>
      <c r="X30">
        <v>38.110092000000002</v>
      </c>
      <c r="Y30">
        <v>38.317345000000003</v>
      </c>
      <c r="Z30">
        <v>38.473376999999999</v>
      </c>
      <c r="AA30">
        <v>38.607089999999999</v>
      </c>
      <c r="AB30">
        <v>38.847698000000001</v>
      </c>
      <c r="AC30">
        <v>39.085445</v>
      </c>
      <c r="AD30">
        <v>39.382629000000001</v>
      </c>
      <c r="AE30">
        <v>39.719645999999997</v>
      </c>
      <c r="AF30">
        <v>40.21114</v>
      </c>
      <c r="AG30">
        <v>40.590572000000002</v>
      </c>
      <c r="AH30">
        <v>40.981437999999997</v>
      </c>
      <c r="AI30">
        <v>41.452637000000003</v>
      </c>
      <c r="AJ30">
        <v>42.005875000000003</v>
      </c>
      <c r="AK30" s="13">
        <v>3.0000000000000001E-3</v>
      </c>
    </row>
    <row r="31" spans="1:37">
      <c r="A31" t="s">
        <v>104</v>
      </c>
      <c r="B31" t="s">
        <v>299</v>
      </c>
      <c r="C31" t="s">
        <v>300</v>
      </c>
      <c r="D31" t="s">
        <v>92</v>
      </c>
      <c r="E31">
        <v>32.145363000000003</v>
      </c>
      <c r="F31">
        <v>31.782903999999998</v>
      </c>
      <c r="G31">
        <v>31.959161999999999</v>
      </c>
      <c r="H31">
        <v>31.738140000000001</v>
      </c>
      <c r="I31">
        <v>31.697299999999998</v>
      </c>
      <c r="J31">
        <v>31.650016999999998</v>
      </c>
      <c r="K31">
        <v>31.772572</v>
      </c>
      <c r="L31">
        <v>31.902802000000001</v>
      </c>
      <c r="M31">
        <v>31.778105</v>
      </c>
      <c r="N31">
        <v>31.661242000000001</v>
      </c>
      <c r="O31">
        <v>31.679559999999999</v>
      </c>
      <c r="P31">
        <v>31.405169000000001</v>
      </c>
      <c r="Q31">
        <v>31.594132999999999</v>
      </c>
      <c r="R31">
        <v>31.790115</v>
      </c>
      <c r="S31">
        <v>32.032981999999997</v>
      </c>
      <c r="T31">
        <v>32.437710000000003</v>
      </c>
      <c r="U31">
        <v>32.648009999999999</v>
      </c>
      <c r="V31">
        <v>32.915332999999997</v>
      </c>
      <c r="W31">
        <v>33.103549999999998</v>
      </c>
      <c r="X31">
        <v>33.376759</v>
      </c>
      <c r="Y31">
        <v>33.532921000000002</v>
      </c>
      <c r="Z31">
        <v>33.689404000000003</v>
      </c>
      <c r="AA31">
        <v>33.821086999999999</v>
      </c>
      <c r="AB31">
        <v>34.001221000000001</v>
      </c>
      <c r="AC31">
        <v>34.174571999999998</v>
      </c>
      <c r="AD31">
        <v>34.360874000000003</v>
      </c>
      <c r="AE31">
        <v>34.519286999999998</v>
      </c>
      <c r="AF31">
        <v>34.799003999999996</v>
      </c>
      <c r="AG31">
        <v>34.88879</v>
      </c>
      <c r="AH31">
        <v>35.143920999999999</v>
      </c>
      <c r="AI31">
        <v>35.506095999999999</v>
      </c>
      <c r="AJ31">
        <v>35.923439000000002</v>
      </c>
      <c r="AK31" s="13">
        <v>4.0000000000000001E-3</v>
      </c>
    </row>
    <row r="32" spans="1:37">
      <c r="A32" t="s">
        <v>41</v>
      </c>
      <c r="B32" t="s">
        <v>301</v>
      </c>
      <c r="C32" t="s">
        <v>302</v>
      </c>
      <c r="D32" t="s">
        <v>92</v>
      </c>
      <c r="E32">
        <v>11.254160000000001</v>
      </c>
      <c r="F32">
        <v>10.230041</v>
      </c>
      <c r="G32">
        <v>9.8561720000000008</v>
      </c>
      <c r="H32">
        <v>9.4883009999999999</v>
      </c>
      <c r="I32">
        <v>8.9840099999999996</v>
      </c>
      <c r="J32">
        <v>8.8641310000000004</v>
      </c>
      <c r="K32">
        <v>8.3577349999999999</v>
      </c>
      <c r="L32">
        <v>8.6662090000000003</v>
      </c>
      <c r="M32">
        <v>8.6901639999999993</v>
      </c>
      <c r="N32">
        <v>8.7088160000000006</v>
      </c>
      <c r="O32">
        <v>8.7084729999999997</v>
      </c>
      <c r="P32">
        <v>8.6725049999999992</v>
      </c>
      <c r="Q32">
        <v>8.6017010000000003</v>
      </c>
      <c r="R32">
        <v>8.6167630000000006</v>
      </c>
      <c r="S32">
        <v>8.7078900000000008</v>
      </c>
      <c r="T32">
        <v>8.6975599999999993</v>
      </c>
      <c r="U32">
        <v>8.5805279999999993</v>
      </c>
      <c r="V32">
        <v>8.588571</v>
      </c>
      <c r="W32">
        <v>8.5947680000000002</v>
      </c>
      <c r="X32">
        <v>8.5993739999999992</v>
      </c>
      <c r="Y32">
        <v>8.5942620000000005</v>
      </c>
      <c r="Z32">
        <v>8.555669</v>
      </c>
      <c r="AA32">
        <v>8.4952509999999997</v>
      </c>
      <c r="AB32">
        <v>8.4813519999999993</v>
      </c>
      <c r="AC32">
        <v>8.4382289999999998</v>
      </c>
      <c r="AD32">
        <v>8.4144400000000008</v>
      </c>
      <c r="AE32">
        <v>8.4058209999999995</v>
      </c>
      <c r="AF32">
        <v>8.4309089999999998</v>
      </c>
      <c r="AG32">
        <v>8.4193300000000004</v>
      </c>
      <c r="AH32">
        <v>8.4213699999999996</v>
      </c>
      <c r="AI32">
        <v>8.4050700000000003</v>
      </c>
      <c r="AJ32">
        <v>8.4432500000000008</v>
      </c>
      <c r="AK32" s="13">
        <v>-8.9999999999999993E-3</v>
      </c>
    </row>
    <row r="33" spans="1:37">
      <c r="A33" t="s">
        <v>95</v>
      </c>
      <c r="B33" t="s">
        <v>303</v>
      </c>
      <c r="C33" t="s">
        <v>304</v>
      </c>
      <c r="D33" t="s">
        <v>92</v>
      </c>
      <c r="E33">
        <v>8.4447749999999999</v>
      </c>
      <c r="F33">
        <v>8.2843739999999997</v>
      </c>
      <c r="G33">
        <v>8.1616649999999993</v>
      </c>
      <c r="H33">
        <v>8.0085010000000008</v>
      </c>
      <c r="I33">
        <v>8.0299270000000007</v>
      </c>
      <c r="J33">
        <v>8.0625940000000007</v>
      </c>
      <c r="K33">
        <v>7.9799249999999997</v>
      </c>
      <c r="L33">
        <v>7.0976100000000004</v>
      </c>
      <c r="M33">
        <v>7.1012180000000003</v>
      </c>
      <c r="N33">
        <v>7.1043690000000002</v>
      </c>
      <c r="O33">
        <v>7.1085820000000002</v>
      </c>
      <c r="P33">
        <v>7.1156540000000001</v>
      </c>
      <c r="Q33">
        <v>7.1269830000000001</v>
      </c>
      <c r="R33">
        <v>7.1348640000000003</v>
      </c>
      <c r="S33">
        <v>7.0514400000000004</v>
      </c>
      <c r="T33">
        <v>6.7987960000000003</v>
      </c>
      <c r="U33">
        <v>6.8134930000000002</v>
      </c>
      <c r="V33">
        <v>6.8244210000000001</v>
      </c>
      <c r="W33">
        <v>6.8266299999999998</v>
      </c>
      <c r="X33">
        <v>6.8288330000000004</v>
      </c>
      <c r="Y33">
        <v>6.8288330000000004</v>
      </c>
      <c r="Z33">
        <v>6.8324410000000002</v>
      </c>
      <c r="AA33">
        <v>6.8455399999999997</v>
      </c>
      <c r="AB33">
        <v>6.8550120000000003</v>
      </c>
      <c r="AC33">
        <v>6.8641500000000004</v>
      </c>
      <c r="AD33">
        <v>6.872052</v>
      </c>
      <c r="AE33">
        <v>6.8806149999999997</v>
      </c>
      <c r="AF33">
        <v>6.8850720000000001</v>
      </c>
      <c r="AG33">
        <v>6.8895289999999996</v>
      </c>
      <c r="AH33">
        <v>6.8923040000000002</v>
      </c>
      <c r="AI33">
        <v>6.8956580000000001</v>
      </c>
      <c r="AJ33">
        <v>6.9005049999999999</v>
      </c>
      <c r="AK33" s="13">
        <v>-6.0000000000000001E-3</v>
      </c>
    </row>
    <row r="34" spans="1:37">
      <c r="A34" t="s">
        <v>96</v>
      </c>
      <c r="B34" t="s">
        <v>305</v>
      </c>
      <c r="C34" t="s">
        <v>306</v>
      </c>
      <c r="D34" t="s">
        <v>92</v>
      </c>
      <c r="E34">
        <v>2.6272549999999999</v>
      </c>
      <c r="F34">
        <v>2.6285090000000002</v>
      </c>
      <c r="G34">
        <v>2.6128019999999998</v>
      </c>
      <c r="H34">
        <v>2.5651579999999998</v>
      </c>
      <c r="I34">
        <v>2.526697</v>
      </c>
      <c r="J34">
        <v>2.4870640000000002</v>
      </c>
      <c r="K34">
        <v>2.4730880000000002</v>
      </c>
      <c r="L34">
        <v>2.4123290000000002</v>
      </c>
      <c r="M34">
        <v>2.3993120000000001</v>
      </c>
      <c r="N34">
        <v>2.3905789999999998</v>
      </c>
      <c r="O34">
        <v>2.386495</v>
      </c>
      <c r="P34">
        <v>2.3808500000000001</v>
      </c>
      <c r="Q34">
        <v>2.3814510000000002</v>
      </c>
      <c r="R34">
        <v>2.3702299999999998</v>
      </c>
      <c r="S34">
        <v>2.3679559999999999</v>
      </c>
      <c r="T34">
        <v>2.3672029999999999</v>
      </c>
      <c r="U34">
        <v>2.3604430000000001</v>
      </c>
      <c r="V34">
        <v>2.3529339999999999</v>
      </c>
      <c r="W34">
        <v>2.3477239999999999</v>
      </c>
      <c r="X34">
        <v>2.3396149999999998</v>
      </c>
      <c r="Y34">
        <v>2.3307159999999998</v>
      </c>
      <c r="Z34">
        <v>2.3242219999999998</v>
      </c>
      <c r="AA34">
        <v>2.3154029999999999</v>
      </c>
      <c r="AB34">
        <v>2.3167759999999999</v>
      </c>
      <c r="AC34">
        <v>2.304802</v>
      </c>
      <c r="AD34">
        <v>2.2916650000000001</v>
      </c>
      <c r="AE34">
        <v>2.2925650000000002</v>
      </c>
      <c r="AF34">
        <v>2.301539</v>
      </c>
      <c r="AG34">
        <v>2.2998530000000001</v>
      </c>
      <c r="AH34">
        <v>2.300173</v>
      </c>
      <c r="AI34">
        <v>2.2953619999999999</v>
      </c>
      <c r="AJ34">
        <v>2.2751169999999998</v>
      </c>
      <c r="AK34" s="13">
        <v>-5.0000000000000001E-3</v>
      </c>
    </row>
    <row r="35" spans="1:37">
      <c r="A35" t="s">
        <v>97</v>
      </c>
      <c r="B35" t="s">
        <v>307</v>
      </c>
      <c r="C35" t="s">
        <v>308</v>
      </c>
      <c r="D35" t="s">
        <v>92</v>
      </c>
      <c r="E35">
        <v>3.2250019999999999</v>
      </c>
      <c r="F35">
        <v>3.0442109999999998</v>
      </c>
      <c r="G35">
        <v>3.0393180000000002</v>
      </c>
      <c r="H35">
        <v>3.0492680000000001</v>
      </c>
      <c r="I35">
        <v>3.0526179999999998</v>
      </c>
      <c r="J35">
        <v>3.0651060000000001</v>
      </c>
      <c r="K35">
        <v>3.0965859999999998</v>
      </c>
      <c r="L35">
        <v>3.1271550000000001</v>
      </c>
      <c r="M35">
        <v>3.1451959999999999</v>
      </c>
      <c r="N35">
        <v>3.1630310000000001</v>
      </c>
      <c r="O35">
        <v>3.1858780000000002</v>
      </c>
      <c r="P35">
        <v>3.206404</v>
      </c>
      <c r="Q35">
        <v>3.2233399999999999</v>
      </c>
      <c r="R35">
        <v>3.2331910000000001</v>
      </c>
      <c r="S35">
        <v>3.2441689999999999</v>
      </c>
      <c r="T35">
        <v>3.260507</v>
      </c>
      <c r="U35">
        <v>3.2790689999999998</v>
      </c>
      <c r="V35">
        <v>3.2954129999999999</v>
      </c>
      <c r="W35">
        <v>3.296697</v>
      </c>
      <c r="X35">
        <v>3.307801</v>
      </c>
      <c r="Y35">
        <v>3.312144</v>
      </c>
      <c r="Z35">
        <v>3.3174980000000001</v>
      </c>
      <c r="AA35">
        <v>3.327871</v>
      </c>
      <c r="AB35">
        <v>3.3426</v>
      </c>
      <c r="AC35">
        <v>3.3522050000000001</v>
      </c>
      <c r="AD35">
        <v>3.3766080000000001</v>
      </c>
      <c r="AE35">
        <v>3.4055629999999999</v>
      </c>
      <c r="AF35">
        <v>3.4444669999999999</v>
      </c>
      <c r="AG35">
        <v>3.4731770000000002</v>
      </c>
      <c r="AH35">
        <v>3.502402</v>
      </c>
      <c r="AI35">
        <v>3.5312510000000001</v>
      </c>
      <c r="AJ35">
        <v>3.5728719999999998</v>
      </c>
      <c r="AK35" s="13">
        <v>3.0000000000000001E-3</v>
      </c>
    </row>
    <row r="36" spans="1:37">
      <c r="A36" t="s">
        <v>98</v>
      </c>
      <c r="B36" t="s">
        <v>309</v>
      </c>
      <c r="C36" t="s">
        <v>310</v>
      </c>
      <c r="D36" t="s">
        <v>92</v>
      </c>
      <c r="E36">
        <v>3.986612</v>
      </c>
      <c r="F36">
        <v>4.4820460000000004</v>
      </c>
      <c r="G36">
        <v>5.0687139999999999</v>
      </c>
      <c r="H36">
        <v>5.8242050000000001</v>
      </c>
      <c r="I36">
        <v>6.3803599999999996</v>
      </c>
      <c r="J36">
        <v>6.6352669999999998</v>
      </c>
      <c r="K36">
        <v>6.9876170000000002</v>
      </c>
      <c r="L36">
        <v>7.0815440000000001</v>
      </c>
      <c r="M36">
        <v>7.2283309999999998</v>
      </c>
      <c r="N36">
        <v>7.4068560000000003</v>
      </c>
      <c r="O36">
        <v>7.587415</v>
      </c>
      <c r="P36">
        <v>7.9711429999999996</v>
      </c>
      <c r="Q36">
        <v>8.1253270000000004</v>
      </c>
      <c r="R36">
        <v>8.205686</v>
      </c>
      <c r="S36">
        <v>8.2752560000000006</v>
      </c>
      <c r="T36">
        <v>8.3535489999999992</v>
      </c>
      <c r="U36">
        <v>8.6375379999999993</v>
      </c>
      <c r="V36">
        <v>8.7805970000000002</v>
      </c>
      <c r="W36">
        <v>8.9088619999999992</v>
      </c>
      <c r="X36">
        <v>9.0720620000000007</v>
      </c>
      <c r="Y36">
        <v>9.2645750000000007</v>
      </c>
      <c r="Z36">
        <v>9.4776659999999993</v>
      </c>
      <c r="AA36">
        <v>9.7144189999999995</v>
      </c>
      <c r="AB36">
        <v>9.9868290000000002</v>
      </c>
      <c r="AC36">
        <v>10.305541</v>
      </c>
      <c r="AD36">
        <v>10.685574000000001</v>
      </c>
      <c r="AE36">
        <v>11.118423</v>
      </c>
      <c r="AF36">
        <v>11.529121</v>
      </c>
      <c r="AG36">
        <v>11.991935</v>
      </c>
      <c r="AH36">
        <v>12.395348</v>
      </c>
      <c r="AI36">
        <v>12.651403999999999</v>
      </c>
      <c r="AJ36">
        <v>13.018019000000001</v>
      </c>
      <c r="AK36" s="13">
        <v>3.9E-2</v>
      </c>
    </row>
    <row r="37" spans="1:37">
      <c r="A37" t="s">
        <v>99</v>
      </c>
      <c r="B37" t="s">
        <v>311</v>
      </c>
      <c r="C37" t="s">
        <v>312</v>
      </c>
      <c r="D37" t="s">
        <v>92</v>
      </c>
      <c r="E37">
        <v>0.28126499999999999</v>
      </c>
      <c r="F37">
        <v>0.310554</v>
      </c>
      <c r="G37">
        <v>0.30735899999999999</v>
      </c>
      <c r="H37">
        <v>0.29213299999999998</v>
      </c>
      <c r="I37">
        <v>0.28600700000000001</v>
      </c>
      <c r="J37">
        <v>0.29376799999999997</v>
      </c>
      <c r="K37">
        <v>0.28129500000000002</v>
      </c>
      <c r="L37">
        <v>0.28648800000000002</v>
      </c>
      <c r="M37">
        <v>0.299566</v>
      </c>
      <c r="N37">
        <v>0.30634699999999998</v>
      </c>
      <c r="O37">
        <v>0.30347600000000002</v>
      </c>
      <c r="P37">
        <v>0.31237100000000001</v>
      </c>
      <c r="Q37">
        <v>0.304342</v>
      </c>
      <c r="R37">
        <v>0.31224800000000003</v>
      </c>
      <c r="S37">
        <v>0.31231199999999998</v>
      </c>
      <c r="T37">
        <v>0.32113900000000001</v>
      </c>
      <c r="U37">
        <v>0.319386</v>
      </c>
      <c r="V37">
        <v>0.314695</v>
      </c>
      <c r="W37">
        <v>0.313664</v>
      </c>
      <c r="X37">
        <v>0.31250899999999998</v>
      </c>
      <c r="Y37">
        <v>0.31359199999999998</v>
      </c>
      <c r="Z37">
        <v>0.31302400000000002</v>
      </c>
      <c r="AA37">
        <v>0.314799</v>
      </c>
      <c r="AB37">
        <v>0.31355300000000003</v>
      </c>
      <c r="AC37">
        <v>0.31230799999999997</v>
      </c>
      <c r="AD37">
        <v>0.31105500000000003</v>
      </c>
      <c r="AE37">
        <v>0.312612</v>
      </c>
      <c r="AF37">
        <v>0.31374200000000002</v>
      </c>
      <c r="AG37">
        <v>0.30650699999999997</v>
      </c>
      <c r="AH37">
        <v>0.30160300000000001</v>
      </c>
      <c r="AI37">
        <v>0.300369</v>
      </c>
      <c r="AJ37">
        <v>0.299176</v>
      </c>
      <c r="AK37" s="13">
        <v>2E-3</v>
      </c>
    </row>
    <row r="38" spans="1:37">
      <c r="A38" t="s">
        <v>100</v>
      </c>
      <c r="B38" t="s">
        <v>313</v>
      </c>
      <c r="C38" t="s">
        <v>314</v>
      </c>
      <c r="D38" t="s">
        <v>92</v>
      </c>
      <c r="E38">
        <v>100.012238</v>
      </c>
      <c r="F38">
        <v>98.980994999999993</v>
      </c>
      <c r="G38">
        <v>99.321121000000005</v>
      </c>
      <c r="H38">
        <v>99.100952000000007</v>
      </c>
      <c r="I38">
        <v>98.902450999999999</v>
      </c>
      <c r="J38">
        <v>98.813400000000001</v>
      </c>
      <c r="K38">
        <v>98.615279999999998</v>
      </c>
      <c r="L38">
        <v>98.090248000000003</v>
      </c>
      <c r="M38">
        <v>98.06044</v>
      </c>
      <c r="N38">
        <v>98.070503000000002</v>
      </c>
      <c r="O38">
        <v>98.239227</v>
      </c>
      <c r="P38">
        <v>98.324370999999999</v>
      </c>
      <c r="Q38">
        <v>98.642403000000002</v>
      </c>
      <c r="R38">
        <v>99.036011000000002</v>
      </c>
      <c r="S38">
        <v>99.444336000000007</v>
      </c>
      <c r="T38">
        <v>99.765701000000007</v>
      </c>
      <c r="U38">
        <v>100.29175600000001</v>
      </c>
      <c r="V38">
        <v>100.905777</v>
      </c>
      <c r="W38">
        <v>101.305412</v>
      </c>
      <c r="X38">
        <v>101.94703699999999</v>
      </c>
      <c r="Y38">
        <v>102.49438499999999</v>
      </c>
      <c r="Z38">
        <v>102.983307</v>
      </c>
      <c r="AA38">
        <v>103.44146000000001</v>
      </c>
      <c r="AB38">
        <v>104.145042</v>
      </c>
      <c r="AC38">
        <v>104.83725</v>
      </c>
      <c r="AD38">
        <v>105.694908</v>
      </c>
      <c r="AE38">
        <v>106.65454099999999</v>
      </c>
      <c r="AF38">
        <v>107.914993</v>
      </c>
      <c r="AG38">
        <v>108.85968</v>
      </c>
      <c r="AH38">
        <v>109.93856</v>
      </c>
      <c r="AI38">
        <v>111.03784899999999</v>
      </c>
      <c r="AJ38">
        <v>112.43826300000001</v>
      </c>
      <c r="AK38" s="13">
        <v>4.0000000000000001E-3</v>
      </c>
    </row>
    <row r="39" spans="1:37">
      <c r="A39" t="s">
        <v>239</v>
      </c>
      <c r="C39" t="s">
        <v>240</v>
      </c>
    </row>
    <row r="40" spans="1:37">
      <c r="A40" t="s">
        <v>109</v>
      </c>
      <c r="B40" t="s">
        <v>315</v>
      </c>
      <c r="C40" t="s">
        <v>316</v>
      </c>
      <c r="D40" t="s">
        <v>241</v>
      </c>
      <c r="E40">
        <v>63.371997999999998</v>
      </c>
      <c r="F40">
        <v>38.010544000000003</v>
      </c>
      <c r="G40">
        <v>34.877121000000002</v>
      </c>
      <c r="H40">
        <v>36.947609</v>
      </c>
      <c r="I40">
        <v>38.215279000000002</v>
      </c>
      <c r="J40">
        <v>39.141005999999997</v>
      </c>
      <c r="K40">
        <v>39.874473999999999</v>
      </c>
      <c r="L40">
        <v>40.483939999999997</v>
      </c>
      <c r="M40">
        <v>41.006500000000003</v>
      </c>
      <c r="N40">
        <v>41.464615000000002</v>
      </c>
      <c r="O40">
        <v>41.872948000000001</v>
      </c>
      <c r="P40">
        <v>42.241627000000001</v>
      </c>
      <c r="Q40">
        <v>42.577922999999998</v>
      </c>
      <c r="R40">
        <v>42.887276</v>
      </c>
      <c r="S40">
        <v>43.173839999999998</v>
      </c>
      <c r="T40">
        <v>43.440860999999998</v>
      </c>
      <c r="U40">
        <v>43.690936999999998</v>
      </c>
      <c r="V40">
        <v>43.926174000000003</v>
      </c>
      <c r="W40">
        <v>44.148296000000002</v>
      </c>
      <c r="X40">
        <v>44.358741999999999</v>
      </c>
      <c r="Y40">
        <v>44.558739000000003</v>
      </c>
      <c r="Z40">
        <v>44.749305999999997</v>
      </c>
      <c r="AA40">
        <v>44.931323999999996</v>
      </c>
      <c r="AB40">
        <v>45.105572000000002</v>
      </c>
      <c r="AC40">
        <v>45.272694000000001</v>
      </c>
      <c r="AD40">
        <v>45.433284999999998</v>
      </c>
      <c r="AE40">
        <v>45.587864000000003</v>
      </c>
      <c r="AF40">
        <v>45.736862000000002</v>
      </c>
      <c r="AG40">
        <v>45.880702999999997</v>
      </c>
      <c r="AH40">
        <v>46.019736999999999</v>
      </c>
      <c r="AI40">
        <v>46.154293000000003</v>
      </c>
      <c r="AJ40">
        <v>46.284660000000002</v>
      </c>
      <c r="AK40" s="13">
        <v>-0.01</v>
      </c>
    </row>
    <row r="41" spans="1:37">
      <c r="A41" t="s">
        <v>110</v>
      </c>
      <c r="B41" t="s">
        <v>317</v>
      </c>
      <c r="C41" t="s">
        <v>318</v>
      </c>
      <c r="D41" t="s">
        <v>241</v>
      </c>
      <c r="E41">
        <v>56.261001999999998</v>
      </c>
      <c r="F41">
        <v>33.092869</v>
      </c>
      <c r="G41">
        <v>30.686609000000001</v>
      </c>
      <c r="H41">
        <v>32.133915000000002</v>
      </c>
      <c r="I41">
        <v>33.144852</v>
      </c>
      <c r="J41">
        <v>34.048462000000001</v>
      </c>
      <c r="K41">
        <v>34.794925999999997</v>
      </c>
      <c r="L41">
        <v>35.720669000000001</v>
      </c>
      <c r="M41">
        <v>36.391556000000001</v>
      </c>
      <c r="N41">
        <v>36.486365999999997</v>
      </c>
      <c r="O41">
        <v>36.778767000000002</v>
      </c>
      <c r="P41">
        <v>37.049571999999998</v>
      </c>
      <c r="Q41">
        <v>37.221488999999998</v>
      </c>
      <c r="R41">
        <v>37.973083000000003</v>
      </c>
      <c r="S41">
        <v>38.42268</v>
      </c>
      <c r="T41">
        <v>38.538448000000002</v>
      </c>
      <c r="U41">
        <v>39.345008999999997</v>
      </c>
      <c r="V41">
        <v>39.815593999999997</v>
      </c>
      <c r="W41">
        <v>40.543658999999998</v>
      </c>
      <c r="X41">
        <v>40.531897999999998</v>
      </c>
      <c r="Y41">
        <v>41.072246999999997</v>
      </c>
      <c r="Z41">
        <v>41.676495000000003</v>
      </c>
      <c r="AA41">
        <v>41.906238999999999</v>
      </c>
      <c r="AB41">
        <v>42.240012999999998</v>
      </c>
      <c r="AC41">
        <v>42.663043999999999</v>
      </c>
      <c r="AD41">
        <v>43.122135</v>
      </c>
      <c r="AE41">
        <v>43.625827999999998</v>
      </c>
      <c r="AF41">
        <v>43.562739999999998</v>
      </c>
      <c r="AG41">
        <v>43.747295000000001</v>
      </c>
      <c r="AH41">
        <v>43.981110000000001</v>
      </c>
      <c r="AI41">
        <v>44.135139000000002</v>
      </c>
      <c r="AJ41">
        <v>44.345604000000002</v>
      </c>
      <c r="AK41" s="13">
        <v>-8.0000000000000002E-3</v>
      </c>
    </row>
    <row r="42" spans="1:37">
      <c r="A42" t="s">
        <v>111</v>
      </c>
      <c r="B42" t="s">
        <v>319</v>
      </c>
      <c r="C42" t="s">
        <v>320</v>
      </c>
      <c r="D42" t="s">
        <v>242</v>
      </c>
      <c r="E42">
        <v>2.5672160000000002</v>
      </c>
      <c r="F42">
        <v>2.441046</v>
      </c>
      <c r="G42">
        <v>2.4730310000000002</v>
      </c>
      <c r="H42">
        <v>2.4844780000000002</v>
      </c>
      <c r="I42">
        <v>2.531568</v>
      </c>
      <c r="J42">
        <v>2.6437849999999998</v>
      </c>
      <c r="K42">
        <v>2.848884</v>
      </c>
      <c r="L42">
        <v>3.0415999999999999</v>
      </c>
      <c r="M42">
        <v>3.162331</v>
      </c>
      <c r="N42">
        <v>3.2422</v>
      </c>
      <c r="O42">
        <v>3.250543</v>
      </c>
      <c r="P42">
        <v>3.2079789999999999</v>
      </c>
      <c r="Q42">
        <v>3.194296</v>
      </c>
      <c r="R42">
        <v>3.220539</v>
      </c>
      <c r="S42">
        <v>3.262219</v>
      </c>
      <c r="T42">
        <v>3.2987250000000001</v>
      </c>
      <c r="U42">
        <v>3.2812160000000001</v>
      </c>
      <c r="V42">
        <v>3.2961610000000001</v>
      </c>
      <c r="W42">
        <v>3.3369900000000001</v>
      </c>
      <c r="X42">
        <v>3.3883860000000001</v>
      </c>
      <c r="Y42">
        <v>3.4548109999999999</v>
      </c>
      <c r="Z42">
        <v>3.493614</v>
      </c>
      <c r="AA42">
        <v>3.5074529999999999</v>
      </c>
      <c r="AB42">
        <v>3.5456089999999998</v>
      </c>
      <c r="AC42">
        <v>3.5783510000000001</v>
      </c>
      <c r="AD42">
        <v>3.589229</v>
      </c>
      <c r="AE42">
        <v>3.582201</v>
      </c>
      <c r="AF42">
        <v>3.5877340000000002</v>
      </c>
      <c r="AG42">
        <v>3.5952609999999998</v>
      </c>
      <c r="AH42">
        <v>3.6120130000000001</v>
      </c>
      <c r="AI42">
        <v>3.6533669999999998</v>
      </c>
      <c r="AJ42">
        <v>3.6925180000000002</v>
      </c>
      <c r="AK42" s="13">
        <v>1.2E-2</v>
      </c>
    </row>
    <row r="43" spans="1:37">
      <c r="A43" t="s">
        <v>321</v>
      </c>
      <c r="B43" t="s">
        <v>322</v>
      </c>
      <c r="C43" t="s">
        <v>323</v>
      </c>
      <c r="D43" t="s">
        <v>243</v>
      </c>
      <c r="E43">
        <v>34.312111000000002</v>
      </c>
      <c r="F43">
        <v>32.773440999999998</v>
      </c>
      <c r="G43">
        <v>34.058159000000003</v>
      </c>
      <c r="H43">
        <v>33.751938000000003</v>
      </c>
      <c r="I43">
        <v>33.298037999999998</v>
      </c>
      <c r="J43">
        <v>32.479866000000001</v>
      </c>
      <c r="K43">
        <v>32.636856000000002</v>
      </c>
      <c r="L43">
        <v>32.491238000000003</v>
      </c>
      <c r="M43">
        <v>32.289645999999998</v>
      </c>
      <c r="N43">
        <v>31.920670999999999</v>
      </c>
      <c r="O43">
        <v>31.156012</v>
      </c>
      <c r="P43">
        <v>30.992685000000002</v>
      </c>
      <c r="Q43">
        <v>31.174768</v>
      </c>
      <c r="R43">
        <v>31.256975000000001</v>
      </c>
      <c r="S43">
        <v>31.551216</v>
      </c>
      <c r="T43">
        <v>31.779848000000001</v>
      </c>
      <c r="U43">
        <v>32.499817</v>
      </c>
      <c r="V43">
        <v>32.82555</v>
      </c>
      <c r="W43">
        <v>33.407649999999997</v>
      </c>
      <c r="X43">
        <v>33.667808999999998</v>
      </c>
      <c r="Y43">
        <v>33.861626000000001</v>
      </c>
      <c r="Z43">
        <v>34.085498999999999</v>
      </c>
      <c r="AA43">
        <v>34.340026999999999</v>
      </c>
      <c r="AB43">
        <v>34.517487000000003</v>
      </c>
      <c r="AC43">
        <v>34.843440999999999</v>
      </c>
      <c r="AD43">
        <v>34.905383999999998</v>
      </c>
      <c r="AE43">
        <v>35.582157000000002</v>
      </c>
      <c r="AF43">
        <v>35.850364999999996</v>
      </c>
      <c r="AG43">
        <v>36.378760999999997</v>
      </c>
      <c r="AH43">
        <v>36.603821000000003</v>
      </c>
      <c r="AI43">
        <v>36.949939999999998</v>
      </c>
      <c r="AJ43">
        <v>37.099643999999998</v>
      </c>
      <c r="AK43" s="13">
        <v>3.0000000000000001E-3</v>
      </c>
    </row>
    <row r="44" spans="1:37">
      <c r="A44" t="s">
        <v>324</v>
      </c>
      <c r="B44" t="s">
        <v>325</v>
      </c>
      <c r="C44" t="s">
        <v>326</v>
      </c>
      <c r="D44" t="s">
        <v>242</v>
      </c>
      <c r="E44">
        <v>1.7061599999999999</v>
      </c>
      <c r="F44">
        <v>1.613343</v>
      </c>
      <c r="G44">
        <v>1.6436519999999999</v>
      </c>
      <c r="H44">
        <v>1.6200220000000001</v>
      </c>
      <c r="I44">
        <v>1.6019030000000001</v>
      </c>
      <c r="J44">
        <v>1.569307</v>
      </c>
      <c r="K44">
        <v>1.57369</v>
      </c>
      <c r="L44">
        <v>1.5706279999999999</v>
      </c>
      <c r="M44">
        <v>1.562897</v>
      </c>
      <c r="N44">
        <v>1.5498130000000001</v>
      </c>
      <c r="O44">
        <v>1.5209079999999999</v>
      </c>
      <c r="P44">
        <v>1.5156069999999999</v>
      </c>
      <c r="Q44">
        <v>1.5245</v>
      </c>
      <c r="R44">
        <v>1.5288200000000001</v>
      </c>
      <c r="S44">
        <v>1.538983</v>
      </c>
      <c r="T44">
        <v>1.54905</v>
      </c>
      <c r="U44">
        <v>1.575183</v>
      </c>
      <c r="V44">
        <v>1.587108</v>
      </c>
      <c r="W44">
        <v>1.608001</v>
      </c>
      <c r="X44">
        <v>1.6186879999999999</v>
      </c>
      <c r="Y44">
        <v>1.627365</v>
      </c>
      <c r="Z44">
        <v>1.6369610000000001</v>
      </c>
      <c r="AA44">
        <v>1.6468529999999999</v>
      </c>
      <c r="AB44">
        <v>1.6536</v>
      </c>
      <c r="AC44">
        <v>1.665883</v>
      </c>
      <c r="AD44">
        <v>1.671068</v>
      </c>
      <c r="AE44">
        <v>1.6949669999999999</v>
      </c>
      <c r="AF44">
        <v>1.7063809999999999</v>
      </c>
      <c r="AG44">
        <v>1.7261919999999999</v>
      </c>
      <c r="AH44">
        <v>1.7356750000000001</v>
      </c>
      <c r="AI44">
        <v>1.749012</v>
      </c>
      <c r="AJ44">
        <v>1.755606</v>
      </c>
      <c r="AK44" s="13">
        <v>1E-3</v>
      </c>
    </row>
    <row r="45" spans="1:37">
      <c r="A45" t="s">
        <v>327</v>
      </c>
      <c r="B45" t="s">
        <v>328</v>
      </c>
      <c r="C45" t="s">
        <v>329</v>
      </c>
      <c r="D45" t="s">
        <v>242</v>
      </c>
      <c r="E45">
        <v>2.1893370000000001</v>
      </c>
      <c r="F45">
        <v>2.132771</v>
      </c>
      <c r="G45">
        <v>2.1068289999999998</v>
      </c>
      <c r="H45">
        <v>2.0557080000000001</v>
      </c>
      <c r="I45">
        <v>2.0494849999999998</v>
      </c>
      <c r="J45">
        <v>2.0272320000000001</v>
      </c>
      <c r="K45">
        <v>2.023841</v>
      </c>
      <c r="L45">
        <v>2.0316519999999998</v>
      </c>
      <c r="M45">
        <v>2.0358550000000002</v>
      </c>
      <c r="N45">
        <v>2.031908</v>
      </c>
      <c r="O45">
        <v>2.0308820000000001</v>
      </c>
      <c r="P45">
        <v>2.0282849999999999</v>
      </c>
      <c r="Q45">
        <v>2.0265249999999999</v>
      </c>
      <c r="R45">
        <v>2.0252059999999998</v>
      </c>
      <c r="S45">
        <v>2.0316200000000002</v>
      </c>
      <c r="T45">
        <v>2.0335730000000001</v>
      </c>
      <c r="U45">
        <v>2.0320369999999999</v>
      </c>
      <c r="V45">
        <v>2.0334850000000002</v>
      </c>
      <c r="W45">
        <v>2.042195</v>
      </c>
      <c r="X45">
        <v>2.047946</v>
      </c>
      <c r="Y45">
        <v>2.052657</v>
      </c>
      <c r="Z45">
        <v>2.0524110000000002</v>
      </c>
      <c r="AA45">
        <v>2.0549360000000001</v>
      </c>
      <c r="AB45">
        <v>2.054262</v>
      </c>
      <c r="AC45">
        <v>2.0568219999999999</v>
      </c>
      <c r="AD45">
        <v>2.0619130000000001</v>
      </c>
      <c r="AE45">
        <v>2.0691290000000002</v>
      </c>
      <c r="AF45">
        <v>2.0728580000000001</v>
      </c>
      <c r="AG45">
        <v>2.0781209999999999</v>
      </c>
      <c r="AH45">
        <v>2.0815739999999998</v>
      </c>
      <c r="AI45">
        <v>2.0889519999999999</v>
      </c>
      <c r="AJ45">
        <v>2.095526</v>
      </c>
      <c r="AK45" s="13">
        <v>-1E-3</v>
      </c>
    </row>
    <row r="46" spans="1:37">
      <c r="A46" t="s">
        <v>112</v>
      </c>
      <c r="B46" t="s">
        <v>330</v>
      </c>
      <c r="C46" t="s">
        <v>331</v>
      </c>
      <c r="D46" t="s">
        <v>244</v>
      </c>
      <c r="E46">
        <v>10.390669000000001</v>
      </c>
      <c r="F46">
        <v>10.171651000000001</v>
      </c>
      <c r="G46">
        <v>10.141973</v>
      </c>
      <c r="H46">
        <v>10.124798999999999</v>
      </c>
      <c r="I46">
        <v>10.149848</v>
      </c>
      <c r="J46">
        <v>10.234589</v>
      </c>
      <c r="K46">
        <v>10.373189</v>
      </c>
      <c r="L46">
        <v>10.439418</v>
      </c>
      <c r="M46">
        <v>10.506055</v>
      </c>
      <c r="N46">
        <v>10.493812</v>
      </c>
      <c r="O46">
        <v>10.47153</v>
      </c>
      <c r="P46">
        <v>10.462358</v>
      </c>
      <c r="Q46">
        <v>10.429055</v>
      </c>
      <c r="R46">
        <v>10.458194000000001</v>
      </c>
      <c r="S46">
        <v>10.469697999999999</v>
      </c>
      <c r="T46">
        <v>10.461734999999999</v>
      </c>
      <c r="U46">
        <v>10.437464</v>
      </c>
      <c r="V46">
        <v>10.427671999999999</v>
      </c>
      <c r="W46">
        <v>10.419188</v>
      </c>
      <c r="X46">
        <v>10.401021</v>
      </c>
      <c r="Y46">
        <v>10.41442</v>
      </c>
      <c r="Z46">
        <v>10.376633999999999</v>
      </c>
      <c r="AA46">
        <v>10.356902</v>
      </c>
      <c r="AB46">
        <v>10.318008000000001</v>
      </c>
      <c r="AC46">
        <v>10.285508</v>
      </c>
      <c r="AD46">
        <v>10.281333999999999</v>
      </c>
      <c r="AE46">
        <v>10.25709</v>
      </c>
      <c r="AF46">
        <v>10.187393</v>
      </c>
      <c r="AG46">
        <v>10.181696000000001</v>
      </c>
      <c r="AH46">
        <v>10.149324</v>
      </c>
      <c r="AI46">
        <v>10.074056000000001</v>
      </c>
      <c r="AJ46">
        <v>10.019147999999999</v>
      </c>
      <c r="AK46" s="13">
        <v>-1E-3</v>
      </c>
    </row>
    <row r="47" spans="1:37">
      <c r="A47" t="s">
        <v>113</v>
      </c>
      <c r="C47" t="s">
        <v>245</v>
      </c>
    </row>
    <row r="48" spans="1:37">
      <c r="A48" t="s">
        <v>109</v>
      </c>
      <c r="B48" t="s">
        <v>332</v>
      </c>
      <c r="C48" t="s">
        <v>333</v>
      </c>
      <c r="D48" t="s">
        <v>114</v>
      </c>
      <c r="E48">
        <v>63.371997999999998</v>
      </c>
      <c r="F48">
        <v>38.787318999999997</v>
      </c>
      <c r="G48">
        <v>36.349986999999999</v>
      </c>
      <c r="H48">
        <v>39.321280999999999</v>
      </c>
      <c r="I48">
        <v>41.485802</v>
      </c>
      <c r="J48">
        <v>43.280273000000001</v>
      </c>
      <c r="K48">
        <v>44.886414000000002</v>
      </c>
      <c r="L48">
        <v>46.405093999999998</v>
      </c>
      <c r="M48">
        <v>47.894142000000002</v>
      </c>
      <c r="N48">
        <v>49.349528999999997</v>
      </c>
      <c r="O48">
        <v>50.771102999999997</v>
      </c>
      <c r="P48">
        <v>52.144917</v>
      </c>
      <c r="Q48">
        <v>53.456654</v>
      </c>
      <c r="R48">
        <v>54.733134999999997</v>
      </c>
      <c r="S48">
        <v>55.975203999999998</v>
      </c>
      <c r="T48">
        <v>57.181896000000002</v>
      </c>
      <c r="U48">
        <v>58.394267999999997</v>
      </c>
      <c r="V48">
        <v>59.638710000000003</v>
      </c>
      <c r="W48">
        <v>60.932727999999997</v>
      </c>
      <c r="X48">
        <v>62.275818000000001</v>
      </c>
      <c r="Y48">
        <v>63.675583000000003</v>
      </c>
      <c r="Z48">
        <v>65.130142000000006</v>
      </c>
      <c r="AA48">
        <v>66.646041999999994</v>
      </c>
      <c r="AB48">
        <v>68.206383000000002</v>
      </c>
      <c r="AC48">
        <v>69.804848000000007</v>
      </c>
      <c r="AD48">
        <v>71.451499999999996</v>
      </c>
      <c r="AE48">
        <v>73.156554999999997</v>
      </c>
      <c r="AF48">
        <v>74.934196</v>
      </c>
      <c r="AG48">
        <v>76.808646999999993</v>
      </c>
      <c r="AH48">
        <v>78.808846000000003</v>
      </c>
      <c r="AI48">
        <v>80.945922999999993</v>
      </c>
      <c r="AJ48">
        <v>83.187163999999996</v>
      </c>
      <c r="AK48" s="13">
        <v>8.9999999999999993E-3</v>
      </c>
    </row>
    <row r="49" spans="1:37">
      <c r="A49" t="s">
        <v>110</v>
      </c>
      <c r="B49" t="s">
        <v>334</v>
      </c>
      <c r="C49" t="s">
        <v>335</v>
      </c>
      <c r="D49" t="s">
        <v>114</v>
      </c>
      <c r="E49">
        <v>56.261001999999998</v>
      </c>
      <c r="F49">
        <v>33.769150000000003</v>
      </c>
      <c r="G49">
        <v>31.982510000000001</v>
      </c>
      <c r="H49">
        <v>34.198338</v>
      </c>
      <c r="I49">
        <v>35.981437999999997</v>
      </c>
      <c r="J49">
        <v>37.649177999999999</v>
      </c>
      <c r="K49">
        <v>39.168404000000002</v>
      </c>
      <c r="L49">
        <v>40.945144999999997</v>
      </c>
      <c r="M49">
        <v>42.504047</v>
      </c>
      <c r="N49">
        <v>43.424610000000001</v>
      </c>
      <c r="O49">
        <v>44.594391000000002</v>
      </c>
      <c r="P49">
        <v>45.735610999999999</v>
      </c>
      <c r="Q49">
        <v>46.731644000000003</v>
      </c>
      <c r="R49">
        <v>48.461601000000002</v>
      </c>
      <c r="S49">
        <v>49.815291999999999</v>
      </c>
      <c r="T49">
        <v>50.728774999999999</v>
      </c>
      <c r="U49">
        <v>52.585799999999999</v>
      </c>
      <c r="V49">
        <v>54.057758</v>
      </c>
      <c r="W49">
        <v>55.957664000000001</v>
      </c>
      <c r="X49">
        <v>56.903258999999998</v>
      </c>
      <c r="Y49">
        <v>58.693294999999999</v>
      </c>
      <c r="Z49">
        <v>60.657837000000001</v>
      </c>
      <c r="AA49">
        <v>62.158969999999997</v>
      </c>
      <c r="AB49">
        <v>63.87323</v>
      </c>
      <c r="AC49">
        <v>65.781097000000003</v>
      </c>
      <c r="AD49">
        <v>67.816826000000006</v>
      </c>
      <c r="AE49">
        <v>70.008003000000002</v>
      </c>
      <c r="AF49">
        <v>71.372169</v>
      </c>
      <c r="AG49">
        <v>73.237121999999999</v>
      </c>
      <c r="AH49">
        <v>75.317688000000004</v>
      </c>
      <c r="AI49">
        <v>77.404715999999993</v>
      </c>
      <c r="AJ49">
        <v>79.702110000000005</v>
      </c>
      <c r="AK49" s="13">
        <v>1.0999999999999999E-2</v>
      </c>
    </row>
    <row r="50" spans="1:37">
      <c r="A50" t="s">
        <v>111</v>
      </c>
      <c r="B50" t="s">
        <v>336</v>
      </c>
      <c r="C50" t="s">
        <v>337</v>
      </c>
      <c r="D50" t="s">
        <v>115</v>
      </c>
      <c r="E50">
        <v>2.5672160000000002</v>
      </c>
      <c r="F50">
        <v>2.4909309999999998</v>
      </c>
      <c r="G50">
        <v>2.5774680000000001</v>
      </c>
      <c r="H50">
        <v>2.6440920000000001</v>
      </c>
      <c r="I50">
        <v>2.7482229999999999</v>
      </c>
      <c r="J50">
        <v>2.9233730000000002</v>
      </c>
      <c r="K50">
        <v>3.2069679999999998</v>
      </c>
      <c r="L50">
        <v>3.4864630000000001</v>
      </c>
      <c r="M50">
        <v>3.6934900000000002</v>
      </c>
      <c r="N50">
        <v>3.8587359999999999</v>
      </c>
      <c r="O50">
        <v>3.9412959999999999</v>
      </c>
      <c r="P50">
        <v>3.96007</v>
      </c>
      <c r="Q50">
        <v>4.0104439999999997</v>
      </c>
      <c r="R50">
        <v>4.1100810000000001</v>
      </c>
      <c r="S50">
        <v>4.2294919999999996</v>
      </c>
      <c r="T50">
        <v>4.3421649999999996</v>
      </c>
      <c r="U50">
        <v>4.385446</v>
      </c>
      <c r="V50">
        <v>4.4752090000000004</v>
      </c>
      <c r="W50">
        <v>4.6056559999999998</v>
      </c>
      <c r="X50">
        <v>4.7569990000000004</v>
      </c>
      <c r="Y50">
        <v>4.9370139999999996</v>
      </c>
      <c r="Z50">
        <v>5.0847629999999997</v>
      </c>
      <c r="AA50">
        <v>5.2025579999999998</v>
      </c>
      <c r="AB50">
        <v>5.3614920000000001</v>
      </c>
      <c r="AC50">
        <v>5.5173719999999999</v>
      </c>
      <c r="AD50">
        <v>5.6446670000000001</v>
      </c>
      <c r="AE50">
        <v>5.7484929999999999</v>
      </c>
      <c r="AF50">
        <v>5.8780580000000002</v>
      </c>
      <c r="AG50">
        <v>6.0188079999999999</v>
      </c>
      <c r="AH50">
        <v>6.185575</v>
      </c>
      <c r="AI50">
        <v>6.4073169999999999</v>
      </c>
      <c r="AJ50">
        <v>6.6365420000000004</v>
      </c>
      <c r="AK50" s="13">
        <v>3.1E-2</v>
      </c>
    </row>
    <row r="51" spans="1:37">
      <c r="A51" t="s">
        <v>321</v>
      </c>
      <c r="B51" t="s">
        <v>338</v>
      </c>
      <c r="C51" t="s">
        <v>339</v>
      </c>
      <c r="D51" t="s">
        <v>116</v>
      </c>
      <c r="E51">
        <v>34.312111000000002</v>
      </c>
      <c r="F51">
        <v>33.443195000000003</v>
      </c>
      <c r="G51">
        <v>35.496440999999997</v>
      </c>
      <c r="H51">
        <v>35.920302999999997</v>
      </c>
      <c r="I51">
        <v>36.147736000000002</v>
      </c>
      <c r="J51">
        <v>35.914700000000003</v>
      </c>
      <c r="K51">
        <v>36.739082000000003</v>
      </c>
      <c r="L51">
        <v>37.243385000000004</v>
      </c>
      <c r="M51">
        <v>37.713160999999999</v>
      </c>
      <c r="N51">
        <v>37.990704000000001</v>
      </c>
      <c r="O51">
        <v>37.776778999999998</v>
      </c>
      <c r="P51">
        <v>38.258727999999998</v>
      </c>
      <c r="Q51">
        <v>39.139972999999998</v>
      </c>
      <c r="R51">
        <v>39.890442</v>
      </c>
      <c r="S51">
        <v>40.906387000000002</v>
      </c>
      <c r="T51">
        <v>41.832317000000003</v>
      </c>
      <c r="U51">
        <v>43.436993000000001</v>
      </c>
      <c r="V51">
        <v>44.567355999999997</v>
      </c>
      <c r="W51">
        <v>46.108665000000002</v>
      </c>
      <c r="X51">
        <v>47.266674000000002</v>
      </c>
      <c r="Y51">
        <v>48.389136999999998</v>
      </c>
      <c r="Z51">
        <v>49.609558</v>
      </c>
      <c r="AA51">
        <v>50.936104</v>
      </c>
      <c r="AB51">
        <v>52.195613999999999</v>
      </c>
      <c r="AC51">
        <v>53.724246999999998</v>
      </c>
      <c r="AD51">
        <v>54.894599999999997</v>
      </c>
      <c r="AE51">
        <v>57.100020999999998</v>
      </c>
      <c r="AF51">
        <v>58.736393</v>
      </c>
      <c r="AG51">
        <v>60.901496999999999</v>
      </c>
      <c r="AH51">
        <v>62.684078</v>
      </c>
      <c r="AI51">
        <v>64.803223000000003</v>
      </c>
      <c r="AJ51">
        <v>66.678985999999995</v>
      </c>
      <c r="AK51" s="13">
        <v>2.1999999999999999E-2</v>
      </c>
    </row>
    <row r="52" spans="1:37">
      <c r="A52" t="s">
        <v>324</v>
      </c>
      <c r="B52" t="s">
        <v>340</v>
      </c>
      <c r="C52" t="s">
        <v>341</v>
      </c>
      <c r="D52" t="s">
        <v>115</v>
      </c>
      <c r="E52">
        <v>1.7061599999999999</v>
      </c>
      <c r="F52">
        <v>1.6463129999999999</v>
      </c>
      <c r="G52">
        <v>1.7130639999999999</v>
      </c>
      <c r="H52">
        <v>1.724099</v>
      </c>
      <c r="I52">
        <v>1.738996</v>
      </c>
      <c r="J52">
        <v>1.7352650000000001</v>
      </c>
      <c r="K52">
        <v>1.7714920000000001</v>
      </c>
      <c r="L52">
        <v>1.8003469999999999</v>
      </c>
      <c r="M52">
        <v>1.8254079999999999</v>
      </c>
      <c r="N52">
        <v>1.844525</v>
      </c>
      <c r="O52">
        <v>1.844106</v>
      </c>
      <c r="P52">
        <v>1.8709309999999999</v>
      </c>
      <c r="Q52">
        <v>1.914013</v>
      </c>
      <c r="R52">
        <v>1.9510940000000001</v>
      </c>
      <c r="S52">
        <v>1.995304</v>
      </c>
      <c r="T52">
        <v>2.0390389999999998</v>
      </c>
      <c r="U52">
        <v>2.10528</v>
      </c>
      <c r="V52">
        <v>2.1548219999999998</v>
      </c>
      <c r="W52">
        <v>2.2193350000000001</v>
      </c>
      <c r="X52">
        <v>2.272497</v>
      </c>
      <c r="Y52">
        <v>2.3255469999999998</v>
      </c>
      <c r="Z52">
        <v>2.3825059999999998</v>
      </c>
      <c r="AA52">
        <v>2.442755</v>
      </c>
      <c r="AB52">
        <v>2.5004909999999998</v>
      </c>
      <c r="AC52">
        <v>2.5685829999999998</v>
      </c>
      <c r="AD52">
        <v>2.6280359999999998</v>
      </c>
      <c r="AE52">
        <v>2.7199779999999998</v>
      </c>
      <c r="AF52">
        <v>2.7956940000000001</v>
      </c>
      <c r="AG52">
        <v>2.8898090000000001</v>
      </c>
      <c r="AH52">
        <v>2.9723459999999999</v>
      </c>
      <c r="AI52">
        <v>3.0674380000000001</v>
      </c>
      <c r="AJ52">
        <v>3.1553420000000001</v>
      </c>
      <c r="AK52" s="13">
        <v>0.02</v>
      </c>
    </row>
    <row r="53" spans="1:37">
      <c r="A53" t="s">
        <v>327</v>
      </c>
      <c r="B53" t="s">
        <v>342</v>
      </c>
      <c r="C53" t="s">
        <v>343</v>
      </c>
      <c r="D53" t="s">
        <v>115</v>
      </c>
      <c r="E53">
        <v>2.1893370000000001</v>
      </c>
      <c r="F53">
        <v>2.176355</v>
      </c>
      <c r="G53">
        <v>2.1958009999999999</v>
      </c>
      <c r="H53">
        <v>2.1877749999999998</v>
      </c>
      <c r="I53">
        <v>2.2248830000000002</v>
      </c>
      <c r="J53">
        <v>2.2416170000000002</v>
      </c>
      <c r="K53">
        <v>2.2782239999999998</v>
      </c>
      <c r="L53">
        <v>2.3288000000000002</v>
      </c>
      <c r="M53">
        <v>2.3778069999999998</v>
      </c>
      <c r="N53">
        <v>2.4182959999999998</v>
      </c>
      <c r="O53">
        <v>2.4624519999999999</v>
      </c>
      <c r="P53">
        <v>2.5038040000000001</v>
      </c>
      <c r="Q53">
        <v>2.544305</v>
      </c>
      <c r="R53">
        <v>2.584587</v>
      </c>
      <c r="S53">
        <v>2.6340110000000001</v>
      </c>
      <c r="T53">
        <v>2.676825</v>
      </c>
      <c r="U53">
        <v>2.7158790000000002</v>
      </c>
      <c r="V53">
        <v>2.7608700000000002</v>
      </c>
      <c r="W53">
        <v>2.8186019999999998</v>
      </c>
      <c r="X53">
        <v>2.8751380000000002</v>
      </c>
      <c r="Y53">
        <v>2.9332989999999999</v>
      </c>
      <c r="Z53">
        <v>2.987171</v>
      </c>
      <c r="AA53">
        <v>3.0480589999999999</v>
      </c>
      <c r="AB53">
        <v>3.1063510000000001</v>
      </c>
      <c r="AC53">
        <v>3.1713629999999999</v>
      </c>
      <c r="AD53">
        <v>3.2427060000000001</v>
      </c>
      <c r="AE53">
        <v>3.3204099999999999</v>
      </c>
      <c r="AF53">
        <v>3.3961209999999999</v>
      </c>
      <c r="AG53">
        <v>3.4789720000000002</v>
      </c>
      <c r="AH53">
        <v>3.5646969999999998</v>
      </c>
      <c r="AI53">
        <v>3.663627</v>
      </c>
      <c r="AJ53">
        <v>3.7662779999999998</v>
      </c>
      <c r="AK53" s="13">
        <v>1.7999999999999999E-2</v>
      </c>
    </row>
    <row r="54" spans="1:37">
      <c r="A54" t="s">
        <v>112</v>
      </c>
      <c r="B54" t="s">
        <v>344</v>
      </c>
      <c r="C54" t="s">
        <v>345</v>
      </c>
      <c r="D54" t="s">
        <v>117</v>
      </c>
      <c r="E54">
        <v>10.390669000000001</v>
      </c>
      <c r="F54">
        <v>10.379517</v>
      </c>
      <c r="G54">
        <v>10.570270000000001</v>
      </c>
      <c r="H54">
        <v>10.775259</v>
      </c>
      <c r="I54">
        <v>11.018488</v>
      </c>
      <c r="J54">
        <v>11.316924</v>
      </c>
      <c r="K54">
        <v>11.677026</v>
      </c>
      <c r="L54">
        <v>11.966279</v>
      </c>
      <c r="M54">
        <v>12.2707</v>
      </c>
      <c r="N54">
        <v>12.489315</v>
      </c>
      <c r="O54">
        <v>12.696769</v>
      </c>
      <c r="P54">
        <v>12.915191999999999</v>
      </c>
      <c r="Q54">
        <v>13.093697000000001</v>
      </c>
      <c r="R54">
        <v>13.346844000000001</v>
      </c>
      <c r="S54">
        <v>13.574042</v>
      </c>
      <c r="T54">
        <v>13.770947</v>
      </c>
      <c r="U54">
        <v>13.949987</v>
      </c>
      <c r="V54">
        <v>14.157685000000001</v>
      </c>
      <c r="W54">
        <v>14.380383999999999</v>
      </c>
      <c r="X54">
        <v>14.602129</v>
      </c>
      <c r="Y54">
        <v>14.882474</v>
      </c>
      <c r="Z54">
        <v>15.102617</v>
      </c>
      <c r="AA54">
        <v>15.362256</v>
      </c>
      <c r="AB54">
        <v>15.602375</v>
      </c>
      <c r="AC54">
        <v>15.858972</v>
      </c>
      <c r="AD54">
        <v>16.169129999999999</v>
      </c>
      <c r="AE54">
        <v>16.459935999999999</v>
      </c>
      <c r="AF54">
        <v>16.690784000000001</v>
      </c>
      <c r="AG54">
        <v>17.045124000000001</v>
      </c>
      <c r="AH54">
        <v>17.380728000000001</v>
      </c>
      <c r="AI54">
        <v>17.667994</v>
      </c>
      <c r="AJ54">
        <v>18.007359000000001</v>
      </c>
      <c r="AK54" s="13">
        <v>1.7999999999999999E-2</v>
      </c>
    </row>
    <row r="57" spans="1:37">
      <c r="A57" t="s">
        <v>249</v>
      </c>
      <c r="D57" t="s">
        <v>122</v>
      </c>
      <c r="E57">
        <f t="shared" ref="E57:AJ57" si="0">E48/E40</f>
        <v>1</v>
      </c>
      <c r="F57">
        <f t="shared" si="0"/>
        <v>1.020435776978093</v>
      </c>
      <c r="G57">
        <f t="shared" si="0"/>
        <v>1.0422301485263075</v>
      </c>
      <c r="H57">
        <f t="shared" si="0"/>
        <v>1.06424426544083</v>
      </c>
      <c r="I57">
        <f t="shared" si="0"/>
        <v>1.0855815549586854</v>
      </c>
      <c r="J57">
        <f t="shared" si="0"/>
        <v>1.105752698333814</v>
      </c>
      <c r="K57">
        <f t="shared" si="0"/>
        <v>1.1256929433100484</v>
      </c>
      <c r="L57">
        <f t="shared" si="0"/>
        <v>1.1462593314781122</v>
      </c>
      <c r="M57">
        <f t="shared" si="0"/>
        <v>1.1679646397522343</v>
      </c>
      <c r="N57">
        <f t="shared" si="0"/>
        <v>1.1901600678072133</v>
      </c>
      <c r="O57">
        <f t="shared" si="0"/>
        <v>1.2125036670453677</v>
      </c>
      <c r="P57">
        <f t="shared" si="0"/>
        <v>1.2344438579508312</v>
      </c>
      <c r="Q57">
        <f t="shared" si="0"/>
        <v>1.2555016833489037</v>
      </c>
      <c r="R57">
        <f t="shared" si="0"/>
        <v>1.2762091721563289</v>
      </c>
      <c r="S57">
        <f t="shared" si="0"/>
        <v>1.2965074220870787</v>
      </c>
      <c r="T57">
        <f t="shared" si="0"/>
        <v>1.3163158989873613</v>
      </c>
      <c r="U57">
        <f t="shared" si="0"/>
        <v>1.3365304571060126</v>
      </c>
      <c r="V57">
        <f t="shared" si="0"/>
        <v>1.357703268215438</v>
      </c>
      <c r="W57">
        <f t="shared" si="0"/>
        <v>1.38018300864885</v>
      </c>
      <c r="X57">
        <f t="shared" si="0"/>
        <v>1.4039130776071151</v>
      </c>
      <c r="Y57">
        <f t="shared" si="0"/>
        <v>1.429025695722673</v>
      </c>
      <c r="Z57">
        <f t="shared" si="0"/>
        <v>1.4554447391876872</v>
      </c>
      <c r="AA57">
        <f t="shared" si="0"/>
        <v>1.4832868490587992</v>
      </c>
      <c r="AB57">
        <f t="shared" si="0"/>
        <v>1.5121498292938176</v>
      </c>
      <c r="AC57">
        <f t="shared" si="0"/>
        <v>1.5418752857958928</v>
      </c>
      <c r="AD57">
        <f t="shared" si="0"/>
        <v>1.5726685842769239</v>
      </c>
      <c r="AE57">
        <f t="shared" si="0"/>
        <v>1.6047375020685328</v>
      </c>
      <c r="AF57">
        <f t="shared" si="0"/>
        <v>1.6383764150675661</v>
      </c>
      <c r="AG57">
        <f t="shared" si="0"/>
        <v>1.6740948149813659</v>
      </c>
      <c r="AH57">
        <f t="shared" si="0"/>
        <v>1.7125010079914191</v>
      </c>
      <c r="AI57">
        <f t="shared" si="0"/>
        <v>1.7538113518497616</v>
      </c>
      <c r="AJ57">
        <f t="shared" si="0"/>
        <v>1.7972944815841791</v>
      </c>
    </row>
    <row r="58" spans="1:37">
      <c r="A58" t="s">
        <v>250</v>
      </c>
      <c r="D58" t="s">
        <v>123</v>
      </c>
      <c r="F58">
        <f t="shared" ref="F58:AJ58" si="1">F57/E57</f>
        <v>1.020435776978093</v>
      </c>
      <c r="G58">
        <f t="shared" si="1"/>
        <v>1.0213579061415861</v>
      </c>
      <c r="H58">
        <f t="shared" si="1"/>
        <v>1.0211221263802914</v>
      </c>
      <c r="I58">
        <f t="shared" si="1"/>
        <v>1.0200492407718234</v>
      </c>
      <c r="J58">
        <f t="shared" si="1"/>
        <v>1.0185809562468997</v>
      </c>
      <c r="K58">
        <f t="shared" si="1"/>
        <v>1.0180331868113739</v>
      </c>
      <c r="L58">
        <f t="shared" si="1"/>
        <v>1.0182699805397992</v>
      </c>
      <c r="M58">
        <f t="shared" si="1"/>
        <v>1.0189357745477481</v>
      </c>
      <c r="N58">
        <f t="shared" si="1"/>
        <v>1.0190035102943591</v>
      </c>
      <c r="O58">
        <f t="shared" si="1"/>
        <v>1.0187736085611752</v>
      </c>
      <c r="P58">
        <f t="shared" si="1"/>
        <v>1.0180949480828603</v>
      </c>
      <c r="Q58">
        <f t="shared" si="1"/>
        <v>1.0170585525315248</v>
      </c>
      <c r="R58">
        <f t="shared" si="1"/>
        <v>1.0164933978839363</v>
      </c>
      <c r="S58">
        <f t="shared" si="1"/>
        <v>1.0159051120878979</v>
      </c>
      <c r="T58">
        <f t="shared" si="1"/>
        <v>1.0152783366780851</v>
      </c>
      <c r="U58">
        <f t="shared" si="1"/>
        <v>1.0153569201239629</v>
      </c>
      <c r="V58">
        <f t="shared" si="1"/>
        <v>1.0158416226108837</v>
      </c>
      <c r="W58">
        <f t="shared" si="1"/>
        <v>1.0165571822353785</v>
      </c>
      <c r="X58">
        <f t="shared" si="1"/>
        <v>1.017193422038644</v>
      </c>
      <c r="Y58">
        <f t="shared" si="1"/>
        <v>1.0178875875694247</v>
      </c>
      <c r="Z58">
        <f t="shared" si="1"/>
        <v>1.0184874516561115</v>
      </c>
      <c r="AA58">
        <f t="shared" si="1"/>
        <v>1.0191296234899658</v>
      </c>
      <c r="AB58">
        <f t="shared" si="1"/>
        <v>1.0194587987167372</v>
      </c>
      <c r="AC58">
        <f t="shared" si="1"/>
        <v>1.0196577454999662</v>
      </c>
      <c r="AD58">
        <f t="shared" si="1"/>
        <v>1.0199713289166159</v>
      </c>
      <c r="AE58">
        <f t="shared" si="1"/>
        <v>1.020391402303209</v>
      </c>
      <c r="AF58">
        <f t="shared" si="1"/>
        <v>1.0209622526772586</v>
      </c>
      <c r="AG58">
        <f t="shared" si="1"/>
        <v>1.0218010950263385</v>
      </c>
      <c r="AH58">
        <f t="shared" si="1"/>
        <v>1.0229414682288953</v>
      </c>
      <c r="AI58">
        <f t="shared" si="1"/>
        <v>1.0241228143315344</v>
      </c>
      <c r="AJ58">
        <f t="shared" si="1"/>
        <v>1.0247935045514192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opLeftCell="A57" zoomScale="110" zoomScaleNormal="110" workbookViewId="0">
      <selection activeCell="P59" sqref="P59"/>
    </sheetView>
  </sheetViews>
  <sheetFormatPr baseColWidth="10" defaultRowHeight="16"/>
  <cols>
    <col min="1" max="1" width="23.83203125" customWidth="1"/>
    <col min="3" max="3" width="12.5" bestFit="1" customWidth="1"/>
  </cols>
  <sheetData>
    <row r="1" spans="1:61">
      <c r="A1" t="s">
        <v>73</v>
      </c>
    </row>
    <row r="2" spans="1:61">
      <c r="A2" t="s">
        <v>201</v>
      </c>
    </row>
    <row r="3" spans="1:61">
      <c r="A3" t="s">
        <v>202</v>
      </c>
    </row>
    <row r="4" spans="1:61">
      <c r="B4" s="20"/>
    </row>
    <row r="5" spans="1:61">
      <c r="A5" t="s">
        <v>74</v>
      </c>
      <c r="B5" t="s">
        <v>75</v>
      </c>
    </row>
    <row r="6" spans="1:61">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c r="BD8" s="7"/>
      <c r="BE8" s="7"/>
      <c r="BF8" s="7"/>
      <c r="BG8" s="7"/>
      <c r="BH8" s="7"/>
      <c r="BI8" s="7"/>
    </row>
    <row r="9" spans="1:61">
      <c r="A9" t="s">
        <v>69</v>
      </c>
      <c r="B9" t="s">
        <v>205</v>
      </c>
      <c r="C9" t="s">
        <v>206</v>
      </c>
    </row>
    <row r="10" spans="1:61">
      <c r="A10" t="s">
        <v>71</v>
      </c>
      <c r="B10">
        <v>5.8</v>
      </c>
      <c r="C10">
        <v>0</v>
      </c>
    </row>
    <row r="11" spans="1:61">
      <c r="A11" t="s">
        <v>57</v>
      </c>
      <c r="B11">
        <v>5.0570000000000004</v>
      </c>
      <c r="C11">
        <f>42*0.325</f>
        <v>13.65</v>
      </c>
    </row>
    <row r="12" spans="1:61">
      <c r="A12" t="s">
        <v>56</v>
      </c>
      <c r="B12">
        <f>B14</f>
        <v>5.7779999999999996</v>
      </c>
      <c r="C12">
        <f>42*0.325</f>
        <v>13.65</v>
      </c>
    </row>
    <row r="13" spans="1:61">
      <c r="A13" t="s">
        <v>14</v>
      </c>
      <c r="B13">
        <v>6.2869999999999999</v>
      </c>
      <c r="C13">
        <v>0</v>
      </c>
    </row>
    <row r="14" spans="1:61">
      <c r="A14" t="s">
        <v>13</v>
      </c>
      <c r="B14">
        <v>5.7779999999999996</v>
      </c>
      <c r="C14">
        <v>0</v>
      </c>
    </row>
    <row r="15" spans="1:61">
      <c r="A15" t="s">
        <v>15</v>
      </c>
      <c r="B15">
        <v>5.359</v>
      </c>
      <c r="C15">
        <v>0</v>
      </c>
    </row>
    <row r="17" spans="1:17">
      <c r="A17" t="s">
        <v>204</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c r="A19" t="s">
        <v>199</v>
      </c>
    </row>
    <row r="20" spans="1:17">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6737774.1980952378</v>
      </c>
      <c r="Q20">
        <f ca="1">(1/42)*SUM(OFFSET('DBEDT Oahu'!$C$22, 0, 12*(Q$17-2006), 1, 12))</f>
        <v>1073265.8595238095</v>
      </c>
    </row>
    <row r="21" spans="1:17">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613061.58285714278</v>
      </c>
      <c r="Q21">
        <f ca="1">(1/42)*SUM(OFFSET('DBEDT Oahu'!$C$24, 0, 12*(Q$17-2006), 1, 12))</f>
        <v>91465.118095238096</v>
      </c>
    </row>
    <row r="22" spans="1:17">
      <c r="A22" t="s">
        <v>14</v>
      </c>
      <c r="C22">
        <f ca="1">SUM(OFFSET('DBEDT Oahu'!$C$88, 0, 12*(C$17-2006), 1, 12))</f>
        <v>8076729</v>
      </c>
      <c r="D22">
        <f ca="1">SUM(OFFSET('DBEDT Oahu'!$C$88, 0, 12*(D$17-2006), 1, 12))</f>
        <v>8098475</v>
      </c>
      <c r="E22">
        <f ca="1">SUM(OFFSET('DBEDT Oahu'!$C$88, 0, 12*(E$17-2006), 1, 12))</f>
        <v>7747069</v>
      </c>
      <c r="F22">
        <f ca="1">SUM(OFFSET('DBEDT Oahu'!$C$88, 0, 12*(F$17-2006), 1, 12))</f>
        <v>7411899</v>
      </c>
      <c r="G22">
        <f ca="1">SUM(OFFSET('DBEDT Oahu'!$C$88, 0, 12*(G$17-2006), 1, 12))</f>
        <v>7307478</v>
      </c>
      <c r="H22">
        <f ca="1">SUM(OFFSET('DBEDT Oahu'!$C$88, 0, 12*(H$17-2006), 1, 12))</f>
        <v>7285178</v>
      </c>
      <c r="I22">
        <f ca="1">SUM(OFFSET('DBEDT Oahu'!$C$88, 0, 12*(I$17-2006), 1, 12))</f>
        <v>6703981</v>
      </c>
      <c r="J22">
        <f ca="1">SUM(OFFSET('DBEDT Oahu'!$C$88, 0, 12*(J$17-2006), 1, 12))</f>
        <v>6391243</v>
      </c>
      <c r="K22">
        <f ca="1">SUM(OFFSET('DBEDT Oahu'!$C$88, 0, 12*(K$17-2006), 1, 12))</f>
        <v>6112576</v>
      </c>
      <c r="L22">
        <f ca="1">SUM(OFFSET('DBEDT Oahu'!$C$88, 0, 12*(L$17-2006), 1, 12))</f>
        <v>6139949</v>
      </c>
      <c r="M22">
        <f ca="1">SUM(OFFSET('DBEDT Oahu'!$C$88, 0, 12*(M$17-2006), 1, 12))</f>
        <v>5768973</v>
      </c>
      <c r="N22">
        <f ca="1">SUM(OFFSET('DBEDT Oahu'!$C$88, 0, 12*(N$17-2006), 1, 12))</f>
        <v>5709841</v>
      </c>
      <c r="O22">
        <f ca="1">SUM(OFFSET('DBEDT Oahu'!$C$88, 0, 12*(O$17-2006), 1, 12))</f>
        <v>5813837</v>
      </c>
      <c r="P22">
        <f ca="1">SUM(OFFSET('DBEDT Oahu'!$C$88, 0, 12*(P$17-2006), 1, 12))</f>
        <v>5671391</v>
      </c>
      <c r="Q22">
        <f ca="1">SUM(OFFSET('DBEDT Oahu'!$C$88, 0, 12*(Q$17-2006), 1, 12))</f>
        <v>0</v>
      </c>
    </row>
    <row r="23" spans="1:17">
      <c r="A23" t="s">
        <v>13</v>
      </c>
      <c r="C23">
        <f ca="1">SUM(OFFSET('DBEDT Oahu'!$C$95, 0, 12*(C$17-2006), 1, 12))</f>
        <v>74348</v>
      </c>
      <c r="D23">
        <f ca="1">SUM(OFFSET('DBEDT Oahu'!$C$95, 0, 12*(D$17-2006), 1, 12))</f>
        <v>97132</v>
      </c>
      <c r="E23">
        <f ca="1">SUM(OFFSET('DBEDT Oahu'!$C$95, 0, 12*(E$17-2006), 1, 12))</f>
        <v>69931</v>
      </c>
      <c r="F23">
        <f ca="1">SUM(OFFSET('DBEDT Oahu'!$C$95, 0, 12*(F$17-2006), 1, 12))</f>
        <v>143183</v>
      </c>
      <c r="G23">
        <f ca="1">SUM(OFFSET('DBEDT Oahu'!$C$95, 0, 12*(G$17-2006), 1, 12))</f>
        <v>67442</v>
      </c>
      <c r="H23">
        <f ca="1">SUM(OFFSET('DBEDT Oahu'!$C$95, 0, 12*(H$17-2006), 1, 12))</f>
        <v>27784</v>
      </c>
      <c r="I23">
        <f ca="1">SUM(OFFSET('DBEDT Oahu'!$C$95, 0, 12*(I$17-2006), 1, 12))</f>
        <v>15604</v>
      </c>
      <c r="J23">
        <f ca="1">SUM(OFFSET('DBEDT Oahu'!$C$95, 0, 12*(J$17-2006), 1, 12))</f>
        <v>16960</v>
      </c>
      <c r="K23">
        <f ca="1">SUM(OFFSET('DBEDT Oahu'!$C$95, 0, 12*(K$17-2006), 1, 12))</f>
        <v>54700</v>
      </c>
      <c r="L23">
        <f ca="1">SUM(OFFSET('DBEDT Oahu'!$C$95, 0, 12*(L$17-2006), 1, 12))</f>
        <v>73164</v>
      </c>
      <c r="M23">
        <f ca="1">SUM(OFFSET('DBEDT Oahu'!$C$95, 0, 12*(M$17-2006), 1, 12))</f>
        <v>63004</v>
      </c>
      <c r="N23">
        <f ca="1">SUM(OFFSET('DBEDT Oahu'!$C$95, 0, 12*(N$17-2006), 1, 12))</f>
        <v>127523</v>
      </c>
      <c r="O23">
        <f ca="1">SUM(OFFSET('DBEDT Oahu'!$C$95, 0, 12*(O$17-2006), 1, 12))</f>
        <v>136633</v>
      </c>
      <c r="P23">
        <f ca="1">SUM(OFFSET('DBEDT Oahu'!$C$95, 0, 12*(P$17-2006), 1, 12))</f>
        <v>346932</v>
      </c>
      <c r="Q23">
        <f ca="1">SUM(OFFSET('DBEDT Oahu'!$C$95, 0, 12*(Q$17-2006), 1, 12))</f>
        <v>0</v>
      </c>
    </row>
    <row r="24" spans="1:17">
      <c r="A24" t="s">
        <v>15</v>
      </c>
      <c r="C24">
        <f ca="1">SUM(OFFSET('DBEDT Oahu'!$C$102, 0, 12*(C$17-2006), 1, 12))</f>
        <v>0</v>
      </c>
      <c r="D24">
        <f ca="1">SUM(OFFSET('DBEDT Oahu'!$C$102, 0, 12*(D$17-2006), 1, 12))</f>
        <v>0</v>
      </c>
      <c r="E24">
        <f ca="1">SUM(OFFSET('DBEDT Oahu'!$C$102, 0, 12*(E$17-2006), 1, 12))</f>
        <v>0</v>
      </c>
      <c r="F24">
        <f ca="1">SUM(OFFSET('DBEDT Oahu'!$C$102, 0, 12*(F$17-2006), 1, 12))</f>
        <v>0</v>
      </c>
      <c r="G24">
        <f ca="1">SUM(OFFSET('DBEDT Oahu'!$C$102, 0, 12*(G$17-2006), 1, 12))</f>
        <v>7355</v>
      </c>
      <c r="H24">
        <f ca="1">SUM(OFFSET('DBEDT Oahu'!$C$102, 0, 12*(H$17-2006), 1, 12))</f>
        <v>81996</v>
      </c>
      <c r="I24">
        <f ca="1">SUM(OFFSET('DBEDT Oahu'!$C$102, 0, 12*(I$17-2006), 1, 12))</f>
        <v>74110</v>
      </c>
      <c r="J24">
        <f ca="1">SUM(OFFSET('DBEDT Oahu'!$C$102, 0, 12*(J$17-2006), 1, 12))</f>
        <v>98261</v>
      </c>
      <c r="K24">
        <f ca="1">SUM(OFFSET('DBEDT Oahu'!$C$102, 0, 12*(K$17-2006), 1, 12))</f>
        <v>115771</v>
      </c>
      <c r="L24">
        <f ca="1">SUM(OFFSET('DBEDT Oahu'!$C$102, 0, 12*(L$17-2006), 1, 12))</f>
        <v>161638</v>
      </c>
      <c r="M24">
        <f ca="1">SUM(OFFSET('DBEDT Oahu'!$C$102, 0, 12*(M$17-2006), 1, 12))</f>
        <v>120032</v>
      </c>
      <c r="N24">
        <f ca="1">SUM(OFFSET('DBEDT Oahu'!$C$102, 0, 12*(N$17-2006), 1, 12))</f>
        <v>169281</v>
      </c>
      <c r="O24">
        <f ca="1">SUM(OFFSET('DBEDT Oahu'!$C$102, 0, 12*(O$17-2006), 1, 12))</f>
        <v>131095</v>
      </c>
      <c r="P24">
        <f ca="1">SUM(OFFSET('DBEDT Oahu'!$C$102, 0, 12*(P$17-2006), 1, 12))</f>
        <v>87550</v>
      </c>
      <c r="Q24">
        <f ca="1">SUM(OFFSET('DBEDT Oahu'!$C$102, 0, 12*(Q$17-2006), 1, 12))</f>
        <v>0</v>
      </c>
    </row>
    <row r="26" spans="1:17">
      <c r="A26" t="s">
        <v>200</v>
      </c>
    </row>
    <row r="27" spans="1:17">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972526690.69003749</v>
      </c>
      <c r="Q27">
        <f ca="1">SUMPRODUCT(OFFSET('DBEDT Oahu'!$C$7, 0, 12*(Q$17-2006), 1, 12), OFFSET('DBEDT Oahu'!$C$22, 0, 12*(Q$17-2006), 1, 12))</f>
        <v>157613257.42435527</v>
      </c>
    </row>
    <row r="28" spans="1:17">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108079748.54860191</v>
      </c>
      <c r="Q28">
        <f ca="1">SUMPRODUCT(OFFSET('DBEDT Oahu'!$C$10, 0, 12*(Q$17-2006), 1, 12), OFFSET('DBEDT Oahu'!$C$24, 0, 12*(Q$17-2006), 1, 12))</f>
        <v>16076101.812130524</v>
      </c>
    </row>
    <row r="29" spans="1:17">
      <c r="A29" t="s">
        <v>14</v>
      </c>
      <c r="C29">
        <f ca="1">SUM(OFFSET('DBEDT Oahu'!$C$89, 0, 12*(C$17-2006), 1, 12))</f>
        <v>509158869</v>
      </c>
      <c r="D29">
        <f ca="1">SUM(OFFSET('DBEDT Oahu'!$C$89, 0, 12*(D$17-2006), 1, 12))</f>
        <v>516262837</v>
      </c>
      <c r="E29">
        <f ca="1">SUM(OFFSET('DBEDT Oahu'!$C$89, 0, 12*(E$17-2006), 1, 12))</f>
        <v>858263675</v>
      </c>
      <c r="F29">
        <f ca="1">SUM(OFFSET('DBEDT Oahu'!$C$89, 0, 12*(F$17-2006), 1, 12))</f>
        <v>447210553</v>
      </c>
      <c r="G29">
        <f ca="1">SUM(OFFSET('DBEDT Oahu'!$C$89, 0, 12*(G$17-2006), 1, 12))</f>
        <v>623103526</v>
      </c>
      <c r="H29">
        <f ca="1">SUM(OFFSET('DBEDT Oahu'!$C$89, 0, 12*(H$17-2006), 1, 12))</f>
        <v>888998554</v>
      </c>
      <c r="I29">
        <f ca="1">SUM(OFFSET('DBEDT Oahu'!$C$89, 0, 12*(I$17-2006), 1, 12))</f>
        <v>924349278</v>
      </c>
      <c r="J29">
        <f ca="1">SUM(OFFSET('DBEDT Oahu'!$C$89, 0, 12*(J$17-2006), 1, 12))</f>
        <v>831132193</v>
      </c>
      <c r="K29">
        <f ca="1">SUM(OFFSET('DBEDT Oahu'!$C$89, 0, 12*(K$17-2006), 1, 12))</f>
        <v>790384010</v>
      </c>
      <c r="L29">
        <f ca="1">SUM(OFFSET('DBEDT Oahu'!$C$89, 0, 12*(L$17-2006), 1, 12))</f>
        <v>427671323</v>
      </c>
      <c r="M29">
        <f ca="1">SUM(OFFSET('DBEDT Oahu'!$C$89, 0, 12*(M$17-2006), 1, 12))</f>
        <v>292405274</v>
      </c>
      <c r="N29">
        <f ca="1">SUM(OFFSET('DBEDT Oahu'!$C$89, 0, 12*(N$17-2006), 1, 12))</f>
        <v>378355257</v>
      </c>
      <c r="O29">
        <f ca="1">SUM(OFFSET('DBEDT Oahu'!$C$89, 0, 12*(O$17-2006), 1, 12))</f>
        <v>496928592</v>
      </c>
      <c r="P29">
        <f ca="1">SUM(OFFSET('DBEDT Oahu'!$C$89, 0, 12*(P$17-2006), 1, 12))</f>
        <v>446766533</v>
      </c>
      <c r="Q29">
        <f ca="1">SUM(OFFSET('DBEDT Oahu'!$C$89, 0, 12*(Q$17-2006), 1, 12))</f>
        <v>0</v>
      </c>
    </row>
    <row r="30" spans="1:17">
      <c r="A30" t="s">
        <v>13</v>
      </c>
      <c r="C30">
        <f ca="1">SUM(OFFSET('DBEDT Oahu'!$C$96, 0, 12*(C$17-2006), 1, 12))</f>
        <v>7079420</v>
      </c>
      <c r="D30">
        <f ca="1">SUM(OFFSET('DBEDT Oahu'!$C$96, 0, 12*(D$17-2006), 1, 12))</f>
        <v>9292723</v>
      </c>
      <c r="E30">
        <f ca="1">SUM(OFFSET('DBEDT Oahu'!$C$96, 0, 12*(E$17-2006), 1, 12))</f>
        <v>8562932</v>
      </c>
      <c r="F30">
        <f ca="1">SUM(OFFSET('DBEDT Oahu'!$C$96, 0, 12*(F$17-2006), 1, 12))</f>
        <v>12860158</v>
      </c>
      <c r="G30">
        <f ca="1">SUM(OFFSET('DBEDT Oahu'!$C$96, 0, 12*(G$17-2006), 1, 12))</f>
        <v>6357718</v>
      </c>
      <c r="H30">
        <f ca="1">SUM(OFFSET('DBEDT Oahu'!$C$96, 0, 12*(H$17-2006), 1, 12))</f>
        <v>3116205</v>
      </c>
      <c r="I30">
        <f ca="1">SUM(OFFSET('DBEDT Oahu'!$C$96, 0, 12*(I$17-2006), 1, 12))</f>
        <v>2003035</v>
      </c>
      <c r="J30">
        <f ca="1">SUM(OFFSET('DBEDT Oahu'!$C$96, 0, 12*(J$17-2006), 1, 12))</f>
        <v>2241776</v>
      </c>
      <c r="K30">
        <f ca="1">SUM(OFFSET('DBEDT Oahu'!$C$96, 0, 12*(K$17-2006), 1, 12))</f>
        <v>7380062</v>
      </c>
      <c r="L30">
        <f ca="1">SUM(OFFSET('DBEDT Oahu'!$C$96, 0, 12*(L$17-2006), 1, 12))</f>
        <v>6741941</v>
      </c>
      <c r="M30">
        <f ca="1">SUM(OFFSET('DBEDT Oahu'!$C$96, 0, 12*(M$17-2006), 1, 12))</f>
        <v>4129769</v>
      </c>
      <c r="N30">
        <f ca="1">SUM(OFFSET('DBEDT Oahu'!$C$96, 0, 12*(N$17-2006), 1, 12))</f>
        <v>9197512</v>
      </c>
      <c r="O30">
        <f ca="1">SUM(OFFSET('DBEDT Oahu'!$C$96, 0, 12*(O$17-2006), 1, 12))</f>
        <v>13575551</v>
      </c>
      <c r="P30">
        <f ca="1">SUM(OFFSET('DBEDT Oahu'!$C$96, 0, 12*(P$17-2006), 1, 12))</f>
        <v>31485867</v>
      </c>
      <c r="Q30">
        <f ca="1">SUM(OFFSET('DBEDT Oahu'!$C$96, 0, 12*(Q$17-2006), 1, 12))</f>
        <v>0</v>
      </c>
    </row>
    <row r="31" spans="1:17">
      <c r="A31" t="s">
        <v>15</v>
      </c>
      <c r="C31">
        <f ca="1">SUM(OFFSET('DBEDT Oahu'!$C$103, 0, 12*(C$17-2006), 1, 12))</f>
        <v>0</v>
      </c>
      <c r="D31">
        <f ca="1">SUM(OFFSET('DBEDT Oahu'!$C$103, 0, 12*(D$17-2006), 1, 12))</f>
        <v>0</v>
      </c>
      <c r="E31">
        <f ca="1">SUM(OFFSET('DBEDT Oahu'!$C$103, 0, 12*(E$17-2006), 1, 12))</f>
        <v>0</v>
      </c>
      <c r="F31">
        <f ca="1">SUM(OFFSET('DBEDT Oahu'!$C$103, 0, 12*(F$17-2006), 1, 12))</f>
        <v>0</v>
      </c>
      <c r="G31">
        <f ca="1">SUM(OFFSET('DBEDT Oahu'!$C$103, 0, 12*(G$17-2006), 1, 12))</f>
        <v>1698101</v>
      </c>
      <c r="H31">
        <f ca="1">SUM(OFFSET('DBEDT Oahu'!$C$103, 0, 12*(H$17-2006), 1, 12))</f>
        <v>17057078</v>
      </c>
      <c r="I31">
        <f ca="1">SUM(OFFSET('DBEDT Oahu'!$C$103, 0, 12*(I$17-2006), 1, 12))</f>
        <v>18893532</v>
      </c>
      <c r="J31">
        <f ca="1">SUM(OFFSET('DBEDT Oahu'!$C$103, 0, 12*(J$17-2006), 1, 12))</f>
        <v>17990634</v>
      </c>
      <c r="K31">
        <f ca="1">SUM(OFFSET('DBEDT Oahu'!$C$103, 0, 12*(K$17-2006), 1, 12))</f>
        <v>23482192</v>
      </c>
      <c r="L31">
        <f ca="1">SUM(OFFSET('DBEDT Oahu'!$C$103, 0, 12*(L$17-2006), 1, 12))</f>
        <v>23655288</v>
      </c>
      <c r="M31">
        <f ca="1">SUM(OFFSET('DBEDT Oahu'!$C$103, 0, 12*(M$17-2006), 1, 12))</f>
        <v>8824109</v>
      </c>
      <c r="N31">
        <f ca="1">SUM(OFFSET('DBEDT Oahu'!$C$103, 0, 12*(N$17-2006), 1, 12))</f>
        <v>20651159</v>
      </c>
      <c r="O31">
        <f ca="1">SUM(OFFSET('DBEDT Oahu'!$C$103, 0, 12*(O$17-2006), 1, 12))</f>
        <v>11479690</v>
      </c>
      <c r="P31">
        <f ca="1">SUM(OFFSET('DBEDT Oahu'!$C$103, 0, 12*(P$17-2006), 1, 12))</f>
        <v>16475153</v>
      </c>
      <c r="Q31">
        <f ca="1">SUM(OFFSET('DBEDT Oahu'!$C$103, 0, 12*(Q$17-2006), 1, 12))</f>
        <v>0</v>
      </c>
    </row>
    <row r="33" spans="1:168">
      <c r="A33" t="s">
        <v>203</v>
      </c>
      <c r="B33" t="s">
        <v>85</v>
      </c>
    </row>
    <row r="34" spans="1:168">
      <c r="A34" t="s">
        <v>198</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f>VLOOKUP(DATE(P17, 6, 30), 'Brent History'!$A$4:$B$50, 2, FALSE)</f>
        <v>64.36</v>
      </c>
      <c r="Q34" t="e">
        <f>VLOOKUP(DATE(Q17, 6, 30), 'Brent History'!$A$4:$B$50, 2, FALSE)</f>
        <v>#N/A</v>
      </c>
    </row>
    <row r="35" spans="1:168">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144.33946019814226</v>
      </c>
      <c r="Q35">
        <f t="shared" ca="1" si="5"/>
        <v>146.85388156694529</v>
      </c>
    </row>
    <row r="36" spans="1:168">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176.29509264779185</v>
      </c>
      <c r="Q36">
        <f t="shared" ca="1" si="6"/>
        <v>175.76210632988278</v>
      </c>
    </row>
    <row r="37" spans="1:168">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78.775477303539816</v>
      </c>
      <c r="Q37" t="e">
        <f t="shared" ca="1" si="7"/>
        <v>#DIV/0!</v>
      </c>
    </row>
    <row r="38" spans="1:168">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90.755153747708491</v>
      </c>
      <c r="Q38" t="e">
        <f t="shared" ca="1" si="8"/>
        <v>#DIV/0!</v>
      </c>
    </row>
    <row r="39" spans="1:168">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188.17993146773273</v>
      </c>
      <c r="Q39" t="e">
        <f t="shared" ca="1" si="9"/>
        <v>#DIV/0!</v>
      </c>
    </row>
    <row r="41" spans="1:168">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f t="shared" si="11"/>
        <v>11.096551724137932</v>
      </c>
      <c r="Q42" t="e">
        <f t="shared" si="11"/>
        <v>#N/A</v>
      </c>
    </row>
    <row r="43" spans="1:168">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25.843278662871711</v>
      </c>
      <c r="Q43">
        <f t="shared" ca="1" si="12"/>
        <v>26.340494674104267</v>
      </c>
    </row>
    <row r="44" spans="1:168">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28.149029534058819</v>
      </c>
      <c r="Q44">
        <f t="shared" ca="1" si="13"/>
        <v>28.056785449962408</v>
      </c>
    </row>
    <row r="45" spans="1:168">
      <c r="A45" t="str">
        <f t="shared" si="10"/>
        <v>LSFO</v>
      </c>
      <c r="C45">
        <f t="shared" ref="C45:Q45" ca="1" si="14">(C37-$C13)/$B13</f>
        <v>10.027076806266955</v>
      </c>
      <c r="D45">
        <f t="shared" ca="1" si="14"/>
        <v>10.139677856440828</v>
      </c>
      <c r="E45">
        <f t="shared" ca="1" si="14"/>
        <v>17.621377190801422</v>
      </c>
      <c r="F45">
        <f t="shared" ca="1" si="14"/>
        <v>9.5970794509174713</v>
      </c>
      <c r="G45">
        <f t="shared" ca="1" si="14"/>
        <v>13.562796075890629</v>
      </c>
      <c r="H45">
        <f t="shared" ca="1" si="14"/>
        <v>19.409637604462798</v>
      </c>
      <c r="I45">
        <f t="shared" ca="1" si="14"/>
        <v>21.931072531102913</v>
      </c>
      <c r="J45">
        <f t="shared" ca="1" si="14"/>
        <v>20.684323151153333</v>
      </c>
      <c r="K45">
        <f t="shared" ca="1" si="14"/>
        <v>20.566974676610798</v>
      </c>
      <c r="L45">
        <f t="shared" ca="1" si="14"/>
        <v>11.07903427599978</v>
      </c>
      <c r="M45">
        <f t="shared" ca="1" si="14"/>
        <v>8.0620081867730686</v>
      </c>
      <c r="N45">
        <f t="shared" ca="1" si="14"/>
        <v>10.539798241837696</v>
      </c>
      <c r="O45">
        <f t="shared" ca="1" si="14"/>
        <v>13.595264890989483</v>
      </c>
      <c r="P45">
        <f t="shared" ca="1" si="14"/>
        <v>12.529899364329539</v>
      </c>
      <c r="Q45" t="e">
        <f t="shared" ca="1" si="14"/>
        <v>#DIV/0!</v>
      </c>
    </row>
    <row r="46" spans="1:168">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15.707018647924627</v>
      </c>
      <c r="Q46" t="e">
        <f t="shared" ca="1" si="15"/>
        <v>#DIV/0!</v>
      </c>
    </row>
    <row r="47" spans="1:168">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35.114747428201667</v>
      </c>
      <c r="Q47" t="e">
        <f t="shared" ca="1" si="16"/>
        <v>#DIV/0!</v>
      </c>
    </row>
    <row r="48" spans="1:168">
      <c r="A48" t="s">
        <v>229</v>
      </c>
      <c r="E48" s="7">
        <f>'Coal History'!D23/(2000*'Coal History'!D10)*1000000</f>
        <v>3.5814040678601557</v>
      </c>
      <c r="F48" s="7">
        <f>'Coal History'!E23/(2000*'Coal History'!E10)*1000000</f>
        <v>2.9727443609022557</v>
      </c>
      <c r="G48" s="7">
        <f>'Coal History'!F23/(2000*'Coal History'!F10)*1000000</f>
        <v>2.7617875402385916</v>
      </c>
      <c r="H48" s="7">
        <f>'Coal History'!G23/(2000*'Coal History'!G10)*1000000</f>
        <v>3.3845625061376809</v>
      </c>
      <c r="I48" s="7">
        <f>'Coal History'!H23/(2000*'Coal History'!H10)*1000000</f>
        <v>3.7798973564442719</v>
      </c>
      <c r="J48" s="7">
        <f>'Coal History'!I23/(2000*'Coal History'!I10)*1000000</f>
        <v>3.9141414141414139</v>
      </c>
      <c r="K48" s="7">
        <f>'Coal History'!J23/(2000*'Coal History'!J10)*1000000</f>
        <v>3.9085259273645372</v>
      </c>
      <c r="L48" s="7">
        <f>'Coal History'!K23/(2000*'Coal History'!K10)*1000000</f>
        <v>3.6973216857060573</v>
      </c>
      <c r="M48" s="7">
        <f>'Coal History'!L23/(2000*'Coal History'!L10)*1000000</f>
        <v>3.407346224856671</v>
      </c>
      <c r="N48" s="7">
        <f>'Coal History'!M23/(2000*'Coal History'!M10)*1000000</f>
        <v>3.888719975676497</v>
      </c>
      <c r="O48" s="7">
        <f>'Coal History'!N23/(2000*'Coal History'!N10)*1000000</f>
        <v>4.7826753937410516</v>
      </c>
      <c r="P48" s="7">
        <f>'Coal History'!O23/(2000*'Coal History'!O10)*1000000</f>
        <v>3.8662234310466403</v>
      </c>
      <c r="Q48" s="7" t="e">
        <f>'Coal History'!P23/(2000*'Coal History'!P10)*1000000</f>
        <v>#DIV/0!</v>
      </c>
    </row>
    <row r="49" spans="1:168">
      <c r="A49" t="s">
        <v>228</v>
      </c>
      <c r="E49" s="7">
        <f>'Coal History'!D21/(2000*'Coal History'!D8)*1000000</f>
        <v>2.051320830812664</v>
      </c>
      <c r="F49" s="7">
        <f>'Coal History'!E21/(2000*'Coal History'!E8)*1000000</f>
        <v>2.1932577444826888</v>
      </c>
      <c r="G49" s="7">
        <f>'Coal History'!F21/(2000*'Coal History'!F8)*1000000</f>
        <v>2.2547621472955077</v>
      </c>
      <c r="H49" s="7">
        <f>'Coal History'!G21/(2000*'Coal History'!G8)*1000000</f>
        <v>2.3742041486958305</v>
      </c>
      <c r="I49" s="7">
        <f>'Coal History'!H21/(2000*'Coal History'!H8)*1000000</f>
        <v>2.3715025906735754</v>
      </c>
      <c r="J49" s="7">
        <f>'Coal History'!I21/(2000*'Coal History'!I8)*1000000</f>
        <v>2.3343357876179613</v>
      </c>
      <c r="K49" s="7">
        <f>'Coal History'!J21/(2000*'Coal History'!J8)*1000000</f>
        <v>2.3558237903641808</v>
      </c>
      <c r="L49" s="7">
        <f>'Coal History'!K21/(2000*'Coal History'!K8)*1000000</f>
        <v>2.2152886115444619</v>
      </c>
      <c r="M49" s="7">
        <f>'Coal History'!L21/(2000*'Coal History'!L8)*1000000</f>
        <v>2.107665179960585</v>
      </c>
      <c r="N49" s="7">
        <f>'Coal History'!M21/(2000*'Coal History'!M8)*1000000</f>
        <v>2.0551825430130091</v>
      </c>
      <c r="O49" s="7">
        <f>'Coal History'!N21/(2000*'Coal History'!N8)*1000000</f>
        <v>2.0552115041461105</v>
      </c>
      <c r="P49" s="7">
        <f>'Coal History'!O21/(2000*'Coal History'!O8)*1000000</f>
        <v>2.0197813638729825</v>
      </c>
      <c r="Q49" s="7" t="e">
        <f>'Coal History'!P21/(2000*'Coal History'!P8)*1000000</f>
        <v>#DIV/0!</v>
      </c>
    </row>
    <row r="50" spans="1:168">
      <c r="P50" s="40" t="s">
        <v>232</v>
      </c>
      <c r="Q50" t="s">
        <v>231</v>
      </c>
    </row>
    <row r="51" spans="1:168">
      <c r="A51" t="s">
        <v>78</v>
      </c>
      <c r="C51">
        <f t="shared" ref="C51:P51" si="17">C17</f>
        <v>2006</v>
      </c>
      <c r="D51">
        <f t="shared" si="17"/>
        <v>2007</v>
      </c>
      <c r="E51">
        <f t="shared" si="17"/>
        <v>2008</v>
      </c>
      <c r="F51">
        <f t="shared" si="17"/>
        <v>2009</v>
      </c>
      <c r="G51">
        <f t="shared" si="17"/>
        <v>2010</v>
      </c>
      <c r="H51">
        <f t="shared" si="17"/>
        <v>2011</v>
      </c>
      <c r="I51">
        <f t="shared" si="17"/>
        <v>2012</v>
      </c>
      <c r="J51">
        <f t="shared" si="17"/>
        <v>2013</v>
      </c>
      <c r="K51">
        <f t="shared" si="17"/>
        <v>2014</v>
      </c>
      <c r="L51">
        <f t="shared" si="17"/>
        <v>2015</v>
      </c>
      <c r="M51">
        <f t="shared" si="17"/>
        <v>2016</v>
      </c>
      <c r="N51">
        <f t="shared" si="17"/>
        <v>2017</v>
      </c>
      <c r="O51">
        <f t="shared" si="17"/>
        <v>2018</v>
      </c>
      <c r="P51">
        <f t="shared" si="17"/>
        <v>2019</v>
      </c>
      <c r="Q51" s="39">
        <f>P51+1</f>
        <v>2020</v>
      </c>
      <c r="R51">
        <f t="shared" ref="R51:AU51" si="18">Q51+1</f>
        <v>2021</v>
      </c>
      <c r="S51">
        <f t="shared" si="18"/>
        <v>2022</v>
      </c>
      <c r="T51">
        <f t="shared" si="18"/>
        <v>2023</v>
      </c>
      <c r="U51">
        <f t="shared" si="18"/>
        <v>2024</v>
      </c>
      <c r="V51">
        <f t="shared" si="18"/>
        <v>2025</v>
      </c>
      <c r="W51">
        <f t="shared" si="18"/>
        <v>2026</v>
      </c>
      <c r="X51">
        <f t="shared" si="18"/>
        <v>2027</v>
      </c>
      <c r="Y51">
        <f t="shared" si="18"/>
        <v>2028</v>
      </c>
      <c r="Z51">
        <f t="shared" si="18"/>
        <v>2029</v>
      </c>
      <c r="AA51">
        <f t="shared" si="18"/>
        <v>2030</v>
      </c>
      <c r="AB51">
        <f t="shared" si="18"/>
        <v>2031</v>
      </c>
      <c r="AC51">
        <f t="shared" si="18"/>
        <v>2032</v>
      </c>
      <c r="AD51">
        <f t="shared" si="18"/>
        <v>2033</v>
      </c>
      <c r="AE51">
        <f t="shared" si="18"/>
        <v>2034</v>
      </c>
      <c r="AF51">
        <f t="shared" si="18"/>
        <v>2035</v>
      </c>
      <c r="AG51">
        <f t="shared" si="18"/>
        <v>2036</v>
      </c>
      <c r="AH51">
        <f t="shared" si="18"/>
        <v>2037</v>
      </c>
      <c r="AI51">
        <f t="shared" si="18"/>
        <v>2038</v>
      </c>
      <c r="AJ51">
        <f t="shared" si="18"/>
        <v>2039</v>
      </c>
      <c r="AK51">
        <f t="shared" si="18"/>
        <v>2040</v>
      </c>
      <c r="AL51">
        <f t="shared" si="18"/>
        <v>2041</v>
      </c>
      <c r="AM51">
        <f t="shared" si="18"/>
        <v>2042</v>
      </c>
      <c r="AN51">
        <f t="shared" si="18"/>
        <v>2043</v>
      </c>
      <c r="AO51">
        <f t="shared" si="18"/>
        <v>2044</v>
      </c>
      <c r="AP51">
        <f t="shared" si="18"/>
        <v>2045</v>
      </c>
      <c r="AQ51">
        <f t="shared" si="18"/>
        <v>2046</v>
      </c>
      <c r="AR51">
        <f t="shared" si="18"/>
        <v>2047</v>
      </c>
      <c r="AS51">
        <f t="shared" si="18"/>
        <v>2048</v>
      </c>
      <c r="AT51">
        <f t="shared" si="18"/>
        <v>2049</v>
      </c>
      <c r="AU51">
        <f t="shared" si="18"/>
        <v>2050</v>
      </c>
    </row>
    <row r="52" spans="1:168">
      <c r="A52" t="s">
        <v>79</v>
      </c>
      <c r="C52" s="39">
        <f t="shared" ref="C52:P52" ca="1" si="19">AVERAGE(OFFSET($B7:$E7, 0, 4*(C$51-2006)))</f>
        <v>90.063749999999999</v>
      </c>
      <c r="D52">
        <f t="shared" ca="1" si="19"/>
        <v>92.482500000000002</v>
      </c>
      <c r="E52">
        <f t="shared" ca="1" si="19"/>
        <v>94.288749999999993</v>
      </c>
      <c r="F52">
        <f t="shared" ca="1" si="19"/>
        <v>95.002750000000006</v>
      </c>
      <c r="G52">
        <f t="shared" ca="1" si="19"/>
        <v>96.106750000000005</v>
      </c>
      <c r="H52">
        <f t="shared" ca="1" si="19"/>
        <v>98.115250000000003</v>
      </c>
      <c r="I52">
        <f t="shared" ca="1" si="19"/>
        <v>99.998750000000001</v>
      </c>
      <c r="J52">
        <f t="shared" ca="1" si="19"/>
        <v>101.75125</v>
      </c>
      <c r="K52">
        <f t="shared" ca="1" si="19"/>
        <v>103.63225</v>
      </c>
      <c r="L52">
        <f t="shared" ca="1" si="19"/>
        <v>104.71549999999999</v>
      </c>
      <c r="M52">
        <f t="shared" ca="1" si="19"/>
        <v>105.798</v>
      </c>
      <c r="N52">
        <f t="shared" ca="1" si="19"/>
        <v>107.78874999999999</v>
      </c>
      <c r="O52">
        <f t="shared" ca="1" si="19"/>
        <v>110.41475</v>
      </c>
      <c r="P52">
        <f t="shared" ca="1" si="19"/>
        <v>111.8305</v>
      </c>
      <c r="Q52" s="17">
        <f ca="1">P52*INDEX(AEO!$E$58:$AJ$58, 1, MATCH(Q$51, AEO!$E$5:$AJ$5, 0))</f>
        <v>114.11584315734862</v>
      </c>
      <c r="R52" s="17">
        <f ca="1">Q52*INDEX(AEO!$E$58:$AJ$58, 1, MATCH(R$51, AEO!$E$5:$AJ$5, 0))</f>
        <v>116.55311862477123</v>
      </c>
      <c r="S52" s="17">
        <f ca="1">R52*INDEX(AEO!$E$58:$AJ$58, 1, MATCH(S$51, AEO!$E$5:$AJ$5, 0))</f>
        <v>119.01496832638075</v>
      </c>
      <c r="T52" s="17">
        <f ca="1">S52*INDEX(AEO!$E$58:$AJ$58, 1, MATCH(T$51, AEO!$E$5:$AJ$5, 0))</f>
        <v>121.40112808180729</v>
      </c>
      <c r="U52" s="17">
        <f ca="1">T52*INDEX(AEO!$E$58:$AJ$58, 1, MATCH(U$51, AEO!$E$5:$AJ$5, 0))</f>
        <v>123.65687713101961</v>
      </c>
      <c r="V52" s="17">
        <f ca="1">U52*INDEX(AEO!$E$58:$AJ$58, 1, MATCH(V$51, AEO!$E$5:$AJ$5, 0))</f>
        <v>125.8868046968344</v>
      </c>
      <c r="W52" s="17">
        <f ca="1">V52*INDEX(AEO!$E$58:$AJ$58, 1, MATCH(W$51, AEO!$E$5:$AJ$5, 0))</f>
        <v>128.18675416886308</v>
      </c>
      <c r="X52" s="17">
        <f ca="1">W52*INDEX(AEO!$E$58:$AJ$58, 1, MATCH(X$51, AEO!$E$5:$AJ$5, 0))</f>
        <v>130.61406964581226</v>
      </c>
      <c r="Y52" s="17">
        <f ca="1">X52*INDEX(AEO!$E$58:$AJ$58, 1, MATCH(Y$51, AEO!$E$5:$AJ$5, 0))</f>
        <v>133.09619546291461</v>
      </c>
      <c r="Z52" s="17">
        <f ca="1">Y52*INDEX(AEO!$E$58:$AJ$58, 1, MATCH(Z$51, AEO!$E$5:$AJ$5, 0))</f>
        <v>135.59489133751703</v>
      </c>
      <c r="AA52" s="17">
        <f ca="1">Z52*INDEX(AEO!$E$58:$AJ$58, 1, MATCH(AA$51, AEO!$E$5:$AJ$5, 0))</f>
        <v>138.04847385657047</v>
      </c>
      <c r="AB52" s="17">
        <f ca="1">AA52*INDEX(AEO!$E$58:$AJ$58, 1, MATCH(AB$51, AEO!$E$5:$AJ$5, 0))</f>
        <v>140.4033809997496</v>
      </c>
      <c r="AC52" s="17">
        <f ca="1">AB52*INDEX(AEO!$E$58:$AJ$58, 1, MATCH(AC$51, AEO!$E$5:$AJ$5, 0))</f>
        <v>142.71910982682837</v>
      </c>
      <c r="AD52" s="17">
        <f ca="1">AC52*INDEX(AEO!$E$58:$AJ$58, 1, MATCH(AD$51, AEO!$E$5:$AJ$5, 0))</f>
        <v>144.9890732657091</v>
      </c>
      <c r="AE52" s="17">
        <f ca="1">AD52*INDEX(AEO!$E$58:$AJ$58, 1, MATCH(AE$51, AEO!$E$5:$AJ$5, 0))</f>
        <v>147.20426514170614</v>
      </c>
      <c r="AF52" s="17">
        <f ca="1">AE52*INDEX(AEO!$E$58:$AJ$58, 1, MATCH(AF$51, AEO!$E$5:$AJ$5, 0))</f>
        <v>149.46486928339399</v>
      </c>
      <c r="AG52" s="17">
        <f ca="1">AF52*INDEX(AEO!$E$58:$AJ$58, 1, MATCH(AG$51, AEO!$E$5:$AJ$5, 0))</f>
        <v>151.83263533616659</v>
      </c>
      <c r="AH52" s="17">
        <f ca="1">AG52*INDEX(AEO!$E$58:$AJ$58, 1, MATCH(AH$51, AEO!$E$5:$AJ$5, 0))</f>
        <v>154.34655594870526</v>
      </c>
      <c r="AI52" s="17">
        <f ca="1">AH52*INDEX(AEO!$E$58:$AJ$58, 1, MATCH(AI$51, AEO!$E$5:$AJ$5, 0))</f>
        <v>157.00030142534254</v>
      </c>
      <c r="AJ52" s="17">
        <f ca="1">AI52*INDEX(AEO!$E$58:$AJ$58, 1, MATCH(AJ$51, AEO!$E$5:$AJ$5, 0))</f>
        <v>159.80865806551444</v>
      </c>
      <c r="AK52" s="17">
        <f ca="1">AJ52*INDEX(AEO!$E$58:$AJ$58, 1, MATCH(AK$51, AEO!$E$5:$AJ$5, 0))</f>
        <v>162.76311290572869</v>
      </c>
      <c r="AL52" s="17">
        <f ca="1">AK52*INDEX(AEO!$E$58:$AJ$58, 1, MATCH(AL$51, AEO!$E$5:$AJ$5, 0))</f>
        <v>165.87670997367007</v>
      </c>
      <c r="AM52" s="17">
        <f ca="1">AL52*INDEX(AEO!$E$58:$AJ$58, 1, MATCH(AM$51, AEO!$E$5:$AJ$5, 0))</f>
        <v>169.10447148484232</v>
      </c>
      <c r="AN52" s="17">
        <f ca="1">AM52*INDEX(AEO!$E$58:$AJ$58, 1, MATCH(AN$51, AEO!$E$5:$AJ$5, 0))</f>
        <v>172.42868414819765</v>
      </c>
      <c r="AO52" s="17">
        <f ca="1">AN52*INDEX(AEO!$E$58:$AJ$58, 1, MATCH(AO$51, AEO!$E$5:$AJ$5, 0))</f>
        <v>175.87231411398056</v>
      </c>
      <c r="AP52" s="17">
        <f ca="1">AO52*INDEX(AEO!$E$58:$AJ$58, 1, MATCH(AP$51, AEO!$E$5:$AJ$5, 0))</f>
        <v>179.4585972250751</v>
      </c>
      <c r="AQ52" s="17">
        <f ca="1">AP52*INDEX(AEO!$E$58:$AJ$58, 1, MATCH(AQ$51, AEO!$E$5:$AJ$5, 0))</f>
        <v>183.2204536852135</v>
      </c>
      <c r="AR52" s="17">
        <f ca="1">AQ52*INDEX(AEO!$E$58:$AJ$58, 1, MATCH(AR$51, AEO!$E$5:$AJ$5, 0))</f>
        <v>187.21486020677369</v>
      </c>
      <c r="AS52" s="17">
        <f ca="1">AR52*INDEX(AEO!$E$58:$AJ$58, 1, MATCH(AS$51, AEO!$E$5:$AJ$5, 0))</f>
        <v>191.50984397418446</v>
      </c>
      <c r="AT52" s="17">
        <f ca="1">AS52*INDEX(AEO!$E$58:$AJ$58, 1, MATCH(AT$51, AEO!$E$5:$AJ$5, 0))</f>
        <v>196.12960038303484</v>
      </c>
      <c r="AU52" s="17">
        <f ca="1">AT52*INDEX(AEO!$E$58:$AJ$58, 1, MATCH(AU$51, AEO!$E$5:$AJ$5, 0))</f>
        <v>200.99234052279962</v>
      </c>
    </row>
    <row r="53" spans="1:168">
      <c r="A53" t="s">
        <v>80</v>
      </c>
      <c r="C53">
        <f t="shared" ref="C53:Q53" ca="1" si="20">OFFSET($C$52, 0, base_year-$C$51)/C52</f>
        <v>1.2416815866538979</v>
      </c>
      <c r="D53">
        <f t="shared" ca="1" si="20"/>
        <v>1.2092071472981374</v>
      </c>
      <c r="E53">
        <f t="shared" ca="1" si="20"/>
        <v>1.1860428736195994</v>
      </c>
      <c r="F53">
        <f t="shared" ca="1" si="20"/>
        <v>1.177129083105489</v>
      </c>
      <c r="G53">
        <f t="shared" ca="1" si="20"/>
        <v>1.1636071347746126</v>
      </c>
      <c r="H53">
        <f t="shared" ca="1" si="20"/>
        <v>1.1397871380850582</v>
      </c>
      <c r="I53">
        <f t="shared" ca="1" si="20"/>
        <v>1.1183189789872374</v>
      </c>
      <c r="J53">
        <f t="shared" ca="1" si="20"/>
        <v>1.0990577511332784</v>
      </c>
      <c r="K53">
        <f t="shared" ca="1" si="20"/>
        <v>1.0791090611272069</v>
      </c>
      <c r="L53">
        <f t="shared" ca="1" si="20"/>
        <v>1.0679460060831492</v>
      </c>
      <c r="M53">
        <f t="shared" ca="1" si="20"/>
        <v>1.0570190362766783</v>
      </c>
      <c r="N53">
        <f t="shared" ca="1" si="20"/>
        <v>1.037496955851144</v>
      </c>
      <c r="O53">
        <f t="shared" ca="1" si="20"/>
        <v>1.0128221093649172</v>
      </c>
      <c r="P53">
        <f t="shared" ca="1" si="20"/>
        <v>1</v>
      </c>
      <c r="Q53">
        <f t="shared" ca="1" si="20"/>
        <v>0.97997348050789512</v>
      </c>
      <c r="R53">
        <f t="shared" ref="R53" ca="1" si="21">OFFSET($C$52, 0, base_year-$C$51)/R52</f>
        <v>0.95948097588040404</v>
      </c>
      <c r="S53">
        <f t="shared" ref="S53" ca="1" si="22">OFFSET($C$52, 0, base_year-$C$51)/S52</f>
        <v>0.93963390968875093</v>
      </c>
      <c r="T53">
        <f t="shared" ref="T53" ca="1" si="23">OFFSET($C$52, 0, base_year-$C$51)/T52</f>
        <v>0.92116524588339876</v>
      </c>
      <c r="U53">
        <f t="shared" ref="U53" ca="1" si="24">OFFSET($C$52, 0, base_year-$C$51)/U52</f>
        <v>0.90436134725859951</v>
      </c>
      <c r="V53">
        <f t="shared" ref="V53" ca="1" si="25">OFFSET($C$52, 0, base_year-$C$51)/V52</f>
        <v>0.88834171515683991</v>
      </c>
      <c r="W53">
        <f t="shared" ref="W53" ca="1" si="26">OFFSET($C$52, 0, base_year-$C$51)/W52</f>
        <v>0.87240293059205909</v>
      </c>
      <c r="X53">
        <f t="shared" ref="X53" ca="1" si="27">OFFSET($C$52, 0, base_year-$C$51)/X52</f>
        <v>0.85619030402507257</v>
      </c>
      <c r="Y53">
        <f t="shared" ref="Y53" ca="1" si="28">OFFSET($C$52, 0, base_year-$C$51)/Y52</f>
        <v>0.84022311540197259</v>
      </c>
      <c r="Z53">
        <f t="shared" ref="Z53" ca="1" si="29">OFFSET($C$52, 0, base_year-$C$51)/Z52</f>
        <v>0.82473977372522311</v>
      </c>
      <c r="AA53">
        <f t="shared" ref="AA53" ca="1" si="30">OFFSET($C$52, 0, base_year-$C$51)/AA52</f>
        <v>0.81008139297642356</v>
      </c>
      <c r="AB53">
        <f t="shared" ref="AB53" ca="1" si="31">OFFSET($C$52, 0, base_year-$C$51)/AB52</f>
        <v>0.79649435222788145</v>
      </c>
      <c r="AC53">
        <f t="shared" ref="AC53" ca="1" si="32">OFFSET($C$52, 0, base_year-$C$51)/AC52</f>
        <v>0.78357061038071352</v>
      </c>
      <c r="AD53">
        <f t="shared" ref="AD53" ca="1" si="33">OFFSET($C$52, 0, base_year-$C$51)/AD52</f>
        <v>0.77130295049929587</v>
      </c>
      <c r="AE53">
        <f t="shared" ref="AE53" ca="1" si="34">OFFSET($C$52, 0, base_year-$C$51)/AE52</f>
        <v>0.75969605834685838</v>
      </c>
      <c r="AF53">
        <f t="shared" ref="AF53" ca="1" si="35">OFFSET($C$52, 0, base_year-$C$51)/AF52</f>
        <v>0.74820591980021023</v>
      </c>
      <c r="AG53">
        <f t="shared" ref="AG53" ca="1" si="36">OFFSET($C$52, 0, base_year-$C$51)/AG52</f>
        <v>0.7365379633462894</v>
      </c>
      <c r="AH53">
        <f t="shared" ref="AH53" ca="1" si="37">OFFSET($C$52, 0, base_year-$C$51)/AH52</f>
        <v>0.72454159610250823</v>
      </c>
      <c r="AI53">
        <f t="shared" ref="AI53" ca="1" si="38">OFFSET($C$52, 0, base_year-$C$51)/AI52</f>
        <v>0.71229481080441182</v>
      </c>
      <c r="AJ53">
        <f t="shared" ref="AJ53" ca="1" si="39">OFFSET($C$52, 0, base_year-$C$51)/AJ52</f>
        <v>0.69977747985440486</v>
      </c>
      <c r="AK53">
        <f t="shared" ref="AK53" ca="1" si="40">OFFSET($C$52, 0, base_year-$C$51)/AK52</f>
        <v>0.68707521012314066</v>
      </c>
      <c r="AL53">
        <f t="shared" ref="AL53" ca="1" si="41">OFFSET($C$52, 0, base_year-$C$51)/AL52</f>
        <v>0.67417843058106874</v>
      </c>
      <c r="AM53">
        <f t="shared" ref="AM53" ca="1" si="42">OFFSET($C$52, 0, base_year-$C$51)/AM52</f>
        <v>0.66131012987450144</v>
      </c>
      <c r="AN53">
        <f t="shared" ref="AN53" ca="1" si="43">OFFSET($C$52, 0, base_year-$C$51)/AN52</f>
        <v>0.6485608850548602</v>
      </c>
      <c r="AO53">
        <f t="shared" ref="AO53" ca="1" si="44">OFFSET($C$52, 0, base_year-$C$51)/AO52</f>
        <v>0.63586187833705365</v>
      </c>
      <c r="AP53">
        <f t="shared" ref="AP53" ca="1" si="45">OFFSET($C$52, 0, base_year-$C$51)/AP52</f>
        <v>0.6231548765520738</v>
      </c>
      <c r="AQ53">
        <f t="shared" ref="AQ53" ca="1" si="46">OFFSET($C$52, 0, base_year-$C$51)/AQ52</f>
        <v>0.61036034869847666</v>
      </c>
      <c r="AR53">
        <f t="shared" ref="AR53" ca="1" si="47">OFFSET($C$52, 0, base_year-$C$51)/AR52</f>
        <v>0.59733773203946672</v>
      </c>
      <c r="AS53">
        <f t="shared" ref="AS53" ca="1" si="48">OFFSET($C$52, 0, base_year-$C$51)/AS52</f>
        <v>0.58394126212684272</v>
      </c>
      <c r="AT53">
        <f t="shared" ref="AT53" ca="1" si="49">OFFSET($C$52, 0, base_year-$C$51)/AT52</f>
        <v>0.57018675295110277</v>
      </c>
      <c r="AU53">
        <f t="shared" ref="AU53" ca="1" si="50">OFFSET($C$52, 0, base_year-$C$51)/AU52</f>
        <v>0.5563918491078742</v>
      </c>
    </row>
    <row r="55" spans="1:168">
      <c r="A55" t="s">
        <v>208</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c r="A56" t="str">
        <f t="shared" ref="A56:A61" si="51">A42</f>
        <v>Crude oil</v>
      </c>
      <c r="C56">
        <f t="shared" ref="C56:Q56" ca="1" si="52">C42*C$53</f>
        <v>13.949650376959998</v>
      </c>
      <c r="D56">
        <f t="shared" ca="1" si="52"/>
        <v>15.102580301771908</v>
      </c>
      <c r="E56">
        <f t="shared" ca="1" si="52"/>
        <v>19.823275201497232</v>
      </c>
      <c r="F56">
        <f t="shared" ca="1" si="52"/>
        <v>12.53033613636774</v>
      </c>
      <c r="G56">
        <f t="shared" ca="1" si="52"/>
        <v>15.971511034380502</v>
      </c>
      <c r="H56">
        <f t="shared" ca="1" si="52"/>
        <v>21.864261548852344</v>
      </c>
      <c r="I56">
        <f t="shared" ca="1" si="52"/>
        <v>21.523784073162986</v>
      </c>
      <c r="J56">
        <f t="shared" ca="1" si="52"/>
        <v>20.571329217763569</v>
      </c>
      <c r="K56">
        <f t="shared" ca="1" si="52"/>
        <v>18.413693755130979</v>
      </c>
      <c r="L56">
        <f t="shared" ca="1" si="52"/>
        <v>9.6336094893569602</v>
      </c>
      <c r="M56">
        <f t="shared" ca="1" si="52"/>
        <v>7.9531570246748693</v>
      </c>
      <c r="N56">
        <f t="shared" ca="1" si="52"/>
        <v>9.6827086586590401</v>
      </c>
      <c r="O56">
        <f t="shared" ca="1" si="52"/>
        <v>12.457711945188482</v>
      </c>
      <c r="P56">
        <f t="shared" ca="1" si="52"/>
        <v>11.096551724137932</v>
      </c>
      <c r="Q56" t="e">
        <f t="shared" ca="1" si="52"/>
        <v>#N/A</v>
      </c>
    </row>
    <row r="57" spans="1:168">
      <c r="A57" t="str">
        <f t="shared" si="51"/>
        <v>Motor Gasoline</v>
      </c>
      <c r="C57">
        <f t="shared" ref="C57:Q57" ca="1" si="53">C43*C$53</f>
        <v>27.431131582401342</v>
      </c>
      <c r="D57">
        <f t="shared" ca="1" si="53"/>
        <v>27.696530809801402</v>
      </c>
      <c r="E57">
        <f t="shared" ca="1" si="53"/>
        <v>32.947438143705725</v>
      </c>
      <c r="F57">
        <f t="shared" ca="1" si="53"/>
        <v>24.578399687903207</v>
      </c>
      <c r="G57">
        <f t="shared" ca="1" si="53"/>
        <v>29.429060590560987</v>
      </c>
      <c r="H57">
        <f t="shared" ca="1" si="53"/>
        <v>34.490614047221598</v>
      </c>
      <c r="I57">
        <f t="shared" ca="1" si="53"/>
        <v>36.053865045443629</v>
      </c>
      <c r="J57">
        <f t="shared" ca="1" si="53"/>
        <v>34.897317148938292</v>
      </c>
      <c r="K57">
        <f t="shared" ca="1" si="53"/>
        <v>33.755300879442323</v>
      </c>
      <c r="L57">
        <f t="shared" ca="1" si="53"/>
        <v>23.50796120730757</v>
      </c>
      <c r="M57">
        <f t="shared" ca="1" si="53"/>
        <v>19.641141278571695</v>
      </c>
      <c r="N57">
        <f t="shared" ca="1" si="53"/>
        <v>22.63387630744359</v>
      </c>
      <c r="O57">
        <f t="shared" ca="1" si="53"/>
        <v>26.806042811882275</v>
      </c>
      <c r="P57">
        <f t="shared" ca="1" si="53"/>
        <v>25.843278662871711</v>
      </c>
      <c r="Q57">
        <f t="shared" ca="1" si="53"/>
        <v>25.812986244081632</v>
      </c>
    </row>
    <row r="58" spans="1:168">
      <c r="A58" t="str">
        <f t="shared" si="51"/>
        <v>Motor Diesel</v>
      </c>
      <c r="C58">
        <f t="shared" ref="C58:Q58" ca="1" si="54">C44*C$53</f>
        <v>27.592607069084014</v>
      </c>
      <c r="D58">
        <f t="shared" ca="1" si="54"/>
        <v>28.128802802120067</v>
      </c>
      <c r="E58">
        <f t="shared" ca="1" si="54"/>
        <v>36.988522319776727</v>
      </c>
      <c r="F58">
        <f t="shared" ca="1" si="54"/>
        <v>30.317882704241299</v>
      </c>
      <c r="G58">
        <f t="shared" ca="1" si="54"/>
        <v>29.788361016925691</v>
      </c>
      <c r="H58">
        <f t="shared" ca="1" si="54"/>
        <v>34.437418261482719</v>
      </c>
      <c r="I58">
        <f t="shared" ca="1" si="54"/>
        <v>36.163094601599575</v>
      </c>
      <c r="J58">
        <f t="shared" ca="1" si="54"/>
        <v>35.440849304429833</v>
      </c>
      <c r="K58">
        <f t="shared" ca="1" si="54"/>
        <v>34.869240308180224</v>
      </c>
      <c r="L58">
        <f t="shared" ca="1" si="54"/>
        <v>32.245501994018589</v>
      </c>
      <c r="M58">
        <f t="shared" ca="1" si="54"/>
        <v>28.56806453470535</v>
      </c>
      <c r="N58">
        <f t="shared" ca="1" si="54"/>
        <v>27.81383783592122</v>
      </c>
      <c r="O58">
        <f t="shared" ca="1" si="54"/>
        <v>27.918769112621053</v>
      </c>
      <c r="P58">
        <f t="shared" ca="1" si="54"/>
        <v>28.149029534058819</v>
      </c>
      <c r="Q58">
        <f t="shared" ca="1" si="54"/>
        <v>27.494905689262932</v>
      </c>
    </row>
    <row r="59" spans="1:168">
      <c r="A59" t="str">
        <f t="shared" si="51"/>
        <v>LSFO</v>
      </c>
      <c r="C59">
        <f t="shared" ref="C59:Q59" ca="1" si="55">C45*C$53</f>
        <v>12.450436638306051</v>
      </c>
      <c r="D59">
        <f t="shared" ca="1" si="55"/>
        <v>12.260970935308906</v>
      </c>
      <c r="E59">
        <f t="shared" ca="1" si="55"/>
        <v>20.899708840512982</v>
      </c>
      <c r="F59">
        <f t="shared" ca="1" si="55"/>
        <v>11.297001334549012</v>
      </c>
      <c r="G59">
        <f t="shared" ca="1" si="55"/>
        <v>15.781766281399456</v>
      </c>
      <c r="H59">
        <f t="shared" ca="1" si="55"/>
        <v>22.122855296458777</v>
      </c>
      <c r="I59">
        <f t="shared" ca="1" si="55"/>
        <v>24.525934641078059</v>
      </c>
      <c r="J59">
        <f t="shared" ca="1" si="55"/>
        <v>22.733265686220587</v>
      </c>
      <c r="K59">
        <f t="shared" ca="1" si="55"/>
        <v>22.194008733504518</v>
      </c>
      <c r="L59">
        <f t="shared" ca="1" si="55"/>
        <v>11.831810406312279</v>
      </c>
      <c r="M59">
        <f t="shared" ca="1" si="55"/>
        <v>8.5216961240375593</v>
      </c>
      <c r="N59">
        <f t="shared" ca="1" si="55"/>
        <v>10.935008591191849</v>
      </c>
      <c r="O59">
        <f t="shared" ca="1" si="55"/>
        <v>13.76958486426677</v>
      </c>
      <c r="P59">
        <f t="shared" ca="1" si="55"/>
        <v>12.529899364329539</v>
      </c>
      <c r="Q59" t="e">
        <f t="shared" ca="1" si="55"/>
        <v>#DIV/0!</v>
      </c>
    </row>
    <row r="60" spans="1:168">
      <c r="A60" t="str">
        <f t="shared" si="51"/>
        <v>Diesel</v>
      </c>
      <c r="C60">
        <f t="shared" ref="C60:Q60" ca="1" si="56">C46*C$53</f>
        <v>20.46261303780242</v>
      </c>
      <c r="D60">
        <f t="shared" ca="1" si="56"/>
        <v>20.021832720866058</v>
      </c>
      <c r="E60">
        <f t="shared" ca="1" si="56"/>
        <v>25.134810048531357</v>
      </c>
      <c r="F60">
        <f t="shared" ca="1" si="56"/>
        <v>18.297906291243279</v>
      </c>
      <c r="G60">
        <f t="shared" ca="1" si="56"/>
        <v>18.984521606871439</v>
      </c>
      <c r="H60">
        <f t="shared" ca="1" si="56"/>
        <v>22.124703746338074</v>
      </c>
      <c r="I60">
        <f t="shared" ca="1" si="56"/>
        <v>24.845100293306643</v>
      </c>
      <c r="J60">
        <f t="shared" ca="1" si="56"/>
        <v>25.142551213946653</v>
      </c>
      <c r="K60">
        <f t="shared" ca="1" si="56"/>
        <v>25.197675909569924</v>
      </c>
      <c r="L60">
        <f t="shared" ca="1" si="56"/>
        <v>17.031749656178217</v>
      </c>
      <c r="M60">
        <f t="shared" ca="1" si="56"/>
        <v>11.99120722731506</v>
      </c>
      <c r="N60">
        <f t="shared" ca="1" si="56"/>
        <v>12.950637155715997</v>
      </c>
      <c r="O60">
        <f t="shared" ca="1" si="56"/>
        <v>17.416364176061503</v>
      </c>
      <c r="P60">
        <f t="shared" ca="1" si="56"/>
        <v>15.707018647924627</v>
      </c>
      <c r="Q60" t="e">
        <f t="shared" ca="1" si="56"/>
        <v>#DIV/0!</v>
      </c>
    </row>
    <row r="61" spans="1:168">
      <c r="A61" t="str">
        <f t="shared" si="51"/>
        <v>Biodiesel</v>
      </c>
      <c r="C61" t="e">
        <f t="shared" ref="C61:Q61" ca="1" si="57">C47*C$53</f>
        <v>#DIV/0!</v>
      </c>
      <c r="D61" t="e">
        <f t="shared" ca="1" si="57"/>
        <v>#DIV/0!</v>
      </c>
      <c r="E61" t="e">
        <f t="shared" ca="1" si="57"/>
        <v>#DIV/0!</v>
      </c>
      <c r="F61" t="e">
        <f t="shared" ca="1" si="57"/>
        <v>#DIV/0!</v>
      </c>
      <c r="G61">
        <f t="shared" ca="1" si="57"/>
        <v>50.130664240068953</v>
      </c>
      <c r="H61">
        <f t="shared" ca="1" si="57"/>
        <v>44.243753446020776</v>
      </c>
      <c r="I61">
        <f t="shared" ca="1" si="57"/>
        <v>53.200814158965038</v>
      </c>
      <c r="J61">
        <f t="shared" ca="1" si="57"/>
        <v>37.549317289925767</v>
      </c>
      <c r="K61">
        <f t="shared" ca="1" si="57"/>
        <v>40.843263128278771</v>
      </c>
      <c r="L61">
        <f t="shared" ca="1" si="57"/>
        <v>29.164216302881677</v>
      </c>
      <c r="M61">
        <f t="shared" ca="1" si="57"/>
        <v>14.500162634960532</v>
      </c>
      <c r="N61">
        <f t="shared" ca="1" si="57"/>
        <v>23.617791737500792</v>
      </c>
      <c r="O61">
        <f t="shared" ca="1" si="57"/>
        <v>16.549826632756591</v>
      </c>
      <c r="P61">
        <f t="shared" ca="1" si="57"/>
        <v>35.114747428201667</v>
      </c>
      <c r="Q61" t="e">
        <f t="shared" ca="1" si="57"/>
        <v>#DIV/0!</v>
      </c>
    </row>
    <row r="62" spans="1:168">
      <c r="A62" t="s">
        <v>41</v>
      </c>
      <c r="C62">
        <f t="shared" ref="C62:Q62" ca="1" si="58">C48*C$53</f>
        <v>0</v>
      </c>
      <c r="D62">
        <f t="shared" ca="1" si="58"/>
        <v>0</v>
      </c>
      <c r="E62">
        <f t="shared" ca="1" si="58"/>
        <v>4.2476987722377819</v>
      </c>
      <c r="F62">
        <f t="shared" ca="1" si="58"/>
        <v>3.499303843855885</v>
      </c>
      <c r="G62">
        <f t="shared" ca="1" si="58"/>
        <v>3.2136356865532529</v>
      </c>
      <c r="H62">
        <f t="shared" ca="1" si="58"/>
        <v>3.8576808125406594</v>
      </c>
      <c r="I62">
        <f t="shared" ca="1" si="58"/>
        <v>4.2271309523353162</v>
      </c>
      <c r="J62">
        <f t="shared" ca="1" si="58"/>
        <v>4.3018674602438924</v>
      </c>
      <c r="K62">
        <f t="shared" ca="1" si="58"/>
        <v>4.2177257438696918</v>
      </c>
      <c r="L62">
        <f t="shared" ca="1" si="58"/>
        <v>3.9485399274544006</v>
      </c>
      <c r="M62">
        <f t="shared" ca="1" si="58"/>
        <v>3.6016298228589765</v>
      </c>
      <c r="N62">
        <f t="shared" ca="1" si="58"/>
        <v>4.0345351369219005</v>
      </c>
      <c r="O62">
        <f t="shared" ca="1" si="58"/>
        <v>4.8439993806964976</v>
      </c>
      <c r="P62">
        <f t="shared" ca="1" si="58"/>
        <v>3.8662234310466403</v>
      </c>
      <c r="Q62" t="e">
        <f t="shared" ca="1" si="58"/>
        <v>#DIV/0!</v>
      </c>
    </row>
    <row r="63" spans="1:168">
      <c r="A63" t="str">
        <f>A49</f>
        <v>U.S. Coal</v>
      </c>
      <c r="C63">
        <f t="shared" ref="C63:Q63" ca="1" si="59">C49*C$53</f>
        <v>0</v>
      </c>
      <c r="D63">
        <f t="shared" ca="1" si="59"/>
        <v>0</v>
      </c>
      <c r="E63">
        <f t="shared" ca="1" si="59"/>
        <v>2.4329544528927962</v>
      </c>
      <c r="F63">
        <f t="shared" ca="1" si="59"/>
        <v>2.5817474777769203</v>
      </c>
      <c r="G63">
        <f t="shared" ca="1" si="59"/>
        <v>2.6236573218127788</v>
      </c>
      <c r="H63">
        <f t="shared" ca="1" si="59"/>
        <v>2.7060873518716924</v>
      </c>
      <c r="I63">
        <f t="shared" ca="1" si="59"/>
        <v>2.6520963558676613</v>
      </c>
      <c r="J63">
        <f t="shared" ca="1" si="59"/>
        <v>2.5655698411293266</v>
      </c>
      <c r="K63">
        <f t="shared" ca="1" si="59"/>
        <v>2.542190798601029</v>
      </c>
      <c r="L63">
        <f t="shared" ca="1" si="59"/>
        <v>2.3658086250203931</v>
      </c>
      <c r="M63">
        <f t="shared" ca="1" si="59"/>
        <v>2.2278422173158492</v>
      </c>
      <c r="N63">
        <f t="shared" ca="1" si="59"/>
        <v>2.1322456320944099</v>
      </c>
      <c r="O63">
        <f t="shared" ca="1" si="59"/>
        <v>2.0815636508203079</v>
      </c>
      <c r="P63">
        <f t="shared" ca="1" si="59"/>
        <v>2.0197813638729825</v>
      </c>
      <c r="Q63" t="e">
        <f t="shared" ca="1" si="59"/>
        <v>#DIV/0!</v>
      </c>
    </row>
    <row r="65" spans="1:17">
      <c r="P65">
        <f ca="1">P59-P56</f>
        <v>1.4333476401916077</v>
      </c>
      <c r="Q65">
        <f ca="1">(P65-B69)/2</f>
        <v>0.31382427546823877</v>
      </c>
    </row>
    <row r="66" spans="1:17">
      <c r="A66" t="s">
        <v>69</v>
      </c>
      <c r="B66" t="s">
        <v>81</v>
      </c>
      <c r="E66" t="s">
        <v>207</v>
      </c>
      <c r="F66" t="s">
        <v>51</v>
      </c>
    </row>
    <row r="67" spans="1:17">
      <c r="A67" t="str">
        <f>A57</f>
        <v>Motor Gasoline</v>
      </c>
      <c r="B67">
        <f ca="1">AVERAGE(C57:P57)-AVERAGE(C$56:P$56)</f>
        <v>13.509842693970773</v>
      </c>
      <c r="E67">
        <f t="array" aca="1" ref="E67:F67" ca="1">LINEST(C57:O57, C$56:O$56)</f>
        <v>1.0913930965566814</v>
      </c>
      <c r="F67">
        <f ca="1"/>
        <v>12.012322647554942</v>
      </c>
    </row>
    <row r="68" spans="1:17">
      <c r="A68" t="str">
        <f t="shared" ref="A68:A71" si="60">A58</f>
        <v>Motor Diesel</v>
      </c>
      <c r="B68">
        <f t="shared" ref="B68:B70" ca="1" si="61">AVERAGE(C58:P58)-AVERAGE(C$56:P$56)</f>
        <v>16.274844350804329</v>
      </c>
      <c r="E68">
        <f t="array" aca="1" ref="E68:F68" ca="1">LINEST(C58:O58, C$56:O$56)</f>
        <v>0.58316364874641047</v>
      </c>
      <c r="F68">
        <f ca="1"/>
        <v>22.61114320732456</v>
      </c>
    </row>
    <row r="69" spans="1:17">
      <c r="A69" t="str">
        <f t="shared" si="60"/>
        <v>LSFO</v>
      </c>
      <c r="B69">
        <f t="shared" ca="1" si="61"/>
        <v>0.80569908925513012</v>
      </c>
      <c r="E69">
        <f t="array" aca="1" ref="E69:F69" ca="1">LINEST(C59:O59, C$56:O$56)</f>
        <v>1.0960586408225537</v>
      </c>
      <c r="F69">
        <f ca="1"/>
        <v>-0.71654679715387104</v>
      </c>
    </row>
    <row r="70" spans="1:17">
      <c r="A70" t="str">
        <f t="shared" si="60"/>
        <v>Diesel</v>
      </c>
      <c r="B70">
        <f t="shared" ca="1" si="61"/>
        <v>4.6238950888404826</v>
      </c>
      <c r="E70">
        <f t="array" aca="1" ref="E70:F70" ca="1">LINEST(C60:O60, C$56:O$56)</f>
        <v>0.85913268514823238</v>
      </c>
      <c r="F70">
        <f ca="1"/>
        <v>6.7864568799679432</v>
      </c>
    </row>
    <row r="71" spans="1:17">
      <c r="A71" t="str">
        <f t="shared" si="60"/>
        <v>Biodiesel</v>
      </c>
      <c r="B71">
        <f ca="1">AVERAGE(J61:P61)-AVERAGE(J$56:P$56)</f>
        <v>15.361509048513422</v>
      </c>
      <c r="E71" s="7">
        <f t="array" aca="1" ref="E71:F71" ca="1">LINEST(J61:O61, J$56:O$56)</f>
        <v>1.6893747945518138</v>
      </c>
      <c r="F71" s="7">
        <f ca="1"/>
        <v>4.8750256625806294</v>
      </c>
    </row>
    <row r="72" spans="1:17">
      <c r="B72" t="s">
        <v>209</v>
      </c>
    </row>
    <row r="73" spans="1:17">
      <c r="B73" t="s">
        <v>84</v>
      </c>
    </row>
    <row r="75" spans="1:17">
      <c r="A75" t="s">
        <v>230</v>
      </c>
      <c r="B75">
        <f ca="1">AVERAGE(E62:P62)-AVERAGE(E63:P63)</f>
        <v>1.5773688234615628</v>
      </c>
      <c r="E75">
        <f t="array" aca="1" ref="E75:F75" ca="1">LINEST(E62:O62, E$63:O$63)</f>
        <v>-0.7918290656045085</v>
      </c>
      <c r="F75">
        <f ca="1"/>
        <v>5.9366603876241077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R116"/>
  <sheetViews>
    <sheetView topLeftCell="A4" workbookViewId="0">
      <pane xSplit="2" ySplit="1" topLeftCell="AF71" activePane="bottomRight" state="frozen"/>
      <selection activeCell="A4" sqref="A4"/>
      <selection pane="topRight" activeCell="C4" sqref="C4"/>
      <selection pane="bottomLeft" activeCell="A5" sqref="A5"/>
      <selection pane="bottomRight" activeCell="FN89" sqref="FC89:FN89"/>
    </sheetView>
  </sheetViews>
  <sheetFormatPr baseColWidth="10" defaultColWidth="8.83203125" defaultRowHeight="16"/>
  <cols>
    <col min="1" max="1" width="67.6640625" bestFit="1" customWidth="1"/>
    <col min="2" max="2" width="11.5" bestFit="1" customWidth="1"/>
    <col min="3" max="7" width="11.1640625" bestFit="1" customWidth="1"/>
    <col min="8" max="8" width="11.5" bestFit="1" customWidth="1"/>
    <col min="9" max="120" width="11.1640625" bestFit="1" customWidth="1"/>
    <col min="121" max="121" width="12.5" bestFit="1" customWidth="1"/>
    <col min="122" max="142" width="11.1640625" bestFit="1" customWidth="1"/>
    <col min="143" max="143" width="11.5" bestFit="1" customWidth="1"/>
    <col min="144" max="147" width="11.1640625" bestFit="1" customWidth="1"/>
    <col min="148" max="148" width="11.5" bestFit="1" customWidth="1"/>
    <col min="149" max="170" width="11.1640625" bestFit="1" customWidth="1"/>
    <col min="171" max="172" width="10.1640625" bestFit="1" customWidth="1"/>
    <col min="173" max="174" width="7.5" bestFit="1" customWidth="1"/>
  </cols>
  <sheetData>
    <row r="4" spans="1:174">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c r="FK4" s="21">
        <v>43709</v>
      </c>
      <c r="FL4" s="21">
        <v>43739</v>
      </c>
      <c r="FM4" s="21">
        <v>43770</v>
      </c>
      <c r="FN4" s="21">
        <v>43800</v>
      </c>
      <c r="FO4" s="21">
        <v>43831</v>
      </c>
      <c r="FP4" s="21">
        <v>43862</v>
      </c>
      <c r="FQ4" s="21">
        <v>43891</v>
      </c>
      <c r="FR4" s="21">
        <v>43922</v>
      </c>
    </row>
    <row r="6" spans="1:174">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row>
    <row r="7" spans="1:174">
      <c r="A7" t="s">
        <v>62</v>
      </c>
      <c r="B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c r="FK7" s="23">
        <v>3.5387142857142857</v>
      </c>
      <c r="FL7" s="23">
        <v>3.5447727272727274</v>
      </c>
      <c r="FM7" s="23">
        <v>3.5388823529411759</v>
      </c>
      <c r="FN7" s="23">
        <v>3.534666666666666</v>
      </c>
      <c r="FO7" s="23">
        <v>3.5295263157894734</v>
      </c>
      <c r="FP7" s="23">
        <v>3.4617894736842114</v>
      </c>
      <c r="FQ7" s="23">
        <v>3.355909090909091</v>
      </c>
      <c r="FR7" s="23">
        <v>3.0926666666666671</v>
      </c>
    </row>
    <row r="8" spans="1:174">
      <c r="A8" t="s">
        <v>124</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c r="FK8" s="23">
        <v>3.7459999999999991</v>
      </c>
      <c r="FL8" s="23">
        <v>3.7582727272727272</v>
      </c>
      <c r="FM8" s="23">
        <v>3.7646470588235292</v>
      </c>
      <c r="FN8" s="23">
        <v>3.7618333333333331</v>
      </c>
      <c r="FO8" s="23">
        <v>3.7565789473684217</v>
      </c>
      <c r="FP8" s="23">
        <v>3.6978947368421049</v>
      </c>
      <c r="FQ8" s="23">
        <v>3.5919545454545454</v>
      </c>
      <c r="FR8" s="23">
        <v>3.3560666666666661</v>
      </c>
    </row>
    <row r="9" spans="1:174">
      <c r="A9" t="s">
        <v>125</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c r="FK9" s="23">
        <v>3.9454285714285722</v>
      </c>
      <c r="FL9" s="23">
        <v>3.958499999999999</v>
      </c>
      <c r="FM9" s="23">
        <v>3.9634705882352943</v>
      </c>
      <c r="FN9" s="23">
        <v>3.9623333333333335</v>
      </c>
      <c r="FO9" s="23">
        <v>3.966368421052632</v>
      </c>
      <c r="FP9" s="23">
        <v>3.9001578947368416</v>
      </c>
      <c r="FQ9" s="23">
        <v>3.7900909090909094</v>
      </c>
      <c r="FR9" s="23">
        <v>3.5641333333333334</v>
      </c>
    </row>
    <row r="10" spans="1:174">
      <c r="A10" t="s">
        <v>13</v>
      </c>
      <c r="B10"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c r="FK10" s="23">
        <v>4.2077619047619033</v>
      </c>
      <c r="FL10" s="23">
        <v>4.2070454545454545</v>
      </c>
      <c r="FM10" s="23">
        <v>4.2138823529411766</v>
      </c>
      <c r="FN10" s="23">
        <v>4.213111111111111</v>
      </c>
      <c r="FO10" s="23">
        <v>4.2033157894736837</v>
      </c>
      <c r="FP10" s="23">
        <v>4.1656842105263152</v>
      </c>
      <c r="FQ10" s="23">
        <v>4.1200454545454557</v>
      </c>
      <c r="FR10" s="23">
        <v>4.0151000000000003</v>
      </c>
    </row>
    <row r="11" spans="1:174">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row>
    <row r="12" spans="1:174">
      <c r="A12" t="s">
        <v>126</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row>
    <row r="13" spans="1:174">
      <c r="A13" t="s">
        <v>102</v>
      </c>
      <c r="B13" t="s">
        <v>127</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v>2677</v>
      </c>
      <c r="FI13" s="28">
        <v>1000</v>
      </c>
      <c r="FJ13" s="28">
        <v>1717</v>
      </c>
      <c r="FK13" s="28">
        <v>2441</v>
      </c>
      <c r="FL13" s="28">
        <v>3482</v>
      </c>
      <c r="FM13" s="28">
        <v>2774</v>
      </c>
      <c r="FN13" s="28">
        <v>1727</v>
      </c>
      <c r="FO13" s="28">
        <v>3731</v>
      </c>
      <c r="FP13" s="28">
        <v>1992</v>
      </c>
      <c r="FQ13" s="28"/>
      <c r="FR13" s="28"/>
    </row>
    <row r="14" spans="1:174">
      <c r="A14" t="s">
        <v>128</v>
      </c>
      <c r="B14" t="s">
        <v>127</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v>0</v>
      </c>
      <c r="FI14" s="28">
        <v>0</v>
      </c>
      <c r="FJ14" s="28">
        <v>0</v>
      </c>
      <c r="FK14" s="28">
        <v>0</v>
      </c>
      <c r="FL14" s="28">
        <v>0</v>
      </c>
      <c r="FM14" s="28">
        <v>0</v>
      </c>
      <c r="FN14" s="28">
        <v>0</v>
      </c>
      <c r="FO14" s="28">
        <v>0</v>
      </c>
      <c r="FP14" s="28">
        <v>0</v>
      </c>
      <c r="FQ14" s="28"/>
      <c r="FR14" s="28"/>
    </row>
    <row r="15" spans="1:174">
      <c r="A15" t="s">
        <v>129</v>
      </c>
      <c r="B15" t="s">
        <v>127</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v>743</v>
      </c>
      <c r="FI15" s="28">
        <v>2434</v>
      </c>
      <c r="FJ15" s="28">
        <v>710</v>
      </c>
      <c r="FK15" s="28">
        <v>1255</v>
      </c>
      <c r="FL15" s="28">
        <v>455</v>
      </c>
      <c r="FM15" s="28">
        <v>0</v>
      </c>
      <c r="FN15" s="28">
        <v>1490</v>
      </c>
      <c r="FO15" s="28">
        <v>1927</v>
      </c>
      <c r="FP15" s="28">
        <v>1246</v>
      </c>
      <c r="FQ15" s="28"/>
      <c r="FR15" s="28"/>
    </row>
    <row r="16" spans="1:174">
      <c r="A16" t="s">
        <v>130</v>
      </c>
      <c r="B16" t="s">
        <v>127</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v>0</v>
      </c>
      <c r="FI16" s="28">
        <v>0</v>
      </c>
      <c r="FJ16" s="28">
        <v>0</v>
      </c>
      <c r="FK16" s="28">
        <v>0</v>
      </c>
      <c r="FL16" s="28">
        <v>0</v>
      </c>
      <c r="FM16" s="28">
        <v>0</v>
      </c>
      <c r="FN16" s="28">
        <v>0</v>
      </c>
      <c r="FO16" s="28">
        <v>0</v>
      </c>
      <c r="FP16" s="28">
        <v>0</v>
      </c>
      <c r="FQ16" s="28"/>
      <c r="FR16" s="28"/>
    </row>
    <row r="17" spans="1:174">
      <c r="A17" t="s">
        <v>131</v>
      </c>
      <c r="B17" t="s">
        <v>127</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v>0</v>
      </c>
      <c r="FI17" s="28">
        <v>39</v>
      </c>
      <c r="FJ17" s="28">
        <v>0</v>
      </c>
      <c r="FK17" s="28">
        <v>0</v>
      </c>
      <c r="FL17" s="28">
        <v>0</v>
      </c>
      <c r="FM17" s="28">
        <v>18</v>
      </c>
      <c r="FN17" s="28">
        <v>15</v>
      </c>
      <c r="FO17" s="28">
        <v>0</v>
      </c>
      <c r="FP17" s="28">
        <v>0</v>
      </c>
      <c r="FQ17" s="28"/>
      <c r="FR17" s="28"/>
    </row>
    <row r="18" spans="1:174">
      <c r="A18" t="s">
        <v>132</v>
      </c>
      <c r="B18" t="s">
        <v>127</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v>0</v>
      </c>
      <c r="FI18" s="28">
        <v>0</v>
      </c>
      <c r="FJ18" s="28">
        <v>0</v>
      </c>
      <c r="FK18" s="28">
        <v>0</v>
      </c>
      <c r="FL18" s="28">
        <v>0</v>
      </c>
      <c r="FM18" s="28">
        <v>0</v>
      </c>
      <c r="FN18" s="28">
        <v>0</v>
      </c>
      <c r="FO18" s="28">
        <v>0</v>
      </c>
      <c r="FP18" s="28">
        <v>0</v>
      </c>
      <c r="FQ18" s="28"/>
      <c r="FR18" s="28"/>
    </row>
    <row r="19" spans="1:174">
      <c r="A19" t="s">
        <v>133</v>
      </c>
      <c r="B19" t="s">
        <v>127</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v>293</v>
      </c>
      <c r="FI19" s="28">
        <v>617</v>
      </c>
      <c r="FJ19" s="28">
        <v>0</v>
      </c>
      <c r="FK19" s="28">
        <v>508</v>
      </c>
      <c r="FL19" s="28">
        <v>639</v>
      </c>
      <c r="FM19" s="28">
        <v>292</v>
      </c>
      <c r="FN19" s="28">
        <v>0</v>
      </c>
      <c r="FO19" s="28">
        <v>326</v>
      </c>
      <c r="FP19" s="28">
        <v>303</v>
      </c>
      <c r="FQ19" s="28"/>
      <c r="FR19" s="28"/>
    </row>
    <row r="20" spans="1:174">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row>
    <row r="21" spans="1:174">
      <c r="A21" t="s">
        <v>134</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row>
    <row r="22" spans="1:174">
      <c r="A22" t="s">
        <v>135</v>
      </c>
      <c r="B22" t="s">
        <v>136</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v>6015172.46</v>
      </c>
      <c r="FI22" s="28">
        <v>25067309.600000001</v>
      </c>
      <c r="FJ22" s="28">
        <v>42327107.780000001</v>
      </c>
      <c r="FK22" s="28">
        <v>23376176.399999999</v>
      </c>
      <c r="FL22" s="28">
        <v>23970502.579999998</v>
      </c>
      <c r="FM22" s="28">
        <v>22872704.09</v>
      </c>
      <c r="FN22" s="28">
        <v>23673805.050000001</v>
      </c>
      <c r="FO22" s="28">
        <v>23112951.050000001</v>
      </c>
      <c r="FP22" s="28">
        <v>21964215.050000001</v>
      </c>
      <c r="FQ22" s="28"/>
      <c r="FR22" s="28"/>
    </row>
    <row r="23" spans="1:174">
      <c r="A23" t="s">
        <v>137</v>
      </c>
      <c r="B23" t="s">
        <v>136</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v>6994409</v>
      </c>
      <c r="FI23" s="28">
        <v>5669184</v>
      </c>
      <c r="FJ23" s="28">
        <v>6324622</v>
      </c>
      <c r="FK23" s="28">
        <v>5093588</v>
      </c>
      <c r="FL23" s="28">
        <v>4831959</v>
      </c>
      <c r="FM23" s="28">
        <v>4464667.0599999996</v>
      </c>
      <c r="FN23" s="28">
        <v>4852092.1500000004</v>
      </c>
      <c r="FO23" s="28">
        <v>4364456.0599999996</v>
      </c>
      <c r="FP23" s="28">
        <v>3512242.02</v>
      </c>
      <c r="FQ23" s="28"/>
      <c r="FR23" s="28"/>
    </row>
    <row r="24" spans="1:174">
      <c r="A24" t="s">
        <v>138</v>
      </c>
      <c r="B24" t="s">
        <v>136</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v>698934.03</v>
      </c>
      <c r="FI24" s="28">
        <v>2302469.11</v>
      </c>
      <c r="FJ24" s="28">
        <v>3927249.23</v>
      </c>
      <c r="FK24" s="28">
        <v>2015938.55</v>
      </c>
      <c r="FL24" s="28">
        <v>2157278.4</v>
      </c>
      <c r="FM24" s="28">
        <v>2044194.89</v>
      </c>
      <c r="FN24" s="28">
        <v>1713245.9</v>
      </c>
      <c r="FO24" s="28">
        <v>1952622.96</v>
      </c>
      <c r="FP24" s="28">
        <v>1888912</v>
      </c>
      <c r="FQ24" s="28"/>
      <c r="FR24" s="28"/>
    </row>
    <row r="25" spans="1:174">
      <c r="A25" t="s">
        <v>139</v>
      </c>
      <c r="B25" t="s">
        <v>136</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row>
    <row r="26" spans="1:174">
      <c r="A26" t="s">
        <v>140</v>
      </c>
      <c r="B26" t="s">
        <v>136</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v>0</v>
      </c>
      <c r="FI26" s="28">
        <v>818.87</v>
      </c>
      <c r="FJ26" s="28">
        <v>2484.62</v>
      </c>
      <c r="FK26" s="28">
        <v>-1804.14</v>
      </c>
      <c r="FL26" s="28">
        <v>1223.49</v>
      </c>
      <c r="FM26" s="28">
        <v>496.04</v>
      </c>
      <c r="FN26" s="28">
        <v>633.96</v>
      </c>
      <c r="FO26" s="28">
        <v>574.05999999999995</v>
      </c>
      <c r="FP26" s="28">
        <v>616.98</v>
      </c>
      <c r="FQ26" s="28"/>
      <c r="FR26" s="28"/>
    </row>
    <row r="27" spans="1:174">
      <c r="A27" t="s">
        <v>141</v>
      </c>
      <c r="B27" t="s">
        <v>136</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v>38831.29</v>
      </c>
      <c r="FI27" s="28">
        <v>48700</v>
      </c>
      <c r="FJ27" s="28">
        <v>46500</v>
      </c>
      <c r="FK27" s="28">
        <v>94019.02</v>
      </c>
      <c r="FL27" s="28">
        <v>93088.03</v>
      </c>
      <c r="FM27" s="28">
        <v>93257.02</v>
      </c>
      <c r="FN27" s="28">
        <v>84959.02</v>
      </c>
      <c r="FO27" s="28">
        <v>89290.03</v>
      </c>
      <c r="FP27" s="28">
        <v>82779.02</v>
      </c>
      <c r="FQ27" s="28"/>
      <c r="FR27" s="28"/>
    </row>
    <row r="28" spans="1:174">
      <c r="A28" t="s">
        <v>142</v>
      </c>
      <c r="B28" t="s">
        <v>136</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v>188626</v>
      </c>
      <c r="FI28" s="28">
        <v>342080</v>
      </c>
      <c r="FJ28" s="28">
        <v>245146</v>
      </c>
      <c r="FK28" s="28">
        <v>342350</v>
      </c>
      <c r="FL28" s="28">
        <v>410586</v>
      </c>
      <c r="FM28" s="28">
        <v>296120</v>
      </c>
      <c r="FN28" s="28">
        <v>354066</v>
      </c>
      <c r="FO28" s="28">
        <v>290373</v>
      </c>
      <c r="FP28" s="28">
        <v>249622</v>
      </c>
      <c r="FQ28" s="28"/>
      <c r="FR28" s="28"/>
    </row>
    <row r="29" spans="1:174">
      <c r="A29" t="s">
        <v>143</v>
      </c>
      <c r="B29" t="s">
        <v>136</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v>0</v>
      </c>
      <c r="FI29" s="28">
        <v>9409683</v>
      </c>
      <c r="FJ29" s="28">
        <v>18084610</v>
      </c>
      <c r="FK29" s="28">
        <v>8602832</v>
      </c>
      <c r="FL29" s="28">
        <v>8949495</v>
      </c>
      <c r="FM29" s="28">
        <v>8763202</v>
      </c>
      <c r="FN29" s="28">
        <v>9634515</v>
      </c>
      <c r="FO29" s="28">
        <v>9445728</v>
      </c>
      <c r="FP29" s="28">
        <v>9195462</v>
      </c>
      <c r="FQ29" s="28"/>
      <c r="FR29" s="28"/>
    </row>
    <row r="30" spans="1:174">
      <c r="A30" t="s">
        <v>144</v>
      </c>
      <c r="B30" t="s">
        <v>136</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v>125373.98</v>
      </c>
      <c r="FI30" s="28">
        <v>131520</v>
      </c>
      <c r="FJ30" s="28">
        <v>136157.97</v>
      </c>
      <c r="FK30" s="28">
        <v>32116</v>
      </c>
      <c r="FL30" s="28">
        <v>128231.95</v>
      </c>
      <c r="FM30" s="28">
        <v>130541.06</v>
      </c>
      <c r="FN30" s="28">
        <v>123218.05</v>
      </c>
      <c r="FO30" s="28">
        <v>123493.09</v>
      </c>
      <c r="FP30" s="28">
        <v>127595.04</v>
      </c>
      <c r="FQ30" s="28"/>
      <c r="FR30" s="28"/>
    </row>
    <row r="31" spans="1:174">
      <c r="A31" t="s">
        <v>145</v>
      </c>
      <c r="B31" t="s">
        <v>136</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v>5679.3650793650795</v>
      </c>
      <c r="FI31" s="28">
        <v>0</v>
      </c>
      <c r="FJ31" s="28">
        <v>23886.031746031746</v>
      </c>
      <c r="FK31" s="28">
        <v>15221.015873015873</v>
      </c>
      <c r="FL31" s="28">
        <v>0</v>
      </c>
      <c r="FM31" s="28">
        <v>49388</v>
      </c>
      <c r="FN31" s="28">
        <v>1929.9682539682542</v>
      </c>
      <c r="FO31" s="28">
        <v>37484.031746031753</v>
      </c>
      <c r="FP31" s="28">
        <v>8062.0317460317456</v>
      </c>
      <c r="FQ31" s="28"/>
      <c r="FR31" s="28"/>
    </row>
    <row r="32" spans="1:174">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row>
    <row r="33" spans="1:174">
      <c r="A33" t="s">
        <v>146</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row>
    <row r="34" spans="1:174">
      <c r="A34" t="s">
        <v>147</v>
      </c>
      <c r="B34" t="s">
        <v>148</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c r="FK34" s="10">
        <v>7989</v>
      </c>
      <c r="FL34" s="10">
        <v>6686</v>
      </c>
      <c r="FM34" s="10">
        <v>7079</v>
      </c>
      <c r="FN34" s="10">
        <v>7283</v>
      </c>
      <c r="FO34" s="10">
        <v>8646</v>
      </c>
      <c r="FP34" s="10">
        <v>8827</v>
      </c>
      <c r="FQ34" s="10">
        <v>9227</v>
      </c>
      <c r="FR34" s="10">
        <v>9439</v>
      </c>
    </row>
    <row r="35" spans="1:174">
      <c r="A35" t="s">
        <v>149</v>
      </c>
      <c r="B35" t="s">
        <v>148</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c r="FK35" s="10">
        <v>2672</v>
      </c>
      <c r="FL35" s="10">
        <v>2646</v>
      </c>
      <c r="FM35" s="10">
        <v>2628</v>
      </c>
      <c r="FN35" s="10">
        <v>2611</v>
      </c>
      <c r="FO35" s="10">
        <v>2581</v>
      </c>
      <c r="FP35" s="10">
        <v>2561</v>
      </c>
      <c r="FQ35" s="10">
        <v>2545</v>
      </c>
      <c r="FR35" s="10">
        <v>2540</v>
      </c>
    </row>
    <row r="36" spans="1:174">
      <c r="A36" t="s">
        <v>150</v>
      </c>
      <c r="B36" t="s">
        <v>148</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c r="FK36" s="10">
        <v>616441</v>
      </c>
      <c r="FL36" s="10">
        <v>616598</v>
      </c>
      <c r="FM36" s="10">
        <v>615382</v>
      </c>
      <c r="FN36" s="10">
        <v>615579</v>
      </c>
      <c r="FO36" s="10">
        <v>615706</v>
      </c>
      <c r="FP36" s="10">
        <v>615493</v>
      </c>
      <c r="FQ36" s="10">
        <v>615605</v>
      </c>
      <c r="FR36" s="10">
        <v>614498</v>
      </c>
    </row>
    <row r="37" spans="1:174">
      <c r="A37" t="s">
        <v>151</v>
      </c>
      <c r="B37" t="s">
        <v>148</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c r="FK37" s="10">
        <v>17039</v>
      </c>
      <c r="FL37" s="10">
        <v>17030</v>
      </c>
      <c r="FM37" s="10">
        <v>16779</v>
      </c>
      <c r="FN37" s="10">
        <v>16743</v>
      </c>
      <c r="FO37" s="10">
        <v>16719</v>
      </c>
      <c r="FP37" s="10">
        <v>16563</v>
      </c>
      <c r="FQ37" s="10">
        <v>16403</v>
      </c>
      <c r="FR37" s="10">
        <v>16253</v>
      </c>
    </row>
    <row r="38" spans="1:174">
      <c r="A38" t="s">
        <v>152</v>
      </c>
      <c r="B38" t="s">
        <v>148</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c r="FK38" s="10">
        <v>562</v>
      </c>
      <c r="FL38" s="10">
        <v>576</v>
      </c>
      <c r="FM38" s="10">
        <v>540</v>
      </c>
      <c r="FN38" s="10">
        <v>540</v>
      </c>
      <c r="FO38" s="10">
        <v>557</v>
      </c>
      <c r="FP38" s="10">
        <v>565</v>
      </c>
      <c r="FQ38" s="10">
        <v>565</v>
      </c>
      <c r="FR38" s="10">
        <v>569</v>
      </c>
    </row>
    <row r="39" spans="1:174">
      <c r="A39" t="s">
        <v>153</v>
      </c>
      <c r="B39" t="s">
        <v>148</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c r="FK39" s="10">
        <v>14</v>
      </c>
      <c r="FL39" s="10">
        <v>14</v>
      </c>
      <c r="FM39" s="10">
        <v>15</v>
      </c>
      <c r="FN39" s="10">
        <v>14</v>
      </c>
      <c r="FO39" s="10">
        <v>14</v>
      </c>
      <c r="FP39" s="10">
        <v>15</v>
      </c>
      <c r="FQ39" s="10">
        <v>16</v>
      </c>
      <c r="FR39" s="10">
        <v>19</v>
      </c>
    </row>
    <row r="40" spans="1:174">
      <c r="A40" t="s">
        <v>154</v>
      </c>
      <c r="B40" t="s">
        <v>148</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c r="FK40" s="10">
        <v>11424</v>
      </c>
      <c r="FL40" s="10">
        <v>11441</v>
      </c>
      <c r="FM40" s="10">
        <v>11447</v>
      </c>
      <c r="FN40" s="10">
        <v>11403</v>
      </c>
      <c r="FO40" s="10">
        <v>11385</v>
      </c>
      <c r="FP40" s="10">
        <v>11379</v>
      </c>
      <c r="FQ40" s="10">
        <v>11361</v>
      </c>
      <c r="FR40" s="10">
        <v>11347</v>
      </c>
    </row>
    <row r="41" spans="1:174">
      <c r="A41" t="s">
        <v>155</v>
      </c>
      <c r="B41" t="s">
        <v>148</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c r="FK41" s="10">
        <v>34102</v>
      </c>
      <c r="FL41" s="10">
        <v>34221</v>
      </c>
      <c r="FM41" s="10">
        <v>34288</v>
      </c>
      <c r="FN41" s="10">
        <v>34385</v>
      </c>
      <c r="FO41" s="10">
        <v>34438</v>
      </c>
      <c r="FP41" s="10">
        <v>34559</v>
      </c>
      <c r="FQ41" s="10">
        <v>34607</v>
      </c>
      <c r="FR41" s="10">
        <v>34655</v>
      </c>
    </row>
    <row r="42" spans="1:174">
      <c r="A42" t="s">
        <v>156</v>
      </c>
      <c r="B42" t="s">
        <v>148</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c r="FK42" s="10">
        <v>69</v>
      </c>
      <c r="FL42" s="10">
        <v>68</v>
      </c>
      <c r="FM42" s="10">
        <v>67</v>
      </c>
      <c r="FN42" s="10">
        <v>66</v>
      </c>
      <c r="FO42" s="10">
        <v>65</v>
      </c>
      <c r="FP42" s="10">
        <v>65</v>
      </c>
      <c r="FQ42" s="10">
        <v>63</v>
      </c>
      <c r="FR42" s="10">
        <v>61</v>
      </c>
    </row>
    <row r="43" spans="1:174">
      <c r="A43" t="s">
        <v>157</v>
      </c>
      <c r="B43" t="s">
        <v>148</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c r="FK43" s="10">
        <v>89</v>
      </c>
      <c r="FL43" s="10">
        <v>89</v>
      </c>
      <c r="FM43" s="10">
        <v>91</v>
      </c>
      <c r="FN43" s="10">
        <v>91</v>
      </c>
      <c r="FO43" s="10">
        <v>90</v>
      </c>
      <c r="FP43" s="10">
        <v>89</v>
      </c>
      <c r="FQ43" s="10">
        <v>87</v>
      </c>
      <c r="FR43" s="10">
        <v>84</v>
      </c>
    </row>
    <row r="44" spans="1:174">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row>
    <row r="45" spans="1:174">
      <c r="A45" t="s">
        <v>158</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row>
    <row r="46" spans="1:174">
      <c r="A46" t="s">
        <v>159</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row>
    <row r="47" spans="1:174">
      <c r="A47" t="s">
        <v>160</v>
      </c>
      <c r="B47" t="s">
        <v>161</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v>306108</v>
      </c>
      <c r="FJ47" s="10">
        <v>306097</v>
      </c>
      <c r="FK47" s="10">
        <v>306148</v>
      </c>
      <c r="FL47" s="10">
        <v>306248</v>
      </c>
      <c r="FM47" s="10">
        <v>306155</v>
      </c>
      <c r="FN47" s="10">
        <v>306368</v>
      </c>
      <c r="FO47" s="10"/>
      <c r="FP47" s="10"/>
      <c r="FQ47" s="10"/>
      <c r="FR47" s="10"/>
    </row>
    <row r="48" spans="1:174">
      <c r="A48" t="s">
        <v>162</v>
      </c>
      <c r="B48" t="s">
        <v>161</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v>272268</v>
      </c>
      <c r="FJ48" s="10">
        <v>272271</v>
      </c>
      <c r="FK48" s="10">
        <v>272343</v>
      </c>
      <c r="FL48" s="10">
        <v>272414</v>
      </c>
      <c r="FM48" s="10">
        <v>272376</v>
      </c>
      <c r="FN48" s="10">
        <v>272590</v>
      </c>
      <c r="FO48" s="10"/>
      <c r="FP48" s="10"/>
      <c r="FQ48" s="10"/>
      <c r="FR48" s="10"/>
    </row>
    <row r="49" spans="1:174">
      <c r="A49" t="s">
        <v>163</v>
      </c>
      <c r="B49" t="s">
        <v>161</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v>33395</v>
      </c>
      <c r="FJ49" s="10">
        <v>33380</v>
      </c>
      <c r="FK49" s="10">
        <v>33359</v>
      </c>
      <c r="FL49" s="10">
        <v>33382</v>
      </c>
      <c r="FM49" s="10">
        <v>33326</v>
      </c>
      <c r="FN49" s="10">
        <v>33326</v>
      </c>
      <c r="FO49" s="10"/>
      <c r="FP49" s="10"/>
      <c r="FQ49" s="10"/>
      <c r="FR49" s="10"/>
    </row>
    <row r="50" spans="1:174">
      <c r="A50" t="s">
        <v>164</v>
      </c>
      <c r="B50" t="s">
        <v>161</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v>445</v>
      </c>
      <c r="FJ50" s="10">
        <v>446</v>
      </c>
      <c r="FK50" s="10">
        <v>446</v>
      </c>
      <c r="FL50" s="10">
        <v>452</v>
      </c>
      <c r="FM50" s="10">
        <v>453</v>
      </c>
      <c r="FN50" s="10">
        <v>452</v>
      </c>
      <c r="FO50" s="10"/>
      <c r="FP50" s="10"/>
      <c r="FQ50" s="10"/>
      <c r="FR50" s="10"/>
    </row>
    <row r="51" spans="1:17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row>
    <row r="52" spans="1:174">
      <c r="A52" t="s">
        <v>165</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row>
    <row r="53" spans="1:174">
      <c r="A53" t="s">
        <v>160</v>
      </c>
      <c r="B53" t="s">
        <v>166</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v>305757</v>
      </c>
      <c r="FJ53" s="28">
        <v>305752</v>
      </c>
      <c r="FK53" s="28">
        <v>305791</v>
      </c>
      <c r="FL53" s="28">
        <v>305892</v>
      </c>
      <c r="FM53" s="28">
        <v>305811</v>
      </c>
      <c r="FN53" s="28">
        <v>306006</v>
      </c>
      <c r="FO53" s="28"/>
      <c r="FP53" s="28"/>
      <c r="FQ53" s="28"/>
      <c r="FR53" s="28"/>
    </row>
    <row r="54" spans="1:174">
      <c r="A54" t="s">
        <v>162</v>
      </c>
      <c r="B54" t="s">
        <v>166</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v>272270</v>
      </c>
      <c r="FJ54" s="10">
        <v>272275</v>
      </c>
      <c r="FK54" s="10">
        <v>272342</v>
      </c>
      <c r="FL54" s="10">
        <v>272414</v>
      </c>
      <c r="FM54" s="10">
        <v>272389</v>
      </c>
      <c r="FN54" s="10">
        <v>272589</v>
      </c>
      <c r="FO54" s="10"/>
      <c r="FP54" s="10"/>
      <c r="FQ54" s="10"/>
      <c r="FR54" s="10"/>
    </row>
    <row r="55" spans="1:174">
      <c r="A55" t="s">
        <v>163</v>
      </c>
      <c r="B55" t="s">
        <v>166</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v>33368</v>
      </c>
      <c r="FJ55" s="10">
        <v>33358</v>
      </c>
      <c r="FK55" s="10">
        <v>33329</v>
      </c>
      <c r="FL55" s="10">
        <v>33358</v>
      </c>
      <c r="FM55" s="10">
        <v>33300</v>
      </c>
      <c r="FN55" s="10">
        <v>33295</v>
      </c>
      <c r="FO55" s="10"/>
      <c r="FP55" s="10"/>
      <c r="FQ55" s="10"/>
      <c r="FR55" s="10"/>
    </row>
    <row r="56" spans="1:174">
      <c r="A56" t="s">
        <v>164</v>
      </c>
      <c r="B56" t="s">
        <v>166</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v>119</v>
      </c>
      <c r="FJ56" s="10">
        <v>119</v>
      </c>
      <c r="FK56" s="10">
        <v>120</v>
      </c>
      <c r="FL56" s="10">
        <v>120</v>
      </c>
      <c r="FM56" s="10">
        <v>122</v>
      </c>
      <c r="FN56" s="10">
        <v>122</v>
      </c>
      <c r="FO56" s="10"/>
      <c r="FP56" s="10"/>
      <c r="FQ56" s="10"/>
      <c r="FR56" s="10"/>
    </row>
    <row r="57" spans="1:174">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row>
    <row r="58" spans="1:174">
      <c r="A58" t="s">
        <v>167</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row>
    <row r="59" spans="1:174">
      <c r="A59" t="s">
        <v>160</v>
      </c>
      <c r="B59" t="s">
        <v>168</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v>598298409</v>
      </c>
      <c r="FJ59" s="10">
        <v>621336547</v>
      </c>
      <c r="FK59" s="10">
        <v>603663882</v>
      </c>
      <c r="FL59" s="10">
        <v>603376536</v>
      </c>
      <c r="FM59" s="10">
        <v>561532355</v>
      </c>
      <c r="FN59" s="10">
        <v>558504279</v>
      </c>
      <c r="FO59" s="10"/>
      <c r="FP59" s="10"/>
      <c r="FQ59" s="10"/>
      <c r="FR59" s="10"/>
    </row>
    <row r="60" spans="1:174">
      <c r="A60" t="s">
        <v>162</v>
      </c>
      <c r="B60" t="s">
        <v>168</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v>157036516</v>
      </c>
      <c r="FJ60" s="10">
        <v>161009967</v>
      </c>
      <c r="FK60" s="10">
        <v>157846061</v>
      </c>
      <c r="FL60" s="10">
        <v>155358404</v>
      </c>
      <c r="FM60" s="10">
        <v>142570392</v>
      </c>
      <c r="FN60" s="10">
        <v>144271280</v>
      </c>
      <c r="FO60" s="10"/>
      <c r="FP60" s="10"/>
      <c r="FQ60" s="10"/>
      <c r="FR60" s="10"/>
    </row>
    <row r="61" spans="1:174">
      <c r="A61" t="s">
        <v>163</v>
      </c>
      <c r="B61" t="s">
        <v>168</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v>438690431</v>
      </c>
      <c r="FJ61" s="10">
        <v>457722797</v>
      </c>
      <c r="FK61" s="10">
        <v>443142272</v>
      </c>
      <c r="FL61" s="10">
        <v>445124188</v>
      </c>
      <c r="FM61" s="10">
        <v>416376872</v>
      </c>
      <c r="FN61" s="10">
        <v>411508247</v>
      </c>
      <c r="FO61" s="10"/>
      <c r="FP61" s="10"/>
      <c r="FQ61" s="10"/>
      <c r="FR61" s="10"/>
    </row>
    <row r="62" spans="1:174">
      <c r="A62" t="s">
        <v>164</v>
      </c>
      <c r="B62" t="s">
        <v>168</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v>2571462</v>
      </c>
      <c r="FJ62" s="10">
        <v>2603783</v>
      </c>
      <c r="FK62" s="10">
        <v>2675549</v>
      </c>
      <c r="FL62" s="10">
        <v>2893944</v>
      </c>
      <c r="FM62" s="10">
        <v>2585091</v>
      </c>
      <c r="FN62" s="10">
        <v>2724752</v>
      </c>
      <c r="FO62" s="10"/>
      <c r="FP62" s="10"/>
      <c r="FQ62" s="10"/>
      <c r="FR62" s="10"/>
    </row>
    <row r="63" spans="1:17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row>
    <row r="64" spans="1:174">
      <c r="A64" t="s">
        <v>169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row>
    <row r="65" spans="1:174">
      <c r="A65" t="s">
        <v>160</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v>160390865</v>
      </c>
      <c r="FJ65" s="10">
        <v>165460885</v>
      </c>
      <c r="FK65" s="10">
        <v>160901100</v>
      </c>
      <c r="FL65" s="10">
        <v>158786078</v>
      </c>
      <c r="FM65" s="10">
        <v>145435952</v>
      </c>
      <c r="FN65" s="10">
        <v>146530054</v>
      </c>
      <c r="FO65" s="10"/>
      <c r="FP65" s="10"/>
      <c r="FQ65" s="10"/>
      <c r="FR65" s="10"/>
    </row>
    <row r="66" spans="1:174">
      <c r="A66" t="s">
        <v>162</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v>47769243</v>
      </c>
      <c r="FJ66" s="10">
        <v>48822564</v>
      </c>
      <c r="FK66" s="10">
        <v>47550918</v>
      </c>
      <c r="FL66" s="10">
        <v>45938790</v>
      </c>
      <c r="FM66" s="10">
        <v>41579829</v>
      </c>
      <c r="FN66" s="10">
        <v>42510170</v>
      </c>
      <c r="FO66" s="10"/>
      <c r="FP66" s="10"/>
      <c r="FQ66" s="10"/>
      <c r="FR66" s="10"/>
    </row>
    <row r="67" spans="1:174">
      <c r="A67" t="s">
        <v>163</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v>111893309</v>
      </c>
      <c r="FJ67" s="10">
        <v>115893935</v>
      </c>
      <c r="FK67" s="10">
        <v>112575007</v>
      </c>
      <c r="FL67" s="10">
        <v>112024838</v>
      </c>
      <c r="FM67" s="10">
        <v>103147766</v>
      </c>
      <c r="FN67" s="10">
        <v>103256707</v>
      </c>
      <c r="FO67" s="10"/>
      <c r="FP67" s="10"/>
      <c r="FQ67" s="10"/>
      <c r="FR67" s="10"/>
    </row>
    <row r="68" spans="1:174">
      <c r="A68" t="s">
        <v>164</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v>728313</v>
      </c>
      <c r="FJ68" s="10">
        <v>744386</v>
      </c>
      <c r="FK68" s="10">
        <v>775175</v>
      </c>
      <c r="FL68" s="10">
        <v>822450</v>
      </c>
      <c r="FM68" s="10">
        <v>708357</v>
      </c>
      <c r="FN68" s="10">
        <v>763177</v>
      </c>
      <c r="FO68" s="10"/>
      <c r="FP68" s="10"/>
      <c r="FQ68" s="10"/>
      <c r="FR68" s="10"/>
    </row>
    <row r="69" spans="1:174">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row>
    <row r="70" spans="1:174">
      <c r="A70" t="s">
        <v>170</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row>
    <row r="71" spans="1:174">
      <c r="A71" t="s">
        <v>160</v>
      </c>
      <c r="B71" t="s">
        <v>171</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v>26.807837458247363</v>
      </c>
      <c r="FJ71" s="22">
        <v>26.629833026705896</v>
      </c>
      <c r="FK71" s="22">
        <v>26.654087613610116</v>
      </c>
      <c r="FL71" s="22">
        <v>26.316250057161657</v>
      </c>
      <c r="FM71" s="22">
        <v>25.899834747723489</v>
      </c>
      <c r="FN71" s="22">
        <v>26.236156016989082</v>
      </c>
      <c r="FO71" s="22"/>
      <c r="FP71" s="22"/>
      <c r="FQ71" s="22"/>
      <c r="FR71" s="22"/>
    </row>
    <row r="72" spans="1:174">
      <c r="A72" t="s">
        <v>162</v>
      </c>
      <c r="B72" t="s">
        <v>171</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v>30.419194348402378</v>
      </c>
      <c r="FJ72" s="22">
        <v>30.322696730942127</v>
      </c>
      <c r="FK72" s="22">
        <v>30.124868304442515</v>
      </c>
      <c r="FL72" s="22">
        <v>29.569555825251655</v>
      </c>
      <c r="FM72" s="22">
        <v>29.164420758554133</v>
      </c>
      <c r="FN72" s="22">
        <v>29.465441770531182</v>
      </c>
      <c r="FO72" s="22"/>
      <c r="FP72" s="22"/>
      <c r="FQ72" s="22"/>
      <c r="FR72" s="22"/>
    </row>
    <row r="73" spans="1:174">
      <c r="A73" t="s">
        <v>163</v>
      </c>
      <c r="B73" t="s">
        <v>171</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v>25.506211463272148</v>
      </c>
      <c r="FJ73" s="22">
        <v>25.319677271831402</v>
      </c>
      <c r="FK73" s="22">
        <v>25.403806883943584</v>
      </c>
      <c r="FL73" s="22">
        <v>25.167097412374272</v>
      </c>
      <c r="FM73" s="22">
        <v>24.772693426641624</v>
      </c>
      <c r="FN73" s="22">
        <v>25.09225702103608</v>
      </c>
      <c r="FO73" s="22"/>
      <c r="FP73" s="22"/>
      <c r="FQ73" s="22"/>
      <c r="FR73" s="22"/>
    </row>
    <row r="74" spans="1:174">
      <c r="A74" t="s">
        <v>164</v>
      </c>
      <c r="B74" t="s">
        <v>171</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v>28.32291513543657</v>
      </c>
      <c r="FJ74" s="22">
        <v>28.588634306315079</v>
      </c>
      <c r="FK74" s="22">
        <v>28.972558529109353</v>
      </c>
      <c r="FL74" s="22">
        <v>28.419692986457235</v>
      </c>
      <c r="FM74" s="22">
        <v>27.401627254127607</v>
      </c>
      <c r="FN74" s="22">
        <v>28.009044492856599</v>
      </c>
      <c r="FO74" s="22"/>
      <c r="FP74" s="22"/>
      <c r="FQ74" s="22"/>
      <c r="FR74" s="22"/>
    </row>
    <row r="75" spans="1:174">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row>
    <row r="76" spans="1:174">
      <c r="A76" t="s">
        <v>172</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row>
    <row r="77" spans="1:174">
      <c r="A77" t="s">
        <v>173</v>
      </c>
      <c r="B77" t="s">
        <v>168</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v>619117415</v>
      </c>
      <c r="FJ77" s="10">
        <v>652113597</v>
      </c>
      <c r="FK77" s="10">
        <v>630577346</v>
      </c>
      <c r="FL77" s="10">
        <v>625811866</v>
      </c>
      <c r="FM77" s="10">
        <v>583228290</v>
      </c>
      <c r="FN77" s="10">
        <v>583049200</v>
      </c>
      <c r="FO77" s="10"/>
      <c r="FP77" s="10"/>
      <c r="FQ77" s="10"/>
      <c r="FR77" s="10"/>
    </row>
    <row r="78" spans="1:174">
      <c r="A78" t="s">
        <v>174</v>
      </c>
      <c r="B78" t="s">
        <v>168</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v>332896861</v>
      </c>
      <c r="FJ78" s="10">
        <v>365141039</v>
      </c>
      <c r="FK78" s="10">
        <v>348803388</v>
      </c>
      <c r="FL78" s="10">
        <v>348133091</v>
      </c>
      <c r="FM78" s="10">
        <v>302015060</v>
      </c>
      <c r="FN78" s="10">
        <v>318179189</v>
      </c>
      <c r="FO78" s="10"/>
      <c r="FP78" s="10"/>
      <c r="FQ78" s="10"/>
      <c r="FR78" s="10"/>
    </row>
    <row r="79" spans="1:174">
      <c r="A79" t="s">
        <v>175</v>
      </c>
      <c r="B79" t="s">
        <v>168</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v>319974600</v>
      </c>
      <c r="FJ79" s="10">
        <v>346921760</v>
      </c>
      <c r="FK79" s="10">
        <v>332544590</v>
      </c>
      <c r="FL79" s="10">
        <v>330440421</v>
      </c>
      <c r="FM79" s="10">
        <v>286902661</v>
      </c>
      <c r="FN79" s="10">
        <v>306378339</v>
      </c>
      <c r="FO79" s="10"/>
      <c r="FP79" s="10"/>
      <c r="FQ79" s="10"/>
      <c r="FR79" s="10"/>
    </row>
    <row r="80" spans="1:174">
      <c r="A80" t="s">
        <v>176</v>
      </c>
      <c r="B80" t="s">
        <v>168</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v>8726704</v>
      </c>
      <c r="FJ80" s="10">
        <v>12486689</v>
      </c>
      <c r="FK80" s="10">
        <v>11251766</v>
      </c>
      <c r="FL80" s="10">
        <v>13156195</v>
      </c>
      <c r="FM80" s="10">
        <v>10766304</v>
      </c>
      <c r="FN80" s="10">
        <v>7187607</v>
      </c>
      <c r="FO80" s="10"/>
      <c r="FP80" s="10"/>
      <c r="FQ80" s="10"/>
      <c r="FR80" s="10"/>
    </row>
    <row r="81" spans="1:174">
      <c r="A81" t="s">
        <v>177</v>
      </c>
      <c r="B81" t="s">
        <v>168</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v>4195557</v>
      </c>
      <c r="FJ81" s="10">
        <v>5732590</v>
      </c>
      <c r="FK81" s="10">
        <v>5007032</v>
      </c>
      <c r="FL81" s="10">
        <v>4536475</v>
      </c>
      <c r="FM81" s="10">
        <v>1945367</v>
      </c>
      <c r="FN81" s="10">
        <v>2412888</v>
      </c>
      <c r="FO81" s="10"/>
      <c r="FP81" s="10"/>
      <c r="FQ81" s="10"/>
      <c r="FR81" s="10"/>
    </row>
    <row r="82" spans="1:174">
      <c r="A82" t="s">
        <v>251</v>
      </c>
      <c r="B82" t="s">
        <v>168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v>2400728</v>
      </c>
      <c r="FN82" s="10">
        <v>2200355</v>
      </c>
      <c r="FO82" s="10"/>
      <c r="FP82" s="10"/>
      <c r="FQ82" s="10"/>
      <c r="FR82" s="10"/>
    </row>
    <row r="83" spans="1:174">
      <c r="A83" t="s">
        <v>178</v>
      </c>
      <c r="B83" t="s">
        <v>168</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c r="BA83" s="29">
        <v>0</v>
      </c>
      <c r="BB83" s="29">
        <v>0</v>
      </c>
      <c r="BC83" s="29">
        <v>0</v>
      </c>
      <c r="BD83" s="29">
        <v>0</v>
      </c>
      <c r="BE83" s="29">
        <v>0</v>
      </c>
      <c r="BF83" s="29">
        <v>0</v>
      </c>
      <c r="BG83" s="29">
        <v>0</v>
      </c>
      <c r="BH83" s="29">
        <v>0</v>
      </c>
      <c r="BI83" s="29">
        <v>0</v>
      </c>
      <c r="BJ83" s="29">
        <v>0</v>
      </c>
      <c r="BK83" s="29">
        <v>0</v>
      </c>
      <c r="BL83" s="29">
        <v>0</v>
      </c>
      <c r="BM83" s="29">
        <v>0</v>
      </c>
      <c r="BN83" s="29">
        <v>0</v>
      </c>
      <c r="BO83" s="29">
        <v>0</v>
      </c>
      <c r="BP83" s="29">
        <v>0</v>
      </c>
      <c r="BQ83" s="29">
        <v>0</v>
      </c>
      <c r="BR83" s="29">
        <v>0</v>
      </c>
      <c r="BS83" s="29">
        <v>0</v>
      </c>
      <c r="BT83" s="29">
        <v>0</v>
      </c>
      <c r="BU83" s="29">
        <v>0</v>
      </c>
      <c r="BV83" s="29">
        <v>0</v>
      </c>
      <c r="BW83" s="29">
        <v>0</v>
      </c>
      <c r="BX83" s="29">
        <v>0</v>
      </c>
      <c r="BY83" s="29">
        <v>0</v>
      </c>
      <c r="BZ83" s="29">
        <v>0</v>
      </c>
      <c r="CA83" s="29">
        <v>0</v>
      </c>
      <c r="CB83" s="29">
        <v>0</v>
      </c>
      <c r="CC83" s="29">
        <v>0</v>
      </c>
      <c r="CD83" s="29">
        <v>0</v>
      </c>
      <c r="CE83" s="29">
        <v>0</v>
      </c>
      <c r="CF83" s="29">
        <v>0</v>
      </c>
      <c r="CG83" s="29">
        <v>0</v>
      </c>
      <c r="CH83" s="29">
        <v>0</v>
      </c>
      <c r="CI83" s="29">
        <v>0</v>
      </c>
      <c r="CJ83" s="29">
        <v>0</v>
      </c>
      <c r="CK83" s="29">
        <v>0</v>
      </c>
      <c r="CL83" s="29">
        <v>0</v>
      </c>
      <c r="CM83" s="29">
        <v>0</v>
      </c>
      <c r="CN83" s="29">
        <v>0</v>
      </c>
      <c r="CO83" s="29">
        <v>0</v>
      </c>
      <c r="CP83" s="29">
        <v>0</v>
      </c>
      <c r="CQ83" s="29">
        <v>0</v>
      </c>
      <c r="CR83" s="29">
        <v>0</v>
      </c>
      <c r="CS83" s="29">
        <v>0</v>
      </c>
      <c r="CT83" s="29">
        <v>0</v>
      </c>
      <c r="CU83" s="29">
        <v>0</v>
      </c>
      <c r="CV83" s="29">
        <v>0</v>
      </c>
      <c r="CW83" s="29">
        <v>0</v>
      </c>
      <c r="CX83" s="29">
        <v>0</v>
      </c>
      <c r="CY83" s="29">
        <v>0</v>
      </c>
      <c r="CZ83" s="29">
        <v>0</v>
      </c>
      <c r="DA83" s="29">
        <v>0</v>
      </c>
      <c r="DB83" s="29">
        <v>0</v>
      </c>
      <c r="DC83" s="29">
        <v>0</v>
      </c>
      <c r="DD83" s="29">
        <v>0</v>
      </c>
      <c r="DE83" s="29">
        <v>0</v>
      </c>
      <c r="DF83" s="29">
        <v>0</v>
      </c>
      <c r="DG83" s="29">
        <v>0</v>
      </c>
      <c r="DH83" s="29">
        <v>0</v>
      </c>
      <c r="DI83" s="29">
        <v>0</v>
      </c>
      <c r="DJ83" s="29">
        <v>0</v>
      </c>
      <c r="DK83" s="29">
        <v>0</v>
      </c>
      <c r="DL83" s="29">
        <v>0</v>
      </c>
      <c r="DM83" s="29">
        <v>0</v>
      </c>
      <c r="DN83" s="29">
        <v>0</v>
      </c>
      <c r="DO83" s="29">
        <v>0</v>
      </c>
      <c r="DP83" s="29">
        <v>0</v>
      </c>
      <c r="DQ83" s="29">
        <v>0</v>
      </c>
      <c r="DR83" s="29">
        <v>0</v>
      </c>
      <c r="DS83" s="29">
        <v>0</v>
      </c>
      <c r="DT83" s="29">
        <v>0</v>
      </c>
      <c r="DU83" s="29">
        <v>0</v>
      </c>
      <c r="DV83" s="29">
        <v>0</v>
      </c>
      <c r="DW83" s="29">
        <v>0</v>
      </c>
      <c r="DX83" s="29">
        <v>0</v>
      </c>
      <c r="DY83" s="29">
        <v>0</v>
      </c>
      <c r="DZ83" s="29">
        <v>0</v>
      </c>
      <c r="EA83" s="29">
        <v>0</v>
      </c>
      <c r="EB83" s="29">
        <v>0</v>
      </c>
      <c r="EC83" s="29">
        <v>0</v>
      </c>
      <c r="ED83" s="29">
        <v>0</v>
      </c>
      <c r="EE83" s="29">
        <v>0</v>
      </c>
      <c r="EF83" s="29">
        <v>0</v>
      </c>
      <c r="EG83" s="29">
        <v>0</v>
      </c>
      <c r="EH83" s="29">
        <v>0</v>
      </c>
      <c r="EI83" s="29">
        <v>0</v>
      </c>
      <c r="EJ83" s="29">
        <v>0</v>
      </c>
      <c r="EK83" s="29">
        <v>0</v>
      </c>
      <c r="EL83" s="29">
        <v>0</v>
      </c>
      <c r="EM83" s="29">
        <v>0</v>
      </c>
      <c r="EN83" s="29">
        <v>0</v>
      </c>
      <c r="EO83" s="29">
        <v>0</v>
      </c>
      <c r="EP83" s="29">
        <v>0</v>
      </c>
      <c r="EQ83" s="29">
        <v>0</v>
      </c>
      <c r="ER83" s="29">
        <v>0</v>
      </c>
      <c r="ES83" s="29">
        <v>0</v>
      </c>
      <c r="ET83" s="29">
        <v>0</v>
      </c>
      <c r="EU83" s="29">
        <v>0</v>
      </c>
      <c r="EV83" s="29">
        <v>0</v>
      </c>
      <c r="EW83" s="29">
        <v>0</v>
      </c>
      <c r="EX83" s="29">
        <v>0</v>
      </c>
      <c r="EY83" s="29">
        <v>0</v>
      </c>
      <c r="EZ83" s="29">
        <v>0</v>
      </c>
      <c r="FA83" s="29">
        <v>0</v>
      </c>
      <c r="FB83" s="29">
        <v>0</v>
      </c>
      <c r="FC83" s="29">
        <v>0</v>
      </c>
      <c r="FD83" s="29">
        <v>0</v>
      </c>
      <c r="FE83" s="29">
        <v>0</v>
      </c>
      <c r="FF83" s="29">
        <v>0</v>
      </c>
      <c r="FG83" s="29">
        <v>0</v>
      </c>
      <c r="FH83" s="29">
        <v>0</v>
      </c>
      <c r="FI83" s="29">
        <v>0</v>
      </c>
      <c r="FJ83" s="29">
        <v>0</v>
      </c>
      <c r="FK83" s="29">
        <v>0</v>
      </c>
      <c r="FL83" s="29">
        <v>0</v>
      </c>
      <c r="FM83" s="29">
        <v>0</v>
      </c>
      <c r="FN83" s="29">
        <v>0</v>
      </c>
      <c r="FO83" s="29"/>
      <c r="FP83" s="29"/>
      <c r="FQ83" s="29"/>
      <c r="FR83" s="29"/>
    </row>
    <row r="84" spans="1:174">
      <c r="A84" t="s">
        <v>179</v>
      </c>
      <c r="B84" t="s">
        <v>168</v>
      </c>
      <c r="C84" s="10">
        <v>228496908</v>
      </c>
      <c r="D84" s="10">
        <v>237774114</v>
      </c>
      <c r="E84" s="10">
        <v>290821336</v>
      </c>
      <c r="F84" s="10">
        <v>220772223</v>
      </c>
      <c r="G84" s="10">
        <v>275604872</v>
      </c>
      <c r="H84" s="10">
        <v>270669959</v>
      </c>
      <c r="I84" s="10">
        <v>289582137</v>
      </c>
      <c r="J84" s="10">
        <v>279590181</v>
      </c>
      <c r="K84" s="10">
        <v>279744320</v>
      </c>
      <c r="L84" s="10">
        <v>289899549</v>
      </c>
      <c r="M84" s="10">
        <v>291407636</v>
      </c>
      <c r="N84" s="10">
        <v>295664535</v>
      </c>
      <c r="O84" s="10">
        <v>285791293</v>
      </c>
      <c r="P84" s="10">
        <v>238711736</v>
      </c>
      <c r="Q84" s="10">
        <v>224752662</v>
      </c>
      <c r="R84" s="10">
        <v>286213115</v>
      </c>
      <c r="S84" s="10">
        <v>294217208</v>
      </c>
      <c r="T84" s="10">
        <v>279934041</v>
      </c>
      <c r="U84" s="10">
        <v>276285810</v>
      </c>
      <c r="V84" s="10">
        <v>280702140</v>
      </c>
      <c r="W84" s="10">
        <v>265179113</v>
      </c>
      <c r="X84" s="10">
        <v>249040012</v>
      </c>
      <c r="Y84" s="10">
        <v>280361449</v>
      </c>
      <c r="Z84" s="10">
        <v>277287089</v>
      </c>
      <c r="AA84" s="10">
        <v>269335768</v>
      </c>
      <c r="AB84" s="10">
        <v>210155711</v>
      </c>
      <c r="AC84" s="10">
        <v>261718023</v>
      </c>
      <c r="AD84" s="10">
        <v>282794609</v>
      </c>
      <c r="AE84" s="10">
        <v>286952927</v>
      </c>
      <c r="AF84" s="10">
        <v>274482896</v>
      </c>
      <c r="AG84" s="10">
        <v>283800131</v>
      </c>
      <c r="AH84" s="10">
        <v>286259603</v>
      </c>
      <c r="AI84" s="10">
        <v>270762064</v>
      </c>
      <c r="AJ84" s="10">
        <v>262745897</v>
      </c>
      <c r="AK84" s="10">
        <v>286923951</v>
      </c>
      <c r="AL84" s="10">
        <v>290314348</v>
      </c>
      <c r="AM84" s="10">
        <v>271597464</v>
      </c>
      <c r="AN84" s="10">
        <v>213960509</v>
      </c>
      <c r="AO84" s="10">
        <v>248181309</v>
      </c>
      <c r="AP84" s="10">
        <v>282334108</v>
      </c>
      <c r="AQ84" s="10">
        <v>251814449</v>
      </c>
      <c r="AR84" s="10">
        <v>278937752</v>
      </c>
      <c r="AS84" s="10">
        <v>273192769</v>
      </c>
      <c r="AT84" s="10">
        <v>296136591</v>
      </c>
      <c r="AU84" s="10">
        <v>284742061</v>
      </c>
      <c r="AV84" s="10">
        <v>291490697</v>
      </c>
      <c r="AW84" s="10">
        <v>284531484</v>
      </c>
      <c r="AX84" s="10">
        <v>289764325</v>
      </c>
      <c r="AY84" s="10">
        <v>285393840</v>
      </c>
      <c r="AZ84" s="10">
        <v>186480836</v>
      </c>
      <c r="BA84" s="10">
        <v>211164861</v>
      </c>
      <c r="BB84" s="10">
        <v>267593247</v>
      </c>
      <c r="BC84" s="10">
        <v>273641320</v>
      </c>
      <c r="BD84" s="10">
        <v>286312513</v>
      </c>
      <c r="BE84" s="10">
        <v>282274415</v>
      </c>
      <c r="BF84" s="10">
        <v>302137374</v>
      </c>
      <c r="BG84" s="10">
        <v>288545666</v>
      </c>
      <c r="BH84" s="10">
        <v>287725037</v>
      </c>
      <c r="BI84" s="10">
        <v>265866436</v>
      </c>
      <c r="BJ84" s="10">
        <v>293407116</v>
      </c>
      <c r="BK84" s="10">
        <v>285489028</v>
      </c>
      <c r="BL84" s="10">
        <v>237822795</v>
      </c>
      <c r="BM84" s="10">
        <v>240333072</v>
      </c>
      <c r="BN84" s="10">
        <v>270424800</v>
      </c>
      <c r="BO84" s="10">
        <v>277522171</v>
      </c>
      <c r="BP84" s="10">
        <v>275109087</v>
      </c>
      <c r="BQ84" s="10">
        <v>284841245</v>
      </c>
      <c r="BR84" s="10">
        <v>286024351</v>
      </c>
      <c r="BS84" s="10">
        <v>260697918</v>
      </c>
      <c r="BT84" s="10">
        <v>287722181</v>
      </c>
      <c r="BU84" s="10">
        <v>258451235</v>
      </c>
      <c r="BV84" s="10">
        <v>223010472</v>
      </c>
      <c r="BW84" s="10">
        <v>262016734</v>
      </c>
      <c r="BX84" s="10">
        <v>236532055</v>
      </c>
      <c r="BY84" s="10">
        <v>219837433</v>
      </c>
      <c r="BZ84" s="10">
        <v>242181553</v>
      </c>
      <c r="CA84" s="10">
        <v>290549392</v>
      </c>
      <c r="CB84" s="10">
        <v>270346332</v>
      </c>
      <c r="CC84" s="10">
        <v>278371062</v>
      </c>
      <c r="CD84" s="10">
        <v>279029444</v>
      </c>
      <c r="CE84" s="10">
        <v>267690865</v>
      </c>
      <c r="CF84" s="10">
        <v>281986239</v>
      </c>
      <c r="CG84" s="10">
        <v>276901185</v>
      </c>
      <c r="CH84" s="10">
        <v>284686379</v>
      </c>
      <c r="CI84" s="10">
        <v>192140499</v>
      </c>
      <c r="CJ84" s="10">
        <v>211628245</v>
      </c>
      <c r="CK84" s="10">
        <v>231466908</v>
      </c>
      <c r="CL84" s="10">
        <v>274602900</v>
      </c>
      <c r="CM84" s="10">
        <v>295504550</v>
      </c>
      <c r="CN84" s="10">
        <v>281666674</v>
      </c>
      <c r="CO84" s="10">
        <v>308823084</v>
      </c>
      <c r="CP84" s="10">
        <v>312047990</v>
      </c>
      <c r="CQ84" s="10">
        <v>304347220</v>
      </c>
      <c r="CR84" s="10">
        <v>295041513</v>
      </c>
      <c r="CS84" s="10">
        <v>280575608</v>
      </c>
      <c r="CT84" s="10">
        <v>292661094</v>
      </c>
      <c r="CU84" s="10">
        <v>244461255</v>
      </c>
      <c r="CV84" s="10">
        <v>228718476</v>
      </c>
      <c r="CW84" s="10">
        <v>277943923</v>
      </c>
      <c r="CX84" s="10">
        <v>289543833</v>
      </c>
      <c r="CY84" s="10">
        <v>290196806</v>
      </c>
      <c r="CZ84" s="10">
        <v>284818660</v>
      </c>
      <c r="DA84" s="10">
        <v>320591471</v>
      </c>
      <c r="DB84" s="10">
        <v>314752187</v>
      </c>
      <c r="DC84" s="10">
        <v>254023392</v>
      </c>
      <c r="DD84" s="10">
        <v>313083087</v>
      </c>
      <c r="DE84" s="10">
        <v>301818552</v>
      </c>
      <c r="DF84" s="10">
        <v>259269229</v>
      </c>
      <c r="DG84" s="10">
        <v>231016062</v>
      </c>
      <c r="DH84" s="10">
        <v>264776503</v>
      </c>
      <c r="DI84" s="10">
        <v>282548950</v>
      </c>
      <c r="DJ84" s="10">
        <v>237478358</v>
      </c>
      <c r="DK84" s="10">
        <v>254831168</v>
      </c>
      <c r="DL84" s="10">
        <v>264462501</v>
      </c>
      <c r="DM84" s="10">
        <v>306320476</v>
      </c>
      <c r="DN84" s="10">
        <v>309415927</v>
      </c>
      <c r="DO84" s="10">
        <v>304779016</v>
      </c>
      <c r="DP84" s="10">
        <v>304170154</v>
      </c>
      <c r="DQ84" s="10">
        <v>297205577</v>
      </c>
      <c r="DR84" s="10">
        <v>295064659</v>
      </c>
      <c r="DS84" s="10">
        <v>265040191</v>
      </c>
      <c r="DT84" s="10">
        <v>214400317</v>
      </c>
      <c r="DU84" s="10">
        <v>293024080</v>
      </c>
      <c r="DV84" s="10">
        <v>287900087</v>
      </c>
      <c r="DW84" s="10">
        <v>289756666</v>
      </c>
      <c r="DX84" s="10">
        <v>288412025</v>
      </c>
      <c r="DY84" s="10">
        <v>315235212</v>
      </c>
      <c r="DZ84" s="10">
        <v>320518340</v>
      </c>
      <c r="EA84" s="10">
        <v>306787049</v>
      </c>
      <c r="EB84" s="10">
        <v>312818511</v>
      </c>
      <c r="EC84" s="10">
        <v>296286226</v>
      </c>
      <c r="ED84" s="10">
        <v>288167285</v>
      </c>
      <c r="EE84" s="10">
        <v>228583734</v>
      </c>
      <c r="EF84" s="10">
        <v>233002470</v>
      </c>
      <c r="EG84" s="10">
        <v>243424808</v>
      </c>
      <c r="EH84" s="10">
        <v>287264006</v>
      </c>
      <c r="EI84" s="10">
        <v>303514776</v>
      </c>
      <c r="EJ84" s="10">
        <v>297277613</v>
      </c>
      <c r="EK84" s="10">
        <v>328002243</v>
      </c>
      <c r="EL84" s="10">
        <v>332825789</v>
      </c>
      <c r="EM84" s="10">
        <v>312922592</v>
      </c>
      <c r="EN84" s="10">
        <v>292338324</v>
      </c>
      <c r="EO84" s="10">
        <v>281236604</v>
      </c>
      <c r="EP84" s="10">
        <v>263002991</v>
      </c>
      <c r="EQ84" s="10">
        <v>249166887</v>
      </c>
      <c r="ER84" s="10">
        <v>206105042</v>
      </c>
      <c r="ES84" s="10">
        <v>282995314</v>
      </c>
      <c r="ET84" s="10">
        <v>266142029</v>
      </c>
      <c r="EU84" s="10">
        <v>242558382</v>
      </c>
      <c r="EV84" s="10">
        <v>290938114</v>
      </c>
      <c r="EW84" s="10">
        <v>313211221</v>
      </c>
      <c r="EX84" s="10">
        <v>323104035</v>
      </c>
      <c r="EY84" s="10">
        <v>285450785</v>
      </c>
      <c r="EZ84" s="10">
        <v>282561660</v>
      </c>
      <c r="FA84" s="10">
        <v>270360820</v>
      </c>
      <c r="FB84" s="10">
        <v>290987369</v>
      </c>
      <c r="FC84" s="10">
        <v>212889090</v>
      </c>
      <c r="FD84" s="10">
        <v>210890212</v>
      </c>
      <c r="FE84" s="10">
        <v>263247643</v>
      </c>
      <c r="FF84" s="10">
        <v>290849064</v>
      </c>
      <c r="FG84" s="10">
        <v>287352102</v>
      </c>
      <c r="FH84" s="10">
        <v>269666011</v>
      </c>
      <c r="FI84" s="10">
        <v>306211590</v>
      </c>
      <c r="FJ84" s="10">
        <v>306790426</v>
      </c>
      <c r="FK84" s="10">
        <v>304576902</v>
      </c>
      <c r="FL84" s="10">
        <v>300363861</v>
      </c>
      <c r="FM84" s="10">
        <v>301498060</v>
      </c>
      <c r="FN84" s="10">
        <v>285711504</v>
      </c>
      <c r="FO84" s="10"/>
      <c r="FP84" s="10"/>
      <c r="FQ84" s="10"/>
      <c r="FR84" s="10"/>
    </row>
    <row r="85" spans="1:174">
      <c r="A85" t="s">
        <v>180</v>
      </c>
      <c r="B85" t="s">
        <v>168</v>
      </c>
      <c r="C85" s="10">
        <v>27154600</v>
      </c>
      <c r="D85" s="10">
        <v>21769580</v>
      </c>
      <c r="E85" s="10">
        <v>24265330</v>
      </c>
      <c r="F85" s="10">
        <v>25560290</v>
      </c>
      <c r="G85" s="10">
        <v>24958540</v>
      </c>
      <c r="H85" s="10">
        <v>25518850</v>
      </c>
      <c r="I85" s="10">
        <v>26228580</v>
      </c>
      <c r="J85" s="10">
        <v>27284810</v>
      </c>
      <c r="K85" s="10">
        <v>25855770</v>
      </c>
      <c r="L85" s="10">
        <v>25805790</v>
      </c>
      <c r="M85" s="10">
        <v>25248750</v>
      </c>
      <c r="N85" s="10">
        <v>24440450</v>
      </c>
      <c r="O85" s="10">
        <v>24336800</v>
      </c>
      <c r="P85" s="10">
        <v>21951060</v>
      </c>
      <c r="Q85" s="10">
        <v>26895020</v>
      </c>
      <c r="R85" s="10">
        <v>22490910</v>
      </c>
      <c r="S85" s="10">
        <v>24090480</v>
      </c>
      <c r="T85" s="10">
        <v>25044730</v>
      </c>
      <c r="U85" s="10">
        <v>25903470</v>
      </c>
      <c r="V85" s="10">
        <v>27098870</v>
      </c>
      <c r="W85" s="10">
        <v>27019980</v>
      </c>
      <c r="X85" s="10">
        <v>28022190</v>
      </c>
      <c r="Y85" s="10">
        <v>24809570</v>
      </c>
      <c r="Z85" s="10">
        <v>24798160</v>
      </c>
      <c r="AA85" s="10">
        <v>24098230</v>
      </c>
      <c r="AB85" s="10">
        <v>24721100</v>
      </c>
      <c r="AC85" s="10">
        <v>25193430</v>
      </c>
      <c r="AD85" s="10">
        <v>22916070</v>
      </c>
      <c r="AE85" s="10">
        <v>24555890</v>
      </c>
      <c r="AF85" s="10">
        <v>24351270</v>
      </c>
      <c r="AG85" s="10">
        <v>25916350</v>
      </c>
      <c r="AH85" s="10">
        <v>25916310</v>
      </c>
      <c r="AI85" s="10">
        <v>24710420</v>
      </c>
      <c r="AJ85" s="10">
        <v>25643000</v>
      </c>
      <c r="AK85" s="10">
        <v>21502910</v>
      </c>
      <c r="AL85" s="10">
        <v>21443600</v>
      </c>
      <c r="AM85" s="10">
        <v>22243700</v>
      </c>
      <c r="AN85" s="10">
        <v>21065960</v>
      </c>
      <c r="AO85" s="10">
        <v>21603860</v>
      </c>
      <c r="AP85" s="10">
        <v>19900160</v>
      </c>
      <c r="AQ85" s="10">
        <v>25438440</v>
      </c>
      <c r="AR85" s="10">
        <v>23909140</v>
      </c>
      <c r="AS85" s="10">
        <v>25701211</v>
      </c>
      <c r="AT85" s="10">
        <v>25906946</v>
      </c>
      <c r="AU85" s="10">
        <v>24928202</v>
      </c>
      <c r="AV85" s="10">
        <v>26158359</v>
      </c>
      <c r="AW85" s="10">
        <v>23410334</v>
      </c>
      <c r="AX85" s="10">
        <v>24066266</v>
      </c>
      <c r="AY85" s="10">
        <v>23779698</v>
      </c>
      <c r="AZ85" s="10">
        <v>23471061</v>
      </c>
      <c r="BA85" s="10">
        <v>25887041</v>
      </c>
      <c r="BB85" s="10">
        <v>23600520</v>
      </c>
      <c r="BC85" s="10">
        <v>24125076</v>
      </c>
      <c r="BD85" s="10">
        <v>23559408</v>
      </c>
      <c r="BE85" s="10">
        <v>25288549</v>
      </c>
      <c r="BF85" s="10">
        <v>24855833</v>
      </c>
      <c r="BG85" s="10">
        <v>24450661</v>
      </c>
      <c r="BH85" s="10">
        <v>25542490</v>
      </c>
      <c r="BI85" s="10">
        <v>24875947</v>
      </c>
      <c r="BJ85" s="10">
        <v>23856219</v>
      </c>
      <c r="BK85" s="10">
        <v>23564540</v>
      </c>
      <c r="BL85" s="10">
        <v>22704561</v>
      </c>
      <c r="BM85" s="10">
        <v>26364180</v>
      </c>
      <c r="BN85" s="10">
        <v>23973417</v>
      </c>
      <c r="BO85" s="10">
        <v>24327185</v>
      </c>
      <c r="BP85" s="10">
        <v>23628422</v>
      </c>
      <c r="BQ85" s="10">
        <v>24907880</v>
      </c>
      <c r="BR85" s="10">
        <v>25100830</v>
      </c>
      <c r="BS85" s="10">
        <v>24358215</v>
      </c>
      <c r="BT85" s="10">
        <v>24333002</v>
      </c>
      <c r="BU85" s="10">
        <v>23681244</v>
      </c>
      <c r="BV85" s="10">
        <v>25578561</v>
      </c>
      <c r="BW85" s="10">
        <v>24055051</v>
      </c>
      <c r="BX85" s="10">
        <v>22093872</v>
      </c>
      <c r="BY85" s="10">
        <v>24531628</v>
      </c>
      <c r="BZ85" s="10">
        <v>22202828</v>
      </c>
      <c r="CA85" s="10">
        <v>22927775</v>
      </c>
      <c r="CB85" s="10">
        <v>22822008</v>
      </c>
      <c r="CC85" s="10">
        <v>23569567</v>
      </c>
      <c r="CD85" s="10">
        <v>24631602</v>
      </c>
      <c r="CE85" s="10">
        <v>22954043</v>
      </c>
      <c r="CF85" s="10">
        <v>24154561</v>
      </c>
      <c r="CG85" s="10">
        <v>21734567</v>
      </c>
      <c r="CH85" s="10">
        <v>22741419</v>
      </c>
      <c r="CI85" s="10">
        <v>24624993</v>
      </c>
      <c r="CJ85" s="10">
        <v>20668163</v>
      </c>
      <c r="CK85" s="10">
        <v>23012064</v>
      </c>
      <c r="CL85" s="10">
        <v>21428065</v>
      </c>
      <c r="CM85" s="10">
        <v>21563981</v>
      </c>
      <c r="CN85" s="10">
        <v>21562460</v>
      </c>
      <c r="CO85" s="10">
        <v>22517192</v>
      </c>
      <c r="CP85" s="10">
        <v>21103149</v>
      </c>
      <c r="CQ85" s="10">
        <v>19846957</v>
      </c>
      <c r="CR85" s="10">
        <v>23061690</v>
      </c>
      <c r="CS85" s="10">
        <v>21458824</v>
      </c>
      <c r="CT85" s="10">
        <v>22068992</v>
      </c>
      <c r="CU85" s="10">
        <v>22469170</v>
      </c>
      <c r="CV85" s="10">
        <v>20444479</v>
      </c>
      <c r="CW85" s="10">
        <v>19655428</v>
      </c>
      <c r="CX85" s="10">
        <v>18752300</v>
      </c>
      <c r="CY85" s="10">
        <v>20543556</v>
      </c>
      <c r="CZ85" s="10">
        <v>20204079</v>
      </c>
      <c r="DA85" s="10">
        <v>20820302</v>
      </c>
      <c r="DB85" s="10">
        <v>22174837</v>
      </c>
      <c r="DC85" s="10">
        <v>23914590</v>
      </c>
      <c r="DD85" s="10">
        <v>20768221</v>
      </c>
      <c r="DE85" s="10">
        <v>17668387</v>
      </c>
      <c r="DF85" s="10">
        <v>19979704</v>
      </c>
      <c r="DG85" s="10">
        <v>20463136</v>
      </c>
      <c r="DH85" s="10">
        <v>16194297</v>
      </c>
      <c r="DI85" s="10">
        <v>18219903</v>
      </c>
      <c r="DJ85" s="10">
        <v>20846555</v>
      </c>
      <c r="DK85" s="10">
        <v>20432275</v>
      </c>
      <c r="DL85" s="10">
        <v>20517828</v>
      </c>
      <c r="DM85" s="10">
        <v>20980773</v>
      </c>
      <c r="DN85" s="10">
        <v>21993616</v>
      </c>
      <c r="DO85" s="10">
        <v>21994386</v>
      </c>
      <c r="DP85" s="10">
        <v>21163836</v>
      </c>
      <c r="DQ85" s="10">
        <v>19827989</v>
      </c>
      <c r="DR85" s="10">
        <v>20187338</v>
      </c>
      <c r="DS85" s="10">
        <v>19456355</v>
      </c>
      <c r="DT85" s="10">
        <v>19595446</v>
      </c>
      <c r="DU85" s="10">
        <v>18031532</v>
      </c>
      <c r="DV85" s="10">
        <v>16761692</v>
      </c>
      <c r="DW85" s="10">
        <v>18735874</v>
      </c>
      <c r="DX85" s="10">
        <v>18833954</v>
      </c>
      <c r="DY85" s="10">
        <v>20355922</v>
      </c>
      <c r="DZ85" s="10">
        <v>20937119</v>
      </c>
      <c r="EA85" s="10">
        <v>19743679</v>
      </c>
      <c r="EB85" s="10">
        <v>19355769</v>
      </c>
      <c r="EC85" s="10">
        <v>17930509</v>
      </c>
      <c r="ED85" s="10">
        <v>19490145</v>
      </c>
      <c r="EE85" s="10">
        <v>20693066</v>
      </c>
      <c r="EF85" s="10">
        <v>17504949</v>
      </c>
      <c r="EG85" s="10">
        <v>20121010</v>
      </c>
      <c r="EH85" s="10">
        <v>16713387</v>
      </c>
      <c r="EI85" s="10">
        <v>17781085</v>
      </c>
      <c r="EJ85" s="10">
        <v>18067489</v>
      </c>
      <c r="EK85" s="10">
        <v>18233964</v>
      </c>
      <c r="EL85" s="10">
        <v>18915694</v>
      </c>
      <c r="EM85" s="10">
        <v>18481821</v>
      </c>
      <c r="EN85" s="10">
        <v>21371248</v>
      </c>
      <c r="EO85" s="10">
        <v>18588475</v>
      </c>
      <c r="EP85" s="10">
        <v>19184918</v>
      </c>
      <c r="EQ85" s="10">
        <v>19298535</v>
      </c>
      <c r="ER85" s="10">
        <v>18957180</v>
      </c>
      <c r="ES85" s="10">
        <v>17923610</v>
      </c>
      <c r="ET85" s="10">
        <v>18270803</v>
      </c>
      <c r="EU85" s="10">
        <v>21382768</v>
      </c>
      <c r="EV85" s="10">
        <v>19429109</v>
      </c>
      <c r="EW85" s="10">
        <v>21071274</v>
      </c>
      <c r="EX85" s="10">
        <v>21253554</v>
      </c>
      <c r="EY85" s="10">
        <v>21167061</v>
      </c>
      <c r="EZ85" s="10">
        <v>21188485</v>
      </c>
      <c r="FA85" s="10">
        <v>19589218</v>
      </c>
      <c r="FB85" s="10">
        <v>19150238</v>
      </c>
      <c r="FC85" s="10">
        <v>21772569</v>
      </c>
      <c r="FD85" s="10">
        <v>17144073</v>
      </c>
      <c r="FE85" s="10">
        <v>16535790</v>
      </c>
      <c r="FF85" s="10">
        <v>15159695</v>
      </c>
      <c r="FG85" s="10">
        <v>16599722</v>
      </c>
      <c r="FH85" s="10">
        <v>18736210</v>
      </c>
      <c r="FI85" s="10">
        <v>19991036</v>
      </c>
      <c r="FJ85" s="10">
        <v>19817868</v>
      </c>
      <c r="FK85" s="10">
        <v>22802944</v>
      </c>
      <c r="FL85" s="10">
        <v>22685086</v>
      </c>
      <c r="FM85" s="10">
        <v>20284830</v>
      </c>
      <c r="FN85" s="10">
        <v>20841493</v>
      </c>
      <c r="FO85" s="10"/>
      <c r="FP85" s="10"/>
      <c r="FQ85" s="10"/>
      <c r="FR85" s="10"/>
    </row>
    <row r="87" spans="1:174">
      <c r="A87" t="s">
        <v>64</v>
      </c>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row>
    <row r="88" spans="1:174">
      <c r="A88" t="s">
        <v>181</v>
      </c>
      <c r="B88" t="s">
        <v>182</v>
      </c>
      <c r="C88" s="10">
        <v>717612</v>
      </c>
      <c r="D88" s="10">
        <v>568097</v>
      </c>
      <c r="E88" s="10">
        <v>623865</v>
      </c>
      <c r="F88" s="10">
        <v>679107</v>
      </c>
      <c r="G88" s="10">
        <v>639285</v>
      </c>
      <c r="H88" s="10">
        <v>680351</v>
      </c>
      <c r="I88" s="10">
        <v>701477</v>
      </c>
      <c r="J88" s="10">
        <v>753814</v>
      </c>
      <c r="K88" s="10">
        <v>708045</v>
      </c>
      <c r="L88" s="10">
        <v>698874</v>
      </c>
      <c r="M88" s="10">
        <v>669152</v>
      </c>
      <c r="N88" s="10">
        <v>637050</v>
      </c>
      <c r="O88" s="10">
        <v>635094</v>
      </c>
      <c r="P88" s="10">
        <v>571711</v>
      </c>
      <c r="Q88" s="10">
        <v>729513</v>
      </c>
      <c r="R88" s="10">
        <v>591511</v>
      </c>
      <c r="S88" s="10">
        <v>647334</v>
      </c>
      <c r="T88" s="10">
        <v>670769</v>
      </c>
      <c r="U88" s="10">
        <v>729609</v>
      </c>
      <c r="V88" s="10">
        <v>747839</v>
      </c>
      <c r="W88" s="10">
        <v>727035</v>
      </c>
      <c r="X88" s="10">
        <v>762955</v>
      </c>
      <c r="Y88" s="10">
        <v>639413</v>
      </c>
      <c r="Z88" s="10">
        <v>645692</v>
      </c>
      <c r="AA88" s="10">
        <v>605461</v>
      </c>
      <c r="AB88" s="10">
        <v>654393</v>
      </c>
      <c r="AC88" s="10">
        <v>665395</v>
      </c>
      <c r="AD88" s="10">
        <v>589045</v>
      </c>
      <c r="AE88" s="10">
        <v>643745</v>
      </c>
      <c r="AF88" s="10">
        <v>647656</v>
      </c>
      <c r="AG88" s="10">
        <v>694765</v>
      </c>
      <c r="AH88" s="10">
        <v>690393</v>
      </c>
      <c r="AI88" s="10">
        <v>671153</v>
      </c>
      <c r="AJ88" s="10">
        <v>702591</v>
      </c>
      <c r="AK88" s="10">
        <v>590988</v>
      </c>
      <c r="AL88" s="10">
        <v>591484</v>
      </c>
      <c r="AM88" s="10">
        <v>581587</v>
      </c>
      <c r="AN88" s="10">
        <v>550140</v>
      </c>
      <c r="AO88" s="10">
        <v>590473</v>
      </c>
      <c r="AP88" s="10">
        <v>521139</v>
      </c>
      <c r="AQ88" s="10">
        <v>681300</v>
      </c>
      <c r="AR88" s="10">
        <v>643545</v>
      </c>
      <c r="AS88" s="10">
        <v>699190</v>
      </c>
      <c r="AT88" s="10">
        <v>672330</v>
      </c>
      <c r="AU88" s="10">
        <v>636749</v>
      </c>
      <c r="AV88" s="10">
        <v>684089</v>
      </c>
      <c r="AW88" s="10">
        <v>578099</v>
      </c>
      <c r="AX88" s="10">
        <v>573258</v>
      </c>
      <c r="AY88" s="10">
        <v>574958</v>
      </c>
      <c r="AZ88" s="10">
        <v>603819</v>
      </c>
      <c r="BA88" s="10">
        <v>662320</v>
      </c>
      <c r="BB88" s="10">
        <v>565831</v>
      </c>
      <c r="BC88" s="10">
        <v>623588</v>
      </c>
      <c r="BD88" s="10">
        <v>589512</v>
      </c>
      <c r="BE88" s="10">
        <v>635691</v>
      </c>
      <c r="BF88" s="10">
        <v>621026</v>
      </c>
      <c r="BG88" s="10">
        <v>604224</v>
      </c>
      <c r="BH88" s="10">
        <v>630593</v>
      </c>
      <c r="BI88" s="10">
        <v>607721</v>
      </c>
      <c r="BJ88" s="10">
        <v>588195</v>
      </c>
      <c r="BK88" s="10">
        <v>566363</v>
      </c>
      <c r="BL88" s="10">
        <v>585198</v>
      </c>
      <c r="BM88" s="10">
        <v>665875</v>
      </c>
      <c r="BN88" s="10">
        <v>597518</v>
      </c>
      <c r="BO88" s="10">
        <v>603916</v>
      </c>
      <c r="BP88" s="10">
        <v>568162</v>
      </c>
      <c r="BQ88" s="10">
        <v>618982</v>
      </c>
      <c r="BR88" s="10">
        <v>628476</v>
      </c>
      <c r="BS88" s="10">
        <v>626989</v>
      </c>
      <c r="BT88" s="10">
        <v>605008</v>
      </c>
      <c r="BU88" s="10">
        <v>575494</v>
      </c>
      <c r="BV88" s="10">
        <v>643197</v>
      </c>
      <c r="BW88" s="10">
        <v>582481</v>
      </c>
      <c r="BX88" s="10">
        <v>539606</v>
      </c>
      <c r="BY88" s="10">
        <v>602636</v>
      </c>
      <c r="BZ88" s="10">
        <v>547081</v>
      </c>
      <c r="CA88" s="10">
        <v>527219</v>
      </c>
      <c r="CB88" s="10">
        <v>540761</v>
      </c>
      <c r="CC88" s="10">
        <v>567307</v>
      </c>
      <c r="CD88" s="10">
        <v>602706</v>
      </c>
      <c r="CE88" s="10">
        <v>546207</v>
      </c>
      <c r="CF88" s="10">
        <v>592389</v>
      </c>
      <c r="CG88" s="10">
        <v>518651</v>
      </c>
      <c r="CH88" s="10">
        <v>536937</v>
      </c>
      <c r="CI88" s="10">
        <v>631873</v>
      </c>
      <c r="CJ88" s="10">
        <v>494032</v>
      </c>
      <c r="CK88" s="10">
        <v>549899</v>
      </c>
      <c r="CL88" s="10">
        <v>504833</v>
      </c>
      <c r="CM88" s="10">
        <v>512752</v>
      </c>
      <c r="CN88" s="10">
        <v>506257</v>
      </c>
      <c r="CO88" s="10">
        <v>541405</v>
      </c>
      <c r="CP88" s="10">
        <v>538533</v>
      </c>
      <c r="CQ88" s="10">
        <v>513725</v>
      </c>
      <c r="CR88" s="10">
        <v>562957</v>
      </c>
      <c r="CS88" s="10">
        <v>518683</v>
      </c>
      <c r="CT88" s="10">
        <v>516294</v>
      </c>
      <c r="CU88" s="10">
        <v>535499</v>
      </c>
      <c r="CV88" s="10">
        <v>503687</v>
      </c>
      <c r="CW88" s="10">
        <v>476052</v>
      </c>
      <c r="CX88" s="10">
        <v>442885</v>
      </c>
      <c r="CY88" s="10">
        <v>498934</v>
      </c>
      <c r="CZ88" s="10">
        <v>485130</v>
      </c>
      <c r="DA88" s="10">
        <v>497116</v>
      </c>
      <c r="DB88" s="10">
        <v>537426</v>
      </c>
      <c r="DC88" s="10">
        <v>630558</v>
      </c>
      <c r="DD88" s="10">
        <v>541198</v>
      </c>
      <c r="DE88" s="10">
        <v>453851</v>
      </c>
      <c r="DF88" s="10">
        <v>510240</v>
      </c>
      <c r="DG88" s="10">
        <v>523104</v>
      </c>
      <c r="DH88" s="10">
        <v>394640</v>
      </c>
      <c r="DI88" s="10">
        <v>432091</v>
      </c>
      <c r="DJ88" s="10">
        <v>524052</v>
      </c>
      <c r="DK88" s="10">
        <v>506378</v>
      </c>
      <c r="DL88" s="10">
        <v>521734</v>
      </c>
      <c r="DM88" s="10">
        <v>549797</v>
      </c>
      <c r="DN88" s="10">
        <v>582502</v>
      </c>
      <c r="DO88" s="10">
        <v>556250</v>
      </c>
      <c r="DP88" s="10">
        <v>537567</v>
      </c>
      <c r="DQ88" s="10">
        <v>513437</v>
      </c>
      <c r="DR88" s="10">
        <v>498397</v>
      </c>
      <c r="DS88" s="10">
        <v>493601</v>
      </c>
      <c r="DT88" s="10">
        <v>499029</v>
      </c>
      <c r="DU88" s="10">
        <v>430864</v>
      </c>
      <c r="DV88" s="10">
        <v>440220</v>
      </c>
      <c r="DW88" s="10">
        <v>483648</v>
      </c>
      <c r="DX88" s="10">
        <v>468929</v>
      </c>
      <c r="DY88" s="10">
        <v>507836</v>
      </c>
      <c r="DZ88" s="10">
        <v>527004</v>
      </c>
      <c r="EA88" s="10">
        <v>502953</v>
      </c>
      <c r="EB88" s="10">
        <v>490180</v>
      </c>
      <c r="EC88" s="10">
        <v>444768</v>
      </c>
      <c r="ED88" s="10">
        <v>479941</v>
      </c>
      <c r="EE88" s="10">
        <v>525091</v>
      </c>
      <c r="EF88" s="10">
        <v>422680</v>
      </c>
      <c r="EG88" s="10">
        <v>523855</v>
      </c>
      <c r="EH88" s="10">
        <v>433778</v>
      </c>
      <c r="EI88" s="10">
        <v>445007</v>
      </c>
      <c r="EJ88" s="10">
        <v>468339</v>
      </c>
      <c r="EK88" s="10">
        <v>478648</v>
      </c>
      <c r="EL88" s="10">
        <v>491070</v>
      </c>
      <c r="EM88" s="10">
        <v>482691</v>
      </c>
      <c r="EN88" s="10">
        <v>530603</v>
      </c>
      <c r="EO88" s="10">
        <v>454382</v>
      </c>
      <c r="EP88" s="10">
        <v>453697</v>
      </c>
      <c r="EQ88" s="10">
        <v>488803</v>
      </c>
      <c r="ER88" s="10">
        <v>473237</v>
      </c>
      <c r="ES88" s="10">
        <v>412135</v>
      </c>
      <c r="ET88" s="10">
        <v>452168</v>
      </c>
      <c r="EU88" s="10">
        <v>525849</v>
      </c>
      <c r="EV88" s="10">
        <v>464728</v>
      </c>
      <c r="EW88" s="10">
        <v>503135</v>
      </c>
      <c r="EX88" s="10">
        <v>503861</v>
      </c>
      <c r="EY88" s="10">
        <v>530117</v>
      </c>
      <c r="EZ88" s="10">
        <v>548717</v>
      </c>
      <c r="FA88" s="10">
        <v>475513</v>
      </c>
      <c r="FB88" s="10">
        <v>435574</v>
      </c>
      <c r="FC88" s="10">
        <v>528182</v>
      </c>
      <c r="FD88" s="10">
        <v>387850</v>
      </c>
      <c r="FE88" s="10">
        <v>383472</v>
      </c>
      <c r="FF88" s="10">
        <v>360999</v>
      </c>
      <c r="FG88" s="10">
        <v>436575</v>
      </c>
      <c r="FH88" s="10">
        <v>499549</v>
      </c>
      <c r="FI88" s="10">
        <v>512526</v>
      </c>
      <c r="FJ88" s="10">
        <v>556679</v>
      </c>
      <c r="FK88" s="10">
        <v>531478</v>
      </c>
      <c r="FL88" s="10">
        <v>530310</v>
      </c>
      <c r="FM88" s="10">
        <v>458883</v>
      </c>
      <c r="FN88" s="10">
        <v>484888</v>
      </c>
      <c r="FO88" s="10"/>
      <c r="FP88" s="10"/>
      <c r="FQ88" s="10"/>
      <c r="FR88" s="10"/>
    </row>
    <row r="89" spans="1:174">
      <c r="A89" t="s">
        <v>183</v>
      </c>
      <c r="B89" t="s">
        <v>67</v>
      </c>
      <c r="C89" s="10">
        <v>42504988</v>
      </c>
      <c r="D89" s="10">
        <v>33227194</v>
      </c>
      <c r="E89" s="10">
        <v>37815712</v>
      </c>
      <c r="F89" s="10">
        <v>42481553</v>
      </c>
      <c r="G89" s="10">
        <v>41224687</v>
      </c>
      <c r="H89" s="10">
        <v>45762103</v>
      </c>
      <c r="I89" s="10">
        <v>48488142</v>
      </c>
      <c r="J89" s="10">
        <v>52225517</v>
      </c>
      <c r="K89" s="10">
        <v>48090288</v>
      </c>
      <c r="L89" s="10">
        <v>44716734</v>
      </c>
      <c r="M89" s="10">
        <v>38439927</v>
      </c>
      <c r="N89" s="10">
        <v>34182024</v>
      </c>
      <c r="O89" s="10">
        <v>32326136</v>
      </c>
      <c r="P89" s="10">
        <v>29591159</v>
      </c>
      <c r="Q89" s="10">
        <v>37337512</v>
      </c>
      <c r="R89" s="10">
        <v>31467311</v>
      </c>
      <c r="S89" s="10">
        <v>35079504</v>
      </c>
      <c r="T89" s="10">
        <v>40652866</v>
      </c>
      <c r="U89" s="10">
        <v>46835616</v>
      </c>
      <c r="V89" s="10">
        <v>52856207</v>
      </c>
      <c r="W89" s="10">
        <v>54664615</v>
      </c>
      <c r="X89" s="10">
        <v>57691770</v>
      </c>
      <c r="Y89" s="10">
        <v>47937063</v>
      </c>
      <c r="Z89" s="10">
        <v>49823078</v>
      </c>
      <c r="AA89" s="10">
        <v>50046218</v>
      </c>
      <c r="AB89" s="10">
        <v>59361022</v>
      </c>
      <c r="AC89" s="10">
        <v>61579620</v>
      </c>
      <c r="AD89" s="10">
        <v>54184931</v>
      </c>
      <c r="AE89" s="10">
        <v>64315721</v>
      </c>
      <c r="AF89" s="10">
        <v>68890138</v>
      </c>
      <c r="AG89" s="10">
        <v>83319725</v>
      </c>
      <c r="AH89" s="10">
        <v>89803081</v>
      </c>
      <c r="AI89" s="10">
        <v>95004359</v>
      </c>
      <c r="AJ89" s="10">
        <v>94907060</v>
      </c>
      <c r="AK89" s="10">
        <v>75785702</v>
      </c>
      <c r="AL89" s="10">
        <v>61066098</v>
      </c>
      <c r="AM89" s="10">
        <v>42233066</v>
      </c>
      <c r="AN89" s="10">
        <v>28048101</v>
      </c>
      <c r="AO89" s="10">
        <v>27749663</v>
      </c>
      <c r="AP89" s="10">
        <v>23981261</v>
      </c>
      <c r="AQ89" s="10">
        <v>30868720</v>
      </c>
      <c r="AR89" s="10">
        <v>30842004</v>
      </c>
      <c r="AS89" s="10">
        <v>36875278</v>
      </c>
      <c r="AT89" s="10">
        <v>43802839</v>
      </c>
      <c r="AU89" s="10">
        <v>45876782</v>
      </c>
      <c r="AV89" s="10">
        <v>52121750</v>
      </c>
      <c r="AW89" s="10">
        <v>42622642</v>
      </c>
      <c r="AX89" s="10">
        <v>42188447</v>
      </c>
      <c r="AY89" s="10">
        <v>43001080</v>
      </c>
      <c r="AZ89" s="10">
        <v>45281643</v>
      </c>
      <c r="BA89" s="10">
        <v>56082168</v>
      </c>
      <c r="BB89" s="10">
        <v>46241334</v>
      </c>
      <c r="BC89" s="10">
        <v>52202992</v>
      </c>
      <c r="BD89" s="10">
        <v>51855009</v>
      </c>
      <c r="BE89" s="10">
        <v>57324846</v>
      </c>
      <c r="BF89" s="10">
        <v>54433733</v>
      </c>
      <c r="BG89" s="10">
        <v>53103678</v>
      </c>
      <c r="BH89" s="10">
        <v>55369296</v>
      </c>
      <c r="BI89" s="10">
        <v>54534513</v>
      </c>
      <c r="BJ89" s="10">
        <v>53673234</v>
      </c>
      <c r="BK89" s="10">
        <v>54758915</v>
      </c>
      <c r="BL89" s="10">
        <v>60471598</v>
      </c>
      <c r="BM89" s="10">
        <v>62807861</v>
      </c>
      <c r="BN89" s="10">
        <v>69150157</v>
      </c>
      <c r="BO89" s="10">
        <v>73862583</v>
      </c>
      <c r="BP89" s="10">
        <v>73014472</v>
      </c>
      <c r="BQ89" s="10">
        <v>83671245</v>
      </c>
      <c r="BR89" s="10">
        <v>82629166</v>
      </c>
      <c r="BS89" s="10">
        <v>84748947</v>
      </c>
      <c r="BT89" s="10">
        <v>81104610</v>
      </c>
      <c r="BU89" s="10">
        <v>77723335</v>
      </c>
      <c r="BV89" s="10">
        <v>85055665</v>
      </c>
      <c r="BW89" s="10">
        <v>77978784</v>
      </c>
      <c r="BX89" s="10">
        <v>72052793</v>
      </c>
      <c r="BY89" s="10">
        <v>81368803</v>
      </c>
      <c r="BZ89" s="10">
        <v>77278150</v>
      </c>
      <c r="CA89" s="10">
        <v>76854603</v>
      </c>
      <c r="CB89" s="10">
        <v>79759876</v>
      </c>
      <c r="CC89" s="10">
        <v>84291456</v>
      </c>
      <c r="CD89" s="10">
        <v>84412733</v>
      </c>
      <c r="CE89" s="10">
        <v>73194377</v>
      </c>
      <c r="CF89" s="10">
        <v>78903930</v>
      </c>
      <c r="CG89" s="10">
        <v>68972039</v>
      </c>
      <c r="CH89" s="10">
        <v>69281734</v>
      </c>
      <c r="CI89" s="10">
        <v>81889928</v>
      </c>
      <c r="CJ89" s="10">
        <v>63062475</v>
      </c>
      <c r="CK89" s="10">
        <v>70284161</v>
      </c>
      <c r="CL89" s="10">
        <v>66490815</v>
      </c>
      <c r="CM89" s="10">
        <v>67330973</v>
      </c>
      <c r="CN89" s="10">
        <v>65411310</v>
      </c>
      <c r="CO89" s="10">
        <v>68861579</v>
      </c>
      <c r="CP89" s="10">
        <v>71660198</v>
      </c>
      <c r="CQ89" s="10">
        <v>61901386</v>
      </c>
      <c r="CR89" s="10">
        <v>73384710</v>
      </c>
      <c r="CS89" s="10">
        <v>70570959</v>
      </c>
      <c r="CT89" s="10">
        <v>70283699</v>
      </c>
      <c r="CU89" s="10">
        <v>71416352</v>
      </c>
      <c r="CV89" s="10">
        <v>65670446</v>
      </c>
      <c r="CW89" s="10">
        <v>63068327</v>
      </c>
      <c r="CX89" s="10">
        <v>58210257</v>
      </c>
      <c r="CY89" s="10">
        <v>67022719</v>
      </c>
      <c r="CZ89" s="10">
        <v>64876267</v>
      </c>
      <c r="DA89" s="10">
        <v>65538143</v>
      </c>
      <c r="DB89" s="10">
        <v>72299241</v>
      </c>
      <c r="DC89" s="10">
        <v>84337542</v>
      </c>
      <c r="DD89" s="10">
        <v>69285120</v>
      </c>
      <c r="DE89" s="10">
        <v>52541539</v>
      </c>
      <c r="DF89" s="10">
        <v>56118057</v>
      </c>
      <c r="DG89" s="10">
        <v>48707109</v>
      </c>
      <c r="DH89" s="10">
        <v>30868694</v>
      </c>
      <c r="DI89" s="10">
        <v>28396676</v>
      </c>
      <c r="DJ89" s="10">
        <v>34518480</v>
      </c>
      <c r="DK89" s="10">
        <v>31509701</v>
      </c>
      <c r="DL89" s="10">
        <v>35254440</v>
      </c>
      <c r="DM89" s="10">
        <v>42190585</v>
      </c>
      <c r="DN89" s="10">
        <v>47230792</v>
      </c>
      <c r="DO89" s="10">
        <v>42656676</v>
      </c>
      <c r="DP89" s="10">
        <v>33416794</v>
      </c>
      <c r="DQ89" s="10">
        <v>26413434</v>
      </c>
      <c r="DR89" s="10">
        <v>26507942</v>
      </c>
      <c r="DS89" s="10">
        <v>25960888</v>
      </c>
      <c r="DT89" s="10">
        <v>24779798</v>
      </c>
      <c r="DU89" s="10">
        <v>17332636</v>
      </c>
      <c r="DV89" s="10">
        <v>16233240</v>
      </c>
      <c r="DW89" s="10">
        <v>19720948</v>
      </c>
      <c r="DX89" s="10">
        <v>22182623</v>
      </c>
      <c r="DY89" s="10">
        <v>27206481</v>
      </c>
      <c r="DZ89" s="10">
        <v>31484502</v>
      </c>
      <c r="EA89" s="10">
        <v>29022288</v>
      </c>
      <c r="EB89" s="10">
        <v>26148158</v>
      </c>
      <c r="EC89" s="10">
        <v>24322600</v>
      </c>
      <c r="ED89" s="10">
        <v>28011112</v>
      </c>
      <c r="EE89" s="10">
        <v>31199127</v>
      </c>
      <c r="EF89" s="10">
        <v>27278061</v>
      </c>
      <c r="EG89" s="10">
        <v>34592006</v>
      </c>
      <c r="EH89" s="10">
        <v>30658112</v>
      </c>
      <c r="EI89" s="10">
        <v>29710770</v>
      </c>
      <c r="EJ89" s="10">
        <v>31133213</v>
      </c>
      <c r="EK89" s="10">
        <v>32027189</v>
      </c>
      <c r="EL89" s="10">
        <v>31332118</v>
      </c>
      <c r="EM89" s="10">
        <v>30942723</v>
      </c>
      <c r="EN89" s="10">
        <v>34507507</v>
      </c>
      <c r="EO89" s="10">
        <v>32263138</v>
      </c>
      <c r="EP89" s="10">
        <v>32711293</v>
      </c>
      <c r="EQ89" s="10">
        <v>35961394</v>
      </c>
      <c r="ER89" s="10">
        <v>36646527</v>
      </c>
      <c r="ES89" s="10">
        <v>33227143</v>
      </c>
      <c r="ET89" s="10">
        <v>34638330</v>
      </c>
      <c r="EU89" s="10">
        <v>40492334</v>
      </c>
      <c r="EV89" s="10">
        <v>38803452</v>
      </c>
      <c r="EW89" s="10">
        <v>45977560</v>
      </c>
      <c r="EX89" s="10">
        <v>45365322</v>
      </c>
      <c r="EY89" s="10">
        <v>48401513</v>
      </c>
      <c r="EZ89" s="10">
        <v>48601856</v>
      </c>
      <c r="FA89" s="10">
        <v>44328757</v>
      </c>
      <c r="FB89" s="10">
        <v>44484404</v>
      </c>
      <c r="FC89" s="10">
        <v>44365959</v>
      </c>
      <c r="FD89" s="10">
        <v>24772863</v>
      </c>
      <c r="FE89" s="10">
        <v>30386704</v>
      </c>
      <c r="FF89" s="10">
        <v>30709114</v>
      </c>
      <c r="FG89" s="10">
        <v>37883214</v>
      </c>
      <c r="FH89" s="10">
        <v>42536196</v>
      </c>
      <c r="FI89" s="10">
        <v>41409928</v>
      </c>
      <c r="FJ89" s="10">
        <v>43337076</v>
      </c>
      <c r="FK89" s="10">
        <v>41457804</v>
      </c>
      <c r="FL89" s="10">
        <v>39645659</v>
      </c>
      <c r="FM89" s="10">
        <v>34626944</v>
      </c>
      <c r="FN89" s="10">
        <v>35635072</v>
      </c>
      <c r="FO89" s="10"/>
      <c r="FP89" s="10"/>
      <c r="FQ89" s="10"/>
      <c r="FR89" s="10"/>
    </row>
    <row r="90" spans="1:174">
      <c r="A90" t="s">
        <v>66</v>
      </c>
      <c r="B90" t="s">
        <v>67</v>
      </c>
      <c r="C90" s="23">
        <v>59.231000000000002</v>
      </c>
      <c r="D90" s="23">
        <v>58.488999999999997</v>
      </c>
      <c r="E90" s="23">
        <v>60.615000000000002</v>
      </c>
      <c r="F90" s="23">
        <v>62.555</v>
      </c>
      <c r="G90" s="23">
        <v>64.486000000000004</v>
      </c>
      <c r="H90" s="23">
        <v>67.262</v>
      </c>
      <c r="I90" s="23">
        <v>69.123000000000005</v>
      </c>
      <c r="J90" s="23">
        <v>69.281999999999996</v>
      </c>
      <c r="K90" s="23">
        <v>67.92</v>
      </c>
      <c r="L90" s="23">
        <v>63.984000000000002</v>
      </c>
      <c r="M90" s="23">
        <v>57.445999999999998</v>
      </c>
      <c r="N90" s="23">
        <v>53.656999999999996</v>
      </c>
      <c r="O90" s="22">
        <v>50.9</v>
      </c>
      <c r="P90" s="22">
        <v>51.759</v>
      </c>
      <c r="Q90" s="22">
        <v>51.180999999999997</v>
      </c>
      <c r="R90" s="22">
        <v>53.198</v>
      </c>
      <c r="S90" s="22">
        <v>54.191000000000003</v>
      </c>
      <c r="T90" s="22">
        <v>60.606000000000002</v>
      </c>
      <c r="U90" s="22">
        <v>64.192999999999998</v>
      </c>
      <c r="V90" s="22">
        <v>70.679000000000002</v>
      </c>
      <c r="W90" s="22">
        <v>75.188000000000002</v>
      </c>
      <c r="X90" s="22">
        <v>75.616</v>
      </c>
      <c r="Y90" s="22">
        <v>74.97</v>
      </c>
      <c r="Z90" s="22">
        <v>77.162000000000006</v>
      </c>
      <c r="AA90" s="22">
        <v>82.658037429330705</v>
      </c>
      <c r="AB90" s="22">
        <v>90.71157851627386</v>
      </c>
      <c r="AC90" s="22">
        <v>92.545961421411349</v>
      </c>
      <c r="AD90" s="22">
        <v>91.98776154623161</v>
      </c>
      <c r="AE90" s="22">
        <v>99.90869210634645</v>
      </c>
      <c r="AF90" s="22">
        <v>106.36840853786578</v>
      </c>
      <c r="AG90" s="22">
        <v>119.92504659849014</v>
      </c>
      <c r="AH90" s="22">
        <v>130.07530638346566</v>
      </c>
      <c r="AI90" s="22">
        <v>141.5539511854972</v>
      </c>
      <c r="AJ90" s="22">
        <v>135.08151968926444</v>
      </c>
      <c r="AK90" s="22">
        <v>128.2356020765227</v>
      </c>
      <c r="AL90" s="22">
        <v>103.24218068451556</v>
      </c>
      <c r="AM90" s="22">
        <v>72.616936073192832</v>
      </c>
      <c r="AN90" s="22">
        <v>50.983569636819716</v>
      </c>
      <c r="AO90" s="22">
        <v>46.995650944243003</v>
      </c>
      <c r="AP90" s="22">
        <v>46.017014654439599</v>
      </c>
      <c r="AQ90" s="22">
        <v>45.308557170115954</v>
      </c>
      <c r="AR90" s="22">
        <v>47.925170733981304</v>
      </c>
      <c r="AS90" s="22">
        <v>52.739996281411351</v>
      </c>
      <c r="AT90" s="22">
        <v>65.150802433328877</v>
      </c>
      <c r="AU90" s="22">
        <v>72.048455513868106</v>
      </c>
      <c r="AV90" s="22">
        <v>76.19147508584409</v>
      </c>
      <c r="AW90" s="22">
        <v>73.728966837859957</v>
      </c>
      <c r="AX90" s="22">
        <v>73.594170513102299</v>
      </c>
      <c r="AY90" s="22">
        <v>74.789949874599543</v>
      </c>
      <c r="AZ90" s="22">
        <v>74.992080408201801</v>
      </c>
      <c r="BA90" s="22">
        <v>84.675335185408869</v>
      </c>
      <c r="BB90" s="22">
        <v>81.722871316700576</v>
      </c>
      <c r="BC90" s="22">
        <v>83.713913673771785</v>
      </c>
      <c r="BD90" s="22">
        <v>87.962601270203152</v>
      </c>
      <c r="BE90" s="22">
        <v>90.177218176755687</v>
      </c>
      <c r="BF90" s="22">
        <v>87.651294792810603</v>
      </c>
      <c r="BG90" s="22">
        <v>87.887402685096916</v>
      </c>
      <c r="BH90" s="22">
        <v>87.805123114274977</v>
      </c>
      <c r="BI90" s="22">
        <v>89.736100941056833</v>
      </c>
      <c r="BJ90" s="22">
        <v>91.25074847627063</v>
      </c>
      <c r="BK90" s="22">
        <v>96.685191299572892</v>
      </c>
      <c r="BL90" s="22">
        <v>103.33527797429247</v>
      </c>
      <c r="BM90" s="22">
        <v>94.323801013703772</v>
      </c>
      <c r="BN90" s="22">
        <v>115.72899393825793</v>
      </c>
      <c r="BO90" s="22">
        <v>122.30605415322661</v>
      </c>
      <c r="BP90" s="22">
        <v>128.50995314716576</v>
      </c>
      <c r="BQ90" s="22">
        <v>135.17557053355347</v>
      </c>
      <c r="BR90" s="22">
        <v>131.47545172767138</v>
      </c>
      <c r="BS90" s="22">
        <v>135.16815606015416</v>
      </c>
      <c r="BT90" s="22">
        <v>134.05543397773252</v>
      </c>
      <c r="BU90" s="22">
        <v>135.05498754113856</v>
      </c>
      <c r="BV90" s="22">
        <v>132.23890192273907</v>
      </c>
      <c r="BW90" s="22">
        <v>133.87352377159084</v>
      </c>
      <c r="BX90" s="22">
        <v>133.52852451603579</v>
      </c>
      <c r="BY90" s="22">
        <v>135.02147730968611</v>
      </c>
      <c r="BZ90" s="22">
        <v>141.25540824850432</v>
      </c>
      <c r="CA90" s="22">
        <v>145.77358365309291</v>
      </c>
      <c r="CB90" s="22">
        <v>147.49561451362061</v>
      </c>
      <c r="CC90" s="22">
        <v>148.5817308794004</v>
      </c>
      <c r="CD90" s="22">
        <v>140.05623471476972</v>
      </c>
      <c r="CE90" s="22">
        <v>134.0048315016102</v>
      </c>
      <c r="CF90" s="22">
        <v>133.19614307490517</v>
      </c>
      <c r="CG90" s="22">
        <v>132.9835264946949</v>
      </c>
      <c r="CH90" s="22">
        <v>129.03140219429841</v>
      </c>
      <c r="CI90" s="22">
        <v>129.59871366556254</v>
      </c>
      <c r="CJ90" s="22">
        <v>127.64856325096351</v>
      </c>
      <c r="CK90" s="22">
        <v>127.81285472423117</v>
      </c>
      <c r="CL90" s="22">
        <v>131.70853529781135</v>
      </c>
      <c r="CM90" s="22">
        <v>131.31294075888539</v>
      </c>
      <c r="CN90" s="22">
        <v>129.20573937743083</v>
      </c>
      <c r="CO90" s="22">
        <v>127.19051172412519</v>
      </c>
      <c r="CP90" s="22">
        <v>133.06556515571006</v>
      </c>
      <c r="CQ90" s="22">
        <v>120.49517932746119</v>
      </c>
      <c r="CR90" s="22">
        <v>130.35579982130074</v>
      </c>
      <c r="CS90" s="22">
        <v>136.05797568071443</v>
      </c>
      <c r="CT90" s="22">
        <v>136.13115589179807</v>
      </c>
      <c r="CU90" s="22">
        <v>133.36411832701836</v>
      </c>
      <c r="CV90" s="22">
        <v>130.37947376049016</v>
      </c>
      <c r="CW90" s="22">
        <v>132.48201246922605</v>
      </c>
      <c r="CX90" s="22">
        <v>131.43424816826038</v>
      </c>
      <c r="CY90" s="22">
        <v>134.33183346895581</v>
      </c>
      <c r="CZ90" s="22">
        <v>133.72965390720015</v>
      </c>
      <c r="DA90" s="22">
        <v>131.83672020212586</v>
      </c>
      <c r="DB90" s="22">
        <v>134.52873697960277</v>
      </c>
      <c r="DC90" s="22">
        <v>133.75064942479517</v>
      </c>
      <c r="DD90" s="22">
        <v>128.02175913436488</v>
      </c>
      <c r="DE90" s="22">
        <v>115.7682565423454</v>
      </c>
      <c r="DF90" s="22">
        <v>109.98364887111947</v>
      </c>
      <c r="DG90" s="22">
        <v>93.111712011378231</v>
      </c>
      <c r="DH90" s="22">
        <v>78.21988141090614</v>
      </c>
      <c r="DI90" s="22">
        <v>65.719202667956523</v>
      </c>
      <c r="DJ90" s="22">
        <v>65.868425270774651</v>
      </c>
      <c r="DK90" s="22">
        <v>62.225651588339147</v>
      </c>
      <c r="DL90" s="22">
        <v>67.57167445479881</v>
      </c>
      <c r="DM90" s="22">
        <v>76.738478020069223</v>
      </c>
      <c r="DN90" s="22">
        <v>81.082626325746517</v>
      </c>
      <c r="DO90" s="22">
        <v>76.686159101123593</v>
      </c>
      <c r="DP90" s="22">
        <v>62.163030840806819</v>
      </c>
      <c r="DQ90" s="22">
        <v>51.444352471676176</v>
      </c>
      <c r="DR90" s="22">
        <v>53.186399597108327</v>
      </c>
      <c r="DS90" s="22">
        <v>52.594885342614781</v>
      </c>
      <c r="DT90" s="22">
        <v>49.656028006388404</v>
      </c>
      <c r="DU90" s="22">
        <v>40.227626350774258</v>
      </c>
      <c r="DV90" s="22">
        <v>36.875289627913318</v>
      </c>
      <c r="DW90" s="22">
        <v>40.775415177980683</v>
      </c>
      <c r="DX90" s="22">
        <v>47.304864915584233</v>
      </c>
      <c r="DY90" s="22">
        <v>53.573360297418851</v>
      </c>
      <c r="DZ90" s="22">
        <v>59.742434592526813</v>
      </c>
      <c r="EA90" s="22">
        <v>57.703777490143217</v>
      </c>
      <c r="EB90" s="22">
        <v>53.343992002937696</v>
      </c>
      <c r="EC90" s="22">
        <v>54.686038563925464</v>
      </c>
      <c r="ED90" s="22">
        <v>58.363657199530778</v>
      </c>
      <c r="EE90" s="22">
        <v>59.416609692415221</v>
      </c>
      <c r="EF90" s="22">
        <v>64.535963376549631</v>
      </c>
      <c r="EG90" s="22">
        <v>66.033551268958007</v>
      </c>
      <c r="EH90" s="22">
        <v>70.676963792539041</v>
      </c>
      <c r="EI90" s="22">
        <v>66.76472504926889</v>
      </c>
      <c r="EJ90" s="22">
        <v>66.475807054291863</v>
      </c>
      <c r="EK90" s="22">
        <v>66.911778593037056</v>
      </c>
      <c r="EL90" s="22">
        <v>63.803771356425763</v>
      </c>
      <c r="EM90" s="22">
        <v>64.104619725662999</v>
      </c>
      <c r="EN90" s="22">
        <v>65.0345116782227</v>
      </c>
      <c r="EO90" s="22">
        <v>71.004436795471648</v>
      </c>
      <c r="EP90" s="22">
        <v>72.09942538742817</v>
      </c>
      <c r="EQ90" s="22">
        <v>73.570321786077415</v>
      </c>
      <c r="ER90" s="22">
        <v>77.438000409942589</v>
      </c>
      <c r="ES90" s="22">
        <v>80.621987940844633</v>
      </c>
      <c r="ET90" s="22">
        <v>76.605000796164262</v>
      </c>
      <c r="EU90" s="22">
        <v>77.003729207434077</v>
      </c>
      <c r="EV90" s="22">
        <v>83.497125200117054</v>
      </c>
      <c r="EW90" s="22">
        <v>91.382153895077863</v>
      </c>
      <c r="EX90" s="22">
        <v>90.035390712914875</v>
      </c>
      <c r="EY90" s="22">
        <v>91.303453765866777</v>
      </c>
      <c r="EZ90" s="22">
        <v>88.573629029171684</v>
      </c>
      <c r="FA90" s="22">
        <v>93.223018087833566</v>
      </c>
      <c r="FB90" s="22">
        <v>102.12823538595049</v>
      </c>
      <c r="FC90" s="22">
        <v>83.997483821864435</v>
      </c>
      <c r="FD90" s="22">
        <v>63.872277942503544</v>
      </c>
      <c r="FE90" s="22">
        <v>79.240998038970247</v>
      </c>
      <c r="FF90" s="22">
        <v>85.067033426685398</v>
      </c>
      <c r="FG90" s="22">
        <v>86.773667754681327</v>
      </c>
      <c r="FH90" s="22">
        <v>85.149196575310924</v>
      </c>
      <c r="FI90" s="22">
        <v>80.795760605315635</v>
      </c>
      <c r="FJ90" s="22">
        <v>77.849309925468717</v>
      </c>
      <c r="FK90" s="22">
        <v>78.004741494473905</v>
      </c>
      <c r="FL90" s="22">
        <v>74.759402990703549</v>
      </c>
      <c r="FM90" s="22">
        <v>75.459199839610534</v>
      </c>
      <c r="FN90" s="22">
        <v>73.491346455263894</v>
      </c>
      <c r="FO90" s="22"/>
      <c r="FP90" s="22"/>
      <c r="FQ90" s="22"/>
      <c r="FR90" s="22"/>
    </row>
    <row r="91" spans="1:174">
      <c r="A91" t="s">
        <v>184</v>
      </c>
      <c r="B91" t="s">
        <v>67</v>
      </c>
      <c r="C91" s="23">
        <v>57.27</v>
      </c>
      <c r="D91" s="23">
        <v>59.58</v>
      </c>
      <c r="E91" s="23">
        <v>61.6</v>
      </c>
      <c r="F91" s="23">
        <v>62.86</v>
      </c>
      <c r="G91" s="23">
        <v>66.48</v>
      </c>
      <c r="H91" s="23">
        <v>68.180000000000007</v>
      </c>
      <c r="I91" s="23">
        <v>68.290000000000006</v>
      </c>
      <c r="J91" s="23">
        <v>66.72</v>
      </c>
      <c r="K91" s="23">
        <v>62.76</v>
      </c>
      <c r="L91" s="23">
        <v>57.53</v>
      </c>
      <c r="M91" s="23">
        <v>52.41</v>
      </c>
      <c r="N91" s="23">
        <v>50.05</v>
      </c>
      <c r="O91" s="22">
        <v>50.65</v>
      </c>
      <c r="P91" s="22">
        <v>50.34</v>
      </c>
      <c r="Q91" s="22">
        <v>51.02</v>
      </c>
      <c r="R91" s="22">
        <v>53.06</v>
      </c>
      <c r="S91" s="22">
        <v>59.38</v>
      </c>
      <c r="T91" s="22">
        <v>62.87</v>
      </c>
      <c r="U91" s="22">
        <v>69.349999999999994</v>
      </c>
      <c r="V91" s="22">
        <v>73.92</v>
      </c>
      <c r="W91" s="22">
        <v>74.650000000000006</v>
      </c>
      <c r="X91" s="22">
        <v>74.5</v>
      </c>
      <c r="Y91" s="22">
        <v>75.28</v>
      </c>
      <c r="Z91" s="22">
        <v>81.48</v>
      </c>
      <c r="AA91" s="22">
        <v>89.6</v>
      </c>
      <c r="AB91" s="22">
        <v>91.99</v>
      </c>
      <c r="AC91" s="22">
        <v>90.89</v>
      </c>
      <c r="AD91" s="22">
        <v>98.66</v>
      </c>
      <c r="AE91" s="22">
        <v>104.63</v>
      </c>
      <c r="AF91" s="22">
        <v>118.16</v>
      </c>
      <c r="AG91" s="22">
        <v>128.11000000000001</v>
      </c>
      <c r="AH91" s="22">
        <v>139.16999999999999</v>
      </c>
      <c r="AI91" s="22">
        <v>132.79</v>
      </c>
      <c r="AJ91" s="22">
        <v>125.89</v>
      </c>
      <c r="AK91" s="22">
        <v>99.81</v>
      </c>
      <c r="AL91" s="22">
        <v>72.09</v>
      </c>
      <c r="AM91" s="22">
        <v>49.65</v>
      </c>
      <c r="AN91" s="22">
        <v>45.66</v>
      </c>
      <c r="AO91" s="22">
        <v>44.93</v>
      </c>
      <c r="AP91" s="22">
        <v>44.21</v>
      </c>
      <c r="AQ91" s="22">
        <v>45.84</v>
      </c>
      <c r="AR91" s="22">
        <v>51.89</v>
      </c>
      <c r="AS91" s="22">
        <v>63.91</v>
      </c>
      <c r="AT91" s="22">
        <v>70.239999999999995</v>
      </c>
      <c r="AU91" s="22">
        <v>74.38</v>
      </c>
      <c r="AV91" s="22">
        <v>72.040000000000006</v>
      </c>
      <c r="AW91" s="22">
        <v>71.91</v>
      </c>
      <c r="AX91" s="22">
        <v>73.239999999999995</v>
      </c>
      <c r="AY91" s="22">
        <v>73.52</v>
      </c>
      <c r="AZ91" s="22">
        <v>82.94</v>
      </c>
      <c r="BA91" s="22">
        <v>80.66</v>
      </c>
      <c r="BB91" s="22">
        <v>82.12</v>
      </c>
      <c r="BC91" s="22">
        <v>86.53</v>
      </c>
      <c r="BD91" s="22">
        <v>86.61</v>
      </c>
      <c r="BE91" s="22">
        <v>86.28</v>
      </c>
      <c r="BF91" s="22">
        <v>86.64</v>
      </c>
      <c r="BG91" s="22">
        <v>86.69</v>
      </c>
      <c r="BH91" s="22">
        <v>87.75</v>
      </c>
      <c r="BI91" s="22">
        <v>88.71</v>
      </c>
      <c r="BJ91" s="22">
        <v>94.21</v>
      </c>
      <c r="BK91" s="22">
        <v>97.5</v>
      </c>
      <c r="BL91" s="22">
        <v>101.89</v>
      </c>
      <c r="BM91" s="22">
        <v>109.38</v>
      </c>
      <c r="BN91" s="22">
        <v>115.75</v>
      </c>
      <c r="BO91" s="22">
        <v>126.27</v>
      </c>
      <c r="BP91" s="22">
        <v>133.83000000000001</v>
      </c>
      <c r="BQ91" s="22">
        <v>129.74</v>
      </c>
      <c r="BR91" s="22">
        <v>130.19999999999999</v>
      </c>
      <c r="BS91" s="22">
        <v>132.66</v>
      </c>
      <c r="BT91" s="22">
        <v>131.88999999999999</v>
      </c>
      <c r="BU91" s="22">
        <v>129.91999999999999</v>
      </c>
      <c r="BV91" s="22">
        <v>131.91</v>
      </c>
      <c r="BW91" s="22">
        <v>131.72</v>
      </c>
      <c r="BX91" s="22">
        <v>132.9</v>
      </c>
      <c r="BY91" s="22">
        <v>138.78</v>
      </c>
      <c r="BZ91" s="22">
        <v>143.83000000000001</v>
      </c>
      <c r="CA91" s="22">
        <v>144.72999999999999</v>
      </c>
      <c r="CB91" s="22">
        <v>145.55000000000001</v>
      </c>
      <c r="CC91" s="22">
        <v>137.47</v>
      </c>
      <c r="CD91" s="22">
        <v>132.35</v>
      </c>
      <c r="CE91" s="22">
        <v>131.54</v>
      </c>
      <c r="CF91" s="22">
        <v>130.68</v>
      </c>
      <c r="CG91" s="22">
        <v>127.45</v>
      </c>
      <c r="CH91" s="22">
        <v>127.45</v>
      </c>
      <c r="CI91" s="22">
        <v>124.89</v>
      </c>
      <c r="CJ91" s="22">
        <v>125.82</v>
      </c>
      <c r="CK91" s="22">
        <v>130.27000000000001</v>
      </c>
      <c r="CL91" s="22">
        <v>129.83000000000001</v>
      </c>
      <c r="CM91" s="22">
        <v>127.1</v>
      </c>
      <c r="CN91" s="22">
        <v>124.98</v>
      </c>
      <c r="CO91" s="22">
        <v>131.01</v>
      </c>
      <c r="CP91" s="22">
        <v>118.37</v>
      </c>
      <c r="CQ91" s="22">
        <v>127.72</v>
      </c>
      <c r="CR91" s="22">
        <v>133.18</v>
      </c>
      <c r="CS91" s="22">
        <v>132.54</v>
      </c>
      <c r="CT91" s="22">
        <v>129.85</v>
      </c>
      <c r="CU91" s="22">
        <v>127.78</v>
      </c>
      <c r="CV91" s="22">
        <v>129.44999999999999</v>
      </c>
      <c r="CW91" s="22">
        <v>128.9</v>
      </c>
      <c r="CX91" s="22">
        <v>131.16999999999999</v>
      </c>
      <c r="CY91" s="22">
        <v>130.87</v>
      </c>
      <c r="CZ91" s="22">
        <v>130.31</v>
      </c>
      <c r="DA91" s="22">
        <v>135.1</v>
      </c>
      <c r="DB91" s="22">
        <v>131.97999999999999</v>
      </c>
      <c r="DC91" s="22">
        <v>125.56</v>
      </c>
      <c r="DD91" s="22">
        <v>113.94</v>
      </c>
      <c r="DE91" s="22">
        <v>104.46</v>
      </c>
      <c r="DF91" s="22">
        <v>90.56</v>
      </c>
      <c r="DG91" s="22">
        <v>75.209999999999994</v>
      </c>
      <c r="DH91" s="22">
        <v>63.79</v>
      </c>
      <c r="DI91" s="22">
        <v>64.069999999999993</v>
      </c>
      <c r="DJ91" s="22">
        <v>60.85</v>
      </c>
      <c r="DK91" s="22">
        <v>66.78</v>
      </c>
      <c r="DL91" s="22">
        <v>74.400000000000006</v>
      </c>
      <c r="DM91" s="22">
        <v>79.819999999999993</v>
      </c>
      <c r="DN91" s="22">
        <v>75.680000000000007</v>
      </c>
      <c r="DO91" s="22">
        <v>61.16</v>
      </c>
      <c r="DP91" s="22">
        <v>49.93</v>
      </c>
      <c r="DQ91" s="22">
        <v>51.62</v>
      </c>
      <c r="DR91" s="22">
        <v>50.38</v>
      </c>
      <c r="DS91" s="22">
        <v>47.01</v>
      </c>
      <c r="DT91" s="22">
        <v>39.01</v>
      </c>
      <c r="DU91" s="22">
        <v>34.83</v>
      </c>
      <c r="DV91" s="22">
        <v>39.450000000000003</v>
      </c>
      <c r="DW91" s="22">
        <v>46.72</v>
      </c>
      <c r="DX91" s="22">
        <v>52.4</v>
      </c>
      <c r="DY91" s="22">
        <v>58.44</v>
      </c>
      <c r="DZ91" s="22">
        <v>56.49</v>
      </c>
      <c r="EA91" s="22">
        <v>52.25</v>
      </c>
      <c r="EB91" s="22">
        <v>53.19</v>
      </c>
      <c r="EC91" s="22">
        <v>57.09</v>
      </c>
      <c r="ED91" s="22">
        <v>58.37</v>
      </c>
      <c r="EE91" s="22">
        <v>63.12</v>
      </c>
      <c r="EF91" s="22">
        <v>65.02</v>
      </c>
      <c r="EG91" s="22">
        <v>69.7</v>
      </c>
      <c r="EH91" s="22">
        <v>65.040000000000006</v>
      </c>
      <c r="EI91" s="22">
        <v>62.94</v>
      </c>
      <c r="EJ91" s="22">
        <v>65.760000000000005</v>
      </c>
      <c r="EK91" s="22">
        <v>61.33</v>
      </c>
      <c r="EL91" s="22">
        <v>63.17</v>
      </c>
      <c r="EM91" s="22">
        <v>63.97</v>
      </c>
      <c r="EN91" s="22">
        <v>68.91</v>
      </c>
      <c r="EO91" s="22">
        <v>70.86</v>
      </c>
      <c r="EP91" s="22">
        <v>72.180000000000007</v>
      </c>
      <c r="EQ91" s="22">
        <v>76.55</v>
      </c>
      <c r="ER91" s="22">
        <v>78.900000000000006</v>
      </c>
      <c r="ES91" s="22">
        <v>75.53</v>
      </c>
      <c r="ET91" s="22">
        <v>75.760000000000005</v>
      </c>
      <c r="EU91" s="22">
        <v>82.18</v>
      </c>
      <c r="EV91" s="22">
        <v>90.27</v>
      </c>
      <c r="EW91" s="22">
        <v>88.71</v>
      </c>
      <c r="EX91" s="22">
        <v>89.95</v>
      </c>
      <c r="EY91" s="22">
        <v>88.46</v>
      </c>
      <c r="EZ91" s="22">
        <v>92.63</v>
      </c>
      <c r="FA91" s="22">
        <v>101.89</v>
      </c>
      <c r="FB91" s="22">
        <v>83.76</v>
      </c>
      <c r="FC91" s="22">
        <v>62.69</v>
      </c>
      <c r="FD91" s="22">
        <v>76.63</v>
      </c>
      <c r="FE91" s="22">
        <v>84.58</v>
      </c>
      <c r="FF91" s="22">
        <v>85.95</v>
      </c>
      <c r="FG91" s="22">
        <v>83.6</v>
      </c>
      <c r="FH91" s="22">
        <v>79.61</v>
      </c>
      <c r="FI91" s="22">
        <v>77.66</v>
      </c>
      <c r="FJ91" s="22">
        <v>77.290000000000006</v>
      </c>
      <c r="FK91" s="22">
        <v>73.849999999999994</v>
      </c>
      <c r="FL91" s="22">
        <v>74.39</v>
      </c>
      <c r="FM91" s="22">
        <v>72.52</v>
      </c>
      <c r="FN91" s="22">
        <v>75.41</v>
      </c>
      <c r="FO91" s="22"/>
      <c r="FP91" s="22"/>
      <c r="FQ91" s="22"/>
      <c r="FR91" s="22"/>
    </row>
    <row r="92" spans="1:174">
      <c r="A92" t="s">
        <v>185</v>
      </c>
      <c r="B92" t="s">
        <v>186</v>
      </c>
      <c r="C92" s="23">
        <v>9.9699999999999997E-2</v>
      </c>
      <c r="D92" s="23">
        <v>9.7600000000000006E-2</v>
      </c>
      <c r="E92" s="23">
        <v>0.1019</v>
      </c>
      <c r="F92" s="23">
        <v>0.1038</v>
      </c>
      <c r="G92" s="23">
        <v>0.1069</v>
      </c>
      <c r="H92" s="23">
        <v>0.1115</v>
      </c>
      <c r="I92" s="23">
        <v>0.1147</v>
      </c>
      <c r="J92" s="23">
        <v>0.1157</v>
      </c>
      <c r="K92" s="23">
        <v>0.1142</v>
      </c>
      <c r="L92" s="23">
        <v>0.1075</v>
      </c>
      <c r="M92" s="23">
        <v>9.69E-2</v>
      </c>
      <c r="N92" s="23">
        <v>8.9499999999999996E-2</v>
      </c>
      <c r="O92" s="23">
        <v>8.5400000000000004E-2</v>
      </c>
      <c r="P92" s="23">
        <v>8.6599999999999996E-2</v>
      </c>
      <c r="Q92" s="23">
        <v>8.5900000000000004E-2</v>
      </c>
      <c r="R92" s="23">
        <v>8.9399999999999993E-2</v>
      </c>
      <c r="S92" s="23">
        <v>9.0399999999999994E-2</v>
      </c>
      <c r="T92" s="23">
        <v>0.10299999999999999</v>
      </c>
      <c r="U92" s="23">
        <v>0.1089</v>
      </c>
      <c r="V92" s="23">
        <v>0.1191</v>
      </c>
      <c r="W92" s="23">
        <v>0.127</v>
      </c>
      <c r="X92" s="23">
        <v>0.1258</v>
      </c>
      <c r="Y92" s="23">
        <v>0.12470000000000001</v>
      </c>
      <c r="Z92" s="23">
        <v>0.1275</v>
      </c>
      <c r="AA92" s="23">
        <v>0.13619999999999999</v>
      </c>
      <c r="AB92" s="23">
        <v>0.14960000000000001</v>
      </c>
      <c r="AC92" s="23">
        <v>0.15409999999999999</v>
      </c>
      <c r="AD92" s="23">
        <v>0.1525</v>
      </c>
      <c r="AE92" s="23">
        <v>0.15659999999999999</v>
      </c>
      <c r="AF92" s="23">
        <v>0.17599999999999999</v>
      </c>
      <c r="AG92" s="23">
        <v>0.19980000000000001</v>
      </c>
      <c r="AH92" s="23">
        <v>0.2165</v>
      </c>
      <c r="AI92" s="23">
        <v>0.23669999999999999</v>
      </c>
      <c r="AJ92" s="23">
        <v>0.22509999999999999</v>
      </c>
      <c r="AK92" s="23">
        <v>0.21479999999999999</v>
      </c>
      <c r="AL92" s="23">
        <v>0.17369999999999999</v>
      </c>
      <c r="AM92" s="23">
        <v>0.1217</v>
      </c>
      <c r="AN92" s="23">
        <v>8.4500000000000006E-2</v>
      </c>
      <c r="AO92" s="23">
        <v>7.7299999999999994E-2</v>
      </c>
      <c r="AP92" s="23">
        <v>7.6300000000000007E-2</v>
      </c>
      <c r="AQ92" s="23">
        <v>7.6200000000000004E-2</v>
      </c>
      <c r="AR92" s="23">
        <v>8.0399999999999999E-2</v>
      </c>
      <c r="AS92" s="23">
        <v>8.8599999999999998E-2</v>
      </c>
      <c r="AT92" s="23">
        <v>0.10929999999999999</v>
      </c>
      <c r="AU92" s="23">
        <v>0.1206</v>
      </c>
      <c r="AV92" s="23">
        <v>0.1273</v>
      </c>
      <c r="AW92" s="23">
        <v>0.12180000000000001</v>
      </c>
      <c r="AX92" s="23">
        <v>0.121</v>
      </c>
      <c r="AY92" s="23">
        <v>0.1235</v>
      </c>
      <c r="AZ92" s="23">
        <v>0.1237</v>
      </c>
      <c r="BA92" s="23">
        <v>0.13930000000000001</v>
      </c>
      <c r="BB92" s="23">
        <v>0.13619999999999999</v>
      </c>
      <c r="BC92" s="23">
        <v>0.13900000000000001</v>
      </c>
      <c r="BD92" s="23">
        <v>0.1459</v>
      </c>
      <c r="BE92" s="23">
        <v>0.1502</v>
      </c>
      <c r="BF92" s="23">
        <v>0.14499999999999999</v>
      </c>
      <c r="BG92" s="23">
        <v>0.14660000000000001</v>
      </c>
      <c r="BH92" s="23">
        <v>0.1457</v>
      </c>
      <c r="BI92" s="23">
        <v>0.14810000000000001</v>
      </c>
      <c r="BJ92" s="23">
        <v>0.15240000000000001</v>
      </c>
      <c r="BK92" s="23">
        <v>0.16170000000000001</v>
      </c>
      <c r="BL92" s="23">
        <v>0.17230000000000001</v>
      </c>
      <c r="BM92" s="23">
        <v>0.1583</v>
      </c>
      <c r="BN92" s="23">
        <v>0.1933</v>
      </c>
      <c r="BO92" s="23">
        <v>0.20230000000000001</v>
      </c>
      <c r="BP92" s="23">
        <v>0.21360000000000001</v>
      </c>
      <c r="BQ92" s="23">
        <v>0.23119999999999999</v>
      </c>
      <c r="BR92" s="23">
        <v>0.22220000000000001</v>
      </c>
      <c r="BS92" s="23">
        <v>0.22459999999999999</v>
      </c>
      <c r="BT92" s="23">
        <v>0.22140000000000001</v>
      </c>
      <c r="BU92" s="23">
        <v>0.2203</v>
      </c>
      <c r="BV92" s="23">
        <v>0.21690000000000001</v>
      </c>
      <c r="BW92" s="23">
        <v>0.221</v>
      </c>
      <c r="BX92" s="23">
        <v>0.21790000000000001</v>
      </c>
      <c r="BY92" s="23">
        <v>0.21870000000000001</v>
      </c>
      <c r="BZ92" s="23">
        <v>0.2296</v>
      </c>
      <c r="CA92" s="23">
        <v>0.23960000000000001</v>
      </c>
      <c r="CB92" s="23">
        <v>0.24560000000000001</v>
      </c>
      <c r="CC92" s="23">
        <v>0.2455</v>
      </c>
      <c r="CD92" s="23">
        <v>0.22850000000000001</v>
      </c>
      <c r="CE92" s="23">
        <v>0.219</v>
      </c>
      <c r="CF92" s="23">
        <v>0.21729999999999999</v>
      </c>
      <c r="CG92" s="23">
        <v>0.21640000000000001</v>
      </c>
      <c r="CH92" s="23">
        <v>0.21099999999999999</v>
      </c>
      <c r="CI92" s="23">
        <v>0.2112</v>
      </c>
      <c r="CJ92" s="23">
        <v>0.20880000000000001</v>
      </c>
      <c r="CK92" s="23">
        <v>0.20880000000000001</v>
      </c>
      <c r="CL92" s="23">
        <v>0.2167</v>
      </c>
      <c r="CM92" s="23">
        <v>0.2172</v>
      </c>
      <c r="CN92" s="23">
        <v>0.21129999999999999</v>
      </c>
      <c r="CO92" s="23">
        <v>0.21129999999999999</v>
      </c>
      <c r="CP92" s="23">
        <v>0.21929999999999999</v>
      </c>
      <c r="CQ92" s="23">
        <v>0.20050000000000001</v>
      </c>
      <c r="CR92" s="23">
        <v>0.2167</v>
      </c>
      <c r="CS92" s="23">
        <v>0.22919999999999999</v>
      </c>
      <c r="CT92" s="23">
        <v>0.22450000000000001</v>
      </c>
      <c r="CU92" s="23">
        <v>0.22070000000000001</v>
      </c>
      <c r="CV92" s="23">
        <v>0.21299999999999999</v>
      </c>
      <c r="CW92" s="23">
        <v>0.22020000000000001</v>
      </c>
      <c r="CX92" s="23">
        <v>0.22109999999999999</v>
      </c>
      <c r="CY92" s="23">
        <v>0.223</v>
      </c>
      <c r="CZ92" s="23">
        <v>0.22109999999999999</v>
      </c>
      <c r="DA92" s="23">
        <v>0.21909999999999999</v>
      </c>
      <c r="DB92" s="23">
        <v>0.22509999999999999</v>
      </c>
      <c r="DC92" s="23">
        <v>0.22189999999999999</v>
      </c>
      <c r="DD92" s="23">
        <v>0.2137</v>
      </c>
      <c r="DE92" s="23">
        <v>0.19470000000000001</v>
      </c>
      <c r="DF92" s="23">
        <v>0.18509999999999999</v>
      </c>
      <c r="DG92" s="23">
        <v>0.15720000000000001</v>
      </c>
      <c r="DH92" s="23">
        <v>0.13100000000000001</v>
      </c>
      <c r="DI92" s="23">
        <v>0.10929999999999999</v>
      </c>
      <c r="DJ92" s="23">
        <v>0.109</v>
      </c>
      <c r="DK92" s="23">
        <v>0.10390000000000001</v>
      </c>
      <c r="DL92" s="23">
        <v>0.1132</v>
      </c>
      <c r="DM92" s="23">
        <v>0.1285</v>
      </c>
      <c r="DN92" s="23">
        <v>0.13550000000000001</v>
      </c>
      <c r="DO92" s="23">
        <v>0.12920000000000001</v>
      </c>
      <c r="DP92" s="23">
        <v>0.1043</v>
      </c>
      <c r="DQ92" s="23">
        <v>8.6599999999999996E-2</v>
      </c>
      <c r="DR92" s="23">
        <v>8.9300000000000004E-2</v>
      </c>
      <c r="DS92" s="23">
        <v>8.8599999999999998E-2</v>
      </c>
      <c r="DT92" s="23">
        <v>8.3299999999999999E-2</v>
      </c>
      <c r="DU92" s="23">
        <v>6.8000000000000005E-2</v>
      </c>
      <c r="DV92" s="23">
        <v>6.2E-2</v>
      </c>
      <c r="DW92" s="23">
        <v>6.9000000000000006E-2</v>
      </c>
      <c r="DX92" s="23">
        <v>7.9600000000000004E-2</v>
      </c>
      <c r="DY92" s="23">
        <v>8.9399999999999993E-2</v>
      </c>
      <c r="DZ92" s="23">
        <v>0.1004</v>
      </c>
      <c r="EA92" s="23">
        <v>9.64E-2</v>
      </c>
      <c r="EB92" s="23">
        <v>8.9700000000000002E-2</v>
      </c>
      <c r="EC92" s="23">
        <v>9.1499999999999998E-2</v>
      </c>
      <c r="ED92" s="23">
        <v>9.74E-2</v>
      </c>
      <c r="EE92" s="23">
        <v>9.9199999999999997E-2</v>
      </c>
      <c r="EF92" s="23">
        <v>0.10920000000000001</v>
      </c>
      <c r="EG92" s="23">
        <v>0.11169999999999999</v>
      </c>
      <c r="EH92" s="23">
        <v>0.12180000000000001</v>
      </c>
      <c r="EI92" s="23">
        <v>0.11509999999999999</v>
      </c>
      <c r="EJ92" s="23">
        <v>0.1134</v>
      </c>
      <c r="EK92" s="23">
        <v>0.1145</v>
      </c>
      <c r="EL92" s="23">
        <v>0.1087</v>
      </c>
      <c r="EM92" s="23">
        <v>0.109</v>
      </c>
      <c r="EN92" s="23">
        <v>0.1103</v>
      </c>
      <c r="EO92" s="23">
        <v>0.12039999999999999</v>
      </c>
      <c r="EP92" s="23">
        <v>0.1225</v>
      </c>
      <c r="EQ92" s="23">
        <v>0.1255</v>
      </c>
      <c r="ER92" s="23">
        <v>0.1313</v>
      </c>
      <c r="ES92" s="23">
        <v>0.1366</v>
      </c>
      <c r="ET92" s="23">
        <v>0.13189999999999999</v>
      </c>
      <c r="EU92" s="23">
        <v>0.1298</v>
      </c>
      <c r="EV92" s="23">
        <v>0.14269999999999999</v>
      </c>
      <c r="EW92" s="23">
        <v>0.15670000000000001</v>
      </c>
      <c r="EX92" s="23">
        <v>0.15509999999999999</v>
      </c>
      <c r="EY92" s="23">
        <v>0.1555</v>
      </c>
      <c r="EZ92" s="23">
        <v>0.15</v>
      </c>
      <c r="FA92" s="23">
        <v>0.16</v>
      </c>
      <c r="FB92" s="23">
        <v>0.18</v>
      </c>
      <c r="FC92" s="23">
        <v>0.14000000000000001</v>
      </c>
      <c r="FD92" s="23">
        <v>0.11</v>
      </c>
      <c r="FE92" s="23">
        <v>0.13</v>
      </c>
      <c r="FF92" s="23">
        <v>0.15</v>
      </c>
      <c r="FG92" s="23">
        <v>0.15</v>
      </c>
      <c r="FH92" s="23">
        <v>0.14000000000000001</v>
      </c>
      <c r="FI92" s="23">
        <v>0.14000000000000001</v>
      </c>
      <c r="FJ92" s="23">
        <v>0.13</v>
      </c>
      <c r="FK92" s="23">
        <v>0.13</v>
      </c>
      <c r="FL92" s="23">
        <v>0.13</v>
      </c>
      <c r="FM92" s="23">
        <v>0.13</v>
      </c>
      <c r="FN92" s="23">
        <v>0.12</v>
      </c>
      <c r="FO92" s="23"/>
      <c r="FP92" s="23"/>
      <c r="FQ92" s="23"/>
      <c r="FR92" s="23"/>
    </row>
    <row r="94" spans="1:174">
      <c r="A94" t="s">
        <v>68</v>
      </c>
    </row>
    <row r="95" spans="1:174">
      <c r="A95" t="s">
        <v>181</v>
      </c>
      <c r="B95" t="s">
        <v>182</v>
      </c>
      <c r="C95" s="10">
        <v>18500</v>
      </c>
      <c r="D95" s="10">
        <v>3026</v>
      </c>
      <c r="E95" s="10">
        <v>2280</v>
      </c>
      <c r="F95" s="10">
        <v>2982</v>
      </c>
      <c r="G95" s="10">
        <v>3763</v>
      </c>
      <c r="H95" s="10">
        <v>7391</v>
      </c>
      <c r="I95" s="10">
        <v>4813</v>
      </c>
      <c r="J95" s="10">
        <v>11998</v>
      </c>
      <c r="K95" s="10">
        <v>4068</v>
      </c>
      <c r="L95" s="10">
        <v>7143</v>
      </c>
      <c r="M95" s="10">
        <v>5388</v>
      </c>
      <c r="N95" s="10">
        <v>2996</v>
      </c>
      <c r="O95" s="10">
        <v>5356</v>
      </c>
      <c r="P95" s="10">
        <v>7465</v>
      </c>
      <c r="Q95" s="10">
        <v>6598</v>
      </c>
      <c r="R95" s="10">
        <v>2663</v>
      </c>
      <c r="S95" s="10">
        <v>7222</v>
      </c>
      <c r="T95" s="10">
        <v>18180</v>
      </c>
      <c r="U95" s="10">
        <v>20706</v>
      </c>
      <c r="V95" s="10">
        <v>6130</v>
      </c>
      <c r="W95" s="10">
        <v>6145</v>
      </c>
      <c r="X95" s="10">
        <v>6615</v>
      </c>
      <c r="Y95" s="10">
        <v>7268</v>
      </c>
      <c r="Z95" s="10">
        <v>2784</v>
      </c>
      <c r="AA95" s="10">
        <v>909</v>
      </c>
      <c r="AB95" s="10">
        <v>4054</v>
      </c>
      <c r="AC95" s="10">
        <v>5636</v>
      </c>
      <c r="AD95" s="10">
        <v>3809</v>
      </c>
      <c r="AE95" s="10">
        <v>2457</v>
      </c>
      <c r="AF95" s="10">
        <v>1986</v>
      </c>
      <c r="AG95" s="10">
        <v>11719</v>
      </c>
      <c r="AH95" s="10">
        <v>10544</v>
      </c>
      <c r="AI95" s="10">
        <v>9057</v>
      </c>
      <c r="AJ95" s="10">
        <v>8421</v>
      </c>
      <c r="AK95" s="10">
        <v>4400</v>
      </c>
      <c r="AL95" s="10">
        <v>6939</v>
      </c>
      <c r="AM95" s="10">
        <v>1832</v>
      </c>
      <c r="AN95" s="10">
        <v>2321</v>
      </c>
      <c r="AO95" s="10">
        <v>4020</v>
      </c>
      <c r="AP95" s="10">
        <v>1424</v>
      </c>
      <c r="AQ95" s="10">
        <v>5732</v>
      </c>
      <c r="AR95" s="10">
        <v>4665</v>
      </c>
      <c r="AS95" s="10">
        <v>10059</v>
      </c>
      <c r="AT95" s="10">
        <v>18096</v>
      </c>
      <c r="AU95" s="10">
        <v>34881</v>
      </c>
      <c r="AV95" s="10">
        <v>23542</v>
      </c>
      <c r="AW95" s="10">
        <v>16918</v>
      </c>
      <c r="AX95" s="10">
        <v>19693</v>
      </c>
      <c r="AY95" s="10">
        <v>3321</v>
      </c>
      <c r="AZ95" s="10">
        <v>9100</v>
      </c>
      <c r="BA95" s="10">
        <v>9986</v>
      </c>
      <c r="BB95" s="10">
        <v>3906</v>
      </c>
      <c r="BC95" s="10">
        <v>2704</v>
      </c>
      <c r="BD95" s="10">
        <v>4302</v>
      </c>
      <c r="BE95" s="10">
        <v>2371</v>
      </c>
      <c r="BF95" s="10">
        <v>7939</v>
      </c>
      <c r="BG95" s="10">
        <v>13948</v>
      </c>
      <c r="BH95" s="10">
        <v>4982</v>
      </c>
      <c r="BI95" s="10">
        <v>1783</v>
      </c>
      <c r="BJ95" s="10">
        <v>3100</v>
      </c>
      <c r="BK95" s="10">
        <v>2924</v>
      </c>
      <c r="BL95" s="10">
        <v>1389</v>
      </c>
      <c r="BM95" s="10">
        <v>2643</v>
      </c>
      <c r="BN95" s="10">
        <v>1660</v>
      </c>
      <c r="BO95" s="10">
        <v>1457</v>
      </c>
      <c r="BP95" s="10">
        <v>5862</v>
      </c>
      <c r="BQ95" s="10">
        <v>3210</v>
      </c>
      <c r="BR95" s="10">
        <v>5653</v>
      </c>
      <c r="BS95" s="10">
        <v>539</v>
      </c>
      <c r="BT95" s="10">
        <v>1062</v>
      </c>
      <c r="BU95" s="10">
        <v>239</v>
      </c>
      <c r="BV95" s="10">
        <v>1146</v>
      </c>
      <c r="BW95" s="10">
        <v>5098</v>
      </c>
      <c r="BX95" s="10">
        <v>291</v>
      </c>
      <c r="BY95" s="10">
        <v>1008</v>
      </c>
      <c r="BZ95" s="10">
        <v>1080</v>
      </c>
      <c r="CA95" s="10">
        <v>585</v>
      </c>
      <c r="CB95" s="10">
        <v>1391</v>
      </c>
      <c r="CC95" s="10">
        <v>1611</v>
      </c>
      <c r="CD95" s="10">
        <v>944</v>
      </c>
      <c r="CE95" s="10">
        <v>311</v>
      </c>
      <c r="CF95" s="10">
        <v>953</v>
      </c>
      <c r="CG95" s="10">
        <v>1594</v>
      </c>
      <c r="CH95" s="10">
        <v>738</v>
      </c>
      <c r="CI95" s="10">
        <v>4638</v>
      </c>
      <c r="CJ95" s="10">
        <v>1080</v>
      </c>
      <c r="CK95" s="10">
        <v>1825</v>
      </c>
      <c r="CL95" s="10">
        <v>673</v>
      </c>
      <c r="CM95" s="10">
        <v>2039</v>
      </c>
      <c r="CN95" s="10">
        <v>146</v>
      </c>
      <c r="CO95" s="10">
        <v>443</v>
      </c>
      <c r="CP95" s="10">
        <v>1561</v>
      </c>
      <c r="CQ95" s="10">
        <v>1154</v>
      </c>
      <c r="CR95" s="10">
        <v>1942</v>
      </c>
      <c r="CS95" s="10">
        <v>437</v>
      </c>
      <c r="CT95" s="10">
        <v>1022</v>
      </c>
      <c r="CU95" s="10">
        <v>571</v>
      </c>
      <c r="CV95" s="10">
        <v>1265</v>
      </c>
      <c r="CW95" s="10">
        <v>805</v>
      </c>
      <c r="CX95" s="10">
        <v>1078</v>
      </c>
      <c r="CY95" s="10">
        <v>1478</v>
      </c>
      <c r="CZ95" s="10">
        <v>703</v>
      </c>
      <c r="DA95" s="10">
        <v>3345</v>
      </c>
      <c r="DB95" s="10">
        <v>4926</v>
      </c>
      <c r="DC95" s="10">
        <v>12301</v>
      </c>
      <c r="DD95" s="10">
        <v>2929</v>
      </c>
      <c r="DE95" s="10">
        <v>5475</v>
      </c>
      <c r="DF95" s="10">
        <v>19824</v>
      </c>
      <c r="DG95" s="10">
        <v>18113</v>
      </c>
      <c r="DH95" s="10">
        <v>9491</v>
      </c>
      <c r="DI95" s="10">
        <v>7037</v>
      </c>
      <c r="DJ95" s="10">
        <v>1082</v>
      </c>
      <c r="DK95" s="10">
        <v>296</v>
      </c>
      <c r="DL95" s="10">
        <v>5</v>
      </c>
      <c r="DM95" s="10">
        <v>2841</v>
      </c>
      <c r="DN95" s="10">
        <v>7550</v>
      </c>
      <c r="DO95" s="10">
        <v>5910</v>
      </c>
      <c r="DP95" s="10">
        <v>8966</v>
      </c>
      <c r="DQ95" s="10">
        <v>6918</v>
      </c>
      <c r="DR95" s="10">
        <v>4955</v>
      </c>
      <c r="DS95" s="10">
        <v>1431</v>
      </c>
      <c r="DT95" s="10">
        <v>5512</v>
      </c>
      <c r="DU95" s="10">
        <v>3626</v>
      </c>
      <c r="DV95" s="10">
        <v>5711</v>
      </c>
      <c r="DW95" s="10">
        <v>6043</v>
      </c>
      <c r="DX95" s="10">
        <v>4918</v>
      </c>
      <c r="DY95" s="10">
        <v>4544</v>
      </c>
      <c r="DZ95" s="10">
        <v>8115</v>
      </c>
      <c r="EA95" s="10">
        <v>7470</v>
      </c>
      <c r="EB95" s="10">
        <v>8594</v>
      </c>
      <c r="EC95" s="10">
        <v>5436</v>
      </c>
      <c r="ED95" s="10">
        <v>1604</v>
      </c>
      <c r="EE95" s="10">
        <v>860</v>
      </c>
      <c r="EF95" s="10">
        <v>4746</v>
      </c>
      <c r="EG95" s="10">
        <v>14527</v>
      </c>
      <c r="EH95" s="10">
        <v>18433</v>
      </c>
      <c r="EI95" s="10">
        <v>15882</v>
      </c>
      <c r="EJ95" s="10">
        <v>13880</v>
      </c>
      <c r="EK95" s="10">
        <v>7813</v>
      </c>
      <c r="EL95" s="10">
        <v>14143</v>
      </c>
      <c r="EM95" s="10">
        <v>17013</v>
      </c>
      <c r="EN95" s="10">
        <v>6190</v>
      </c>
      <c r="EO95" s="10">
        <v>7348</v>
      </c>
      <c r="EP95" s="10">
        <v>6688</v>
      </c>
      <c r="EQ95" s="10">
        <v>8282</v>
      </c>
      <c r="ER95" s="10">
        <v>13347</v>
      </c>
      <c r="ES95" s="10">
        <v>6303</v>
      </c>
      <c r="ET95" s="10">
        <v>12644</v>
      </c>
      <c r="EU95" s="10">
        <v>4353</v>
      </c>
      <c r="EV95" s="10">
        <v>5635</v>
      </c>
      <c r="EW95" s="10">
        <v>4672</v>
      </c>
      <c r="EX95" s="10">
        <v>9579</v>
      </c>
      <c r="EY95" s="10">
        <v>10960</v>
      </c>
      <c r="EZ95" s="10">
        <v>19295</v>
      </c>
      <c r="FA95" s="10">
        <v>27073</v>
      </c>
      <c r="FB95" s="10">
        <v>14490</v>
      </c>
      <c r="FC95" s="10">
        <v>18759</v>
      </c>
      <c r="FD95" s="10">
        <v>7813</v>
      </c>
      <c r="FE95" s="10">
        <v>15611</v>
      </c>
      <c r="FF95" s="10">
        <v>29886</v>
      </c>
      <c r="FG95" s="10">
        <v>47398</v>
      </c>
      <c r="FH95" s="10">
        <v>39796</v>
      </c>
      <c r="FI95" s="10">
        <v>25060</v>
      </c>
      <c r="FJ95" s="10">
        <v>37490</v>
      </c>
      <c r="FK95" s="10">
        <v>34781</v>
      </c>
      <c r="FL95" s="10">
        <v>37390</v>
      </c>
      <c r="FM95" s="10">
        <v>31206</v>
      </c>
      <c r="FN95" s="10">
        <v>21742</v>
      </c>
      <c r="FO95" s="10"/>
      <c r="FP95" s="10"/>
      <c r="FQ95" s="10"/>
      <c r="FR95" s="10"/>
    </row>
    <row r="96" spans="1:174">
      <c r="A96" t="s">
        <v>183</v>
      </c>
      <c r="B96" s="26" t="s">
        <v>67</v>
      </c>
      <c r="C96" s="10">
        <v>1701915</v>
      </c>
      <c r="D96" s="10">
        <v>278831</v>
      </c>
      <c r="E96" s="10">
        <v>206272</v>
      </c>
      <c r="F96" s="10">
        <v>270804</v>
      </c>
      <c r="G96" s="10">
        <v>338539</v>
      </c>
      <c r="H96" s="10">
        <v>679506</v>
      </c>
      <c r="I96" s="10">
        <v>472224</v>
      </c>
      <c r="J96" s="10">
        <v>1182069</v>
      </c>
      <c r="K96" s="10">
        <v>409683</v>
      </c>
      <c r="L96" s="10">
        <v>713642</v>
      </c>
      <c r="M96" s="10">
        <v>527979</v>
      </c>
      <c r="N96" s="10">
        <v>297956</v>
      </c>
      <c r="O96" s="10">
        <v>509288</v>
      </c>
      <c r="P96" s="10">
        <v>694960</v>
      </c>
      <c r="Q96" s="10">
        <v>603286</v>
      </c>
      <c r="R96" s="10">
        <v>244608</v>
      </c>
      <c r="S96" s="10">
        <v>664865</v>
      </c>
      <c r="T96" s="10">
        <v>1665586</v>
      </c>
      <c r="U96" s="10">
        <v>1979570</v>
      </c>
      <c r="V96" s="10">
        <v>613952</v>
      </c>
      <c r="W96" s="10">
        <v>617814</v>
      </c>
      <c r="X96" s="10">
        <v>660328</v>
      </c>
      <c r="Y96" s="10">
        <v>738739</v>
      </c>
      <c r="Z96" s="10">
        <v>299727</v>
      </c>
      <c r="AA96" s="10">
        <v>107702</v>
      </c>
      <c r="AB96" s="10">
        <v>440866</v>
      </c>
      <c r="AC96" s="10">
        <v>617026</v>
      </c>
      <c r="AD96" s="10">
        <v>442031</v>
      </c>
      <c r="AE96" s="10">
        <v>281280</v>
      </c>
      <c r="AF96" s="10">
        <v>259330</v>
      </c>
      <c r="AG96" s="10">
        <v>1374328</v>
      </c>
      <c r="AH96" s="10">
        <v>1277540</v>
      </c>
      <c r="AI96" s="10">
        <v>1110076</v>
      </c>
      <c r="AJ96" s="10">
        <v>1150880</v>
      </c>
      <c r="AK96" s="10">
        <v>589572</v>
      </c>
      <c r="AL96" s="10">
        <v>912301</v>
      </c>
      <c r="AM96" s="10">
        <v>237339</v>
      </c>
      <c r="AN96" s="10">
        <v>245290</v>
      </c>
      <c r="AO96" s="10">
        <v>417659</v>
      </c>
      <c r="AP96" s="10">
        <v>138936</v>
      </c>
      <c r="AQ96" s="10">
        <v>543244</v>
      </c>
      <c r="AR96" s="10">
        <v>433397</v>
      </c>
      <c r="AS96" s="10">
        <v>949181</v>
      </c>
      <c r="AT96" s="10">
        <v>1353742</v>
      </c>
      <c r="AU96" s="10">
        <v>2858779</v>
      </c>
      <c r="AV96" s="10">
        <v>1969056</v>
      </c>
      <c r="AW96" s="10">
        <v>1474685</v>
      </c>
      <c r="AX96" s="10">
        <v>2238850</v>
      </c>
      <c r="AY96" s="10">
        <v>317342</v>
      </c>
      <c r="AZ96" s="10">
        <v>785661</v>
      </c>
      <c r="BA96" s="10">
        <v>874424</v>
      </c>
      <c r="BB96" s="10">
        <v>370770</v>
      </c>
      <c r="BC96" s="10">
        <v>270514</v>
      </c>
      <c r="BD96" s="10">
        <v>433233</v>
      </c>
      <c r="BE96" s="10">
        <v>235194</v>
      </c>
      <c r="BF96" s="10">
        <v>766565</v>
      </c>
      <c r="BG96" s="10">
        <v>1319258</v>
      </c>
      <c r="BH96" s="10">
        <v>470056</v>
      </c>
      <c r="BI96" s="10">
        <v>207540</v>
      </c>
      <c r="BJ96" s="10">
        <v>307161</v>
      </c>
      <c r="BK96" s="10">
        <v>304453</v>
      </c>
      <c r="BL96" s="10">
        <v>146845</v>
      </c>
      <c r="BM96" s="10">
        <v>282080</v>
      </c>
      <c r="BN96" s="10">
        <v>187232</v>
      </c>
      <c r="BO96" s="10">
        <v>164630</v>
      </c>
      <c r="BP96" s="10">
        <v>662904</v>
      </c>
      <c r="BQ96" s="10">
        <v>362524</v>
      </c>
      <c r="BR96" s="10">
        <v>637816</v>
      </c>
      <c r="BS96" s="10">
        <v>64845</v>
      </c>
      <c r="BT96" s="10">
        <v>128334</v>
      </c>
      <c r="BU96" s="10">
        <v>30122</v>
      </c>
      <c r="BV96" s="10">
        <v>144420</v>
      </c>
      <c r="BW96" s="10">
        <v>642184</v>
      </c>
      <c r="BX96" s="10">
        <v>36685</v>
      </c>
      <c r="BY96" s="10">
        <v>130315</v>
      </c>
      <c r="BZ96" s="10">
        <v>139735</v>
      </c>
      <c r="CA96" s="10">
        <v>75627</v>
      </c>
      <c r="CB96" s="10">
        <v>180802</v>
      </c>
      <c r="CC96" s="10">
        <v>213277</v>
      </c>
      <c r="CD96" s="10">
        <v>121487</v>
      </c>
      <c r="CE96" s="10">
        <v>40168</v>
      </c>
      <c r="CF96" s="10">
        <v>122802</v>
      </c>
      <c r="CG96" s="10">
        <v>205176</v>
      </c>
      <c r="CH96" s="10">
        <v>94777</v>
      </c>
      <c r="CI96" s="10">
        <v>605782</v>
      </c>
      <c r="CJ96" s="10">
        <v>141816</v>
      </c>
      <c r="CK96" s="10">
        <v>241347</v>
      </c>
      <c r="CL96" s="10">
        <v>89058</v>
      </c>
      <c r="CM96" s="10">
        <v>269793</v>
      </c>
      <c r="CN96" s="10">
        <v>19318</v>
      </c>
      <c r="CO96" s="10">
        <v>58616</v>
      </c>
      <c r="CP96" s="10">
        <v>205748</v>
      </c>
      <c r="CQ96" s="10">
        <v>154227</v>
      </c>
      <c r="CR96" s="10">
        <v>259393</v>
      </c>
      <c r="CS96" s="10">
        <v>58915</v>
      </c>
      <c r="CT96" s="10">
        <v>137763</v>
      </c>
      <c r="CU96" s="10">
        <v>76982</v>
      </c>
      <c r="CV96" s="10">
        <v>170552</v>
      </c>
      <c r="CW96" s="10">
        <v>108533</v>
      </c>
      <c r="CX96" s="10">
        <v>145339</v>
      </c>
      <c r="CY96" s="10">
        <v>200193</v>
      </c>
      <c r="CZ96" s="10">
        <v>95436</v>
      </c>
      <c r="DA96" s="10">
        <v>454103</v>
      </c>
      <c r="DB96" s="10">
        <v>663053</v>
      </c>
      <c r="DC96" s="10">
        <v>1694273</v>
      </c>
      <c r="DD96" s="10">
        <v>385204</v>
      </c>
      <c r="DE96" s="10">
        <v>731731</v>
      </c>
      <c r="DF96" s="10">
        <v>2654663</v>
      </c>
      <c r="DG96" s="10">
        <v>2284558</v>
      </c>
      <c r="DH96" s="10">
        <v>846829</v>
      </c>
      <c r="DI96" s="10">
        <v>568124</v>
      </c>
      <c r="DJ96" s="10">
        <v>82234</v>
      </c>
      <c r="DK96" s="10">
        <v>24215</v>
      </c>
      <c r="DL96" s="10">
        <v>412</v>
      </c>
      <c r="DM96" s="10">
        <v>233354</v>
      </c>
      <c r="DN96" s="10">
        <v>616380</v>
      </c>
      <c r="DO96" s="10">
        <v>482837</v>
      </c>
      <c r="DP96" s="10">
        <v>703996</v>
      </c>
      <c r="DQ96" s="10">
        <v>526202</v>
      </c>
      <c r="DR96" s="10">
        <v>372800</v>
      </c>
      <c r="DS96" s="10">
        <v>103243</v>
      </c>
      <c r="DT96" s="10">
        <v>402671</v>
      </c>
      <c r="DU96" s="10">
        <v>265883</v>
      </c>
      <c r="DV96" s="10">
        <v>362234</v>
      </c>
      <c r="DW96" s="10">
        <v>375805</v>
      </c>
      <c r="DX96" s="10">
        <v>298039</v>
      </c>
      <c r="DY96" s="10">
        <v>274763</v>
      </c>
      <c r="DZ96" s="10">
        <v>528492</v>
      </c>
      <c r="EA96" s="10">
        <v>490892</v>
      </c>
      <c r="EB96" s="10">
        <v>557120</v>
      </c>
      <c r="EC96" s="10">
        <v>360896</v>
      </c>
      <c r="ED96" s="10">
        <v>109731</v>
      </c>
      <c r="EE96" s="10">
        <v>59702</v>
      </c>
      <c r="EF96" s="10">
        <v>328969</v>
      </c>
      <c r="EG96" s="10">
        <v>1010206</v>
      </c>
      <c r="EH96" s="10">
        <v>1314824</v>
      </c>
      <c r="EI96" s="10">
        <v>1075507</v>
      </c>
      <c r="EJ96" s="10">
        <v>970375</v>
      </c>
      <c r="EK96" s="10">
        <v>572428</v>
      </c>
      <c r="EL96" s="10">
        <v>984651</v>
      </c>
      <c r="EM96" s="10">
        <v>1195563</v>
      </c>
      <c r="EN96" s="10">
        <v>467442</v>
      </c>
      <c r="EO96" s="10">
        <v>637743</v>
      </c>
      <c r="EP96" s="10">
        <v>580102</v>
      </c>
      <c r="EQ96" s="10">
        <v>725312</v>
      </c>
      <c r="ER96" s="10">
        <v>1136969</v>
      </c>
      <c r="ES96" s="10">
        <v>615368</v>
      </c>
      <c r="ET96" s="10">
        <v>1205148</v>
      </c>
      <c r="EU96" s="10">
        <v>361681</v>
      </c>
      <c r="EV96" s="10">
        <v>570183</v>
      </c>
      <c r="EW96" s="10">
        <v>479510</v>
      </c>
      <c r="EX96" s="10">
        <v>953390</v>
      </c>
      <c r="EY96" s="10">
        <v>1093008</v>
      </c>
      <c r="EZ96" s="10">
        <v>2029482</v>
      </c>
      <c r="FA96" s="10">
        <v>2894657</v>
      </c>
      <c r="FB96" s="10">
        <v>1510843</v>
      </c>
      <c r="FC96" s="10">
        <v>1746501</v>
      </c>
      <c r="FD96" s="10">
        <v>651586</v>
      </c>
      <c r="FE96" s="10">
        <v>1261164</v>
      </c>
      <c r="FF96" s="10">
        <v>2506167</v>
      </c>
      <c r="FG96" s="10">
        <v>4205564</v>
      </c>
      <c r="FH96" s="10">
        <v>3796794</v>
      </c>
      <c r="FI96" s="10">
        <v>2453354</v>
      </c>
      <c r="FJ96" s="10">
        <v>3576349</v>
      </c>
      <c r="FK96" s="10">
        <v>3171181</v>
      </c>
      <c r="FL96" s="10">
        <v>3357096</v>
      </c>
      <c r="FM96" s="10">
        <v>2794561</v>
      </c>
      <c r="FN96" s="10">
        <v>1965550</v>
      </c>
      <c r="FO96" s="10"/>
      <c r="FP96" s="10"/>
      <c r="FQ96" s="10"/>
      <c r="FR96" s="10"/>
    </row>
    <row r="97" spans="1:174">
      <c r="A97" t="s">
        <v>66</v>
      </c>
      <c r="B97" t="s">
        <v>67</v>
      </c>
      <c r="C97" s="23">
        <v>91.995000000000005</v>
      </c>
      <c r="D97" s="23">
        <v>92.144999999999996</v>
      </c>
      <c r="E97" s="23">
        <v>90.47</v>
      </c>
      <c r="F97" s="23">
        <v>90.813000000000002</v>
      </c>
      <c r="G97" s="23">
        <v>89.965000000000003</v>
      </c>
      <c r="H97" s="23">
        <v>91.936999999999998</v>
      </c>
      <c r="I97" s="23">
        <v>98.114000000000004</v>
      </c>
      <c r="J97" s="23">
        <v>98.522000000000006</v>
      </c>
      <c r="K97" s="23">
        <v>100.709</v>
      </c>
      <c r="L97" s="23">
        <v>99.908000000000001</v>
      </c>
      <c r="M97" s="23">
        <v>97.992000000000004</v>
      </c>
      <c r="N97" s="23">
        <v>99.450999999999993</v>
      </c>
      <c r="O97" s="22">
        <v>95.087000000000003</v>
      </c>
      <c r="P97" s="22">
        <v>93.096000000000004</v>
      </c>
      <c r="Q97" s="22">
        <v>91.435000000000002</v>
      </c>
      <c r="R97" s="22">
        <v>91.853999999999999</v>
      </c>
      <c r="S97" s="22">
        <v>92.061000000000007</v>
      </c>
      <c r="T97" s="22">
        <v>91.616</v>
      </c>
      <c r="U97" s="22">
        <v>95.603999999999999</v>
      </c>
      <c r="V97" s="22">
        <v>100.155</v>
      </c>
      <c r="W97" s="22">
        <v>100.539</v>
      </c>
      <c r="X97" s="22">
        <v>99.822999999999993</v>
      </c>
      <c r="Y97" s="22">
        <v>101.643</v>
      </c>
      <c r="Z97" s="22">
        <v>107.661</v>
      </c>
      <c r="AA97" s="22">
        <v>118.48404840484048</v>
      </c>
      <c r="AB97" s="22">
        <v>108.74839664528861</v>
      </c>
      <c r="AC97" s="22">
        <v>109.47941802696948</v>
      </c>
      <c r="AD97" s="22">
        <v>116.04909425045943</v>
      </c>
      <c r="AE97" s="22">
        <v>114.48107448107449</v>
      </c>
      <c r="AF97" s="22">
        <v>130.5790533736153</v>
      </c>
      <c r="AG97" s="22">
        <v>117.27348749893335</v>
      </c>
      <c r="AH97" s="22">
        <v>121.16274658573596</v>
      </c>
      <c r="AI97" s="22">
        <v>122.56552942475433</v>
      </c>
      <c r="AJ97" s="22">
        <v>136.66785417408857</v>
      </c>
      <c r="AK97" s="22">
        <v>133.99363636363637</v>
      </c>
      <c r="AL97" s="22">
        <v>131.47441994523706</v>
      </c>
      <c r="AM97" s="22">
        <v>129.5518558951965</v>
      </c>
      <c r="AN97" s="22">
        <v>105.68289530374838</v>
      </c>
      <c r="AO97" s="22">
        <v>103.89527363184079</v>
      </c>
      <c r="AP97" s="22">
        <v>97.567415730337075</v>
      </c>
      <c r="AQ97" s="22">
        <v>94.773900907187723</v>
      </c>
      <c r="AR97" s="22">
        <v>92.903965702036444</v>
      </c>
      <c r="AS97" s="22">
        <v>94.361367929217622</v>
      </c>
      <c r="AT97" s="22">
        <v>74.808908045977006</v>
      </c>
      <c r="AU97" s="22">
        <v>81.958057395143484</v>
      </c>
      <c r="AV97" s="22">
        <v>83.640132529096931</v>
      </c>
      <c r="AW97" s="22">
        <v>87.166627260905543</v>
      </c>
      <c r="AX97" s="22">
        <v>113.68760473264612</v>
      </c>
      <c r="AY97" s="22">
        <v>95.55615778380006</v>
      </c>
      <c r="AZ97" s="22">
        <v>86.336373626373629</v>
      </c>
      <c r="BA97" s="22">
        <v>87.56499098738233</v>
      </c>
      <c r="BB97" s="22">
        <v>94.923195084485414</v>
      </c>
      <c r="BC97" s="22">
        <v>100.04215976331361</v>
      </c>
      <c r="BD97" s="22">
        <v>100.70502092050209</v>
      </c>
      <c r="BE97" s="22">
        <v>99.196119780683262</v>
      </c>
      <c r="BF97" s="22">
        <v>96.556871142461262</v>
      </c>
      <c r="BG97" s="22">
        <v>94.584026383710921</v>
      </c>
      <c r="BH97" s="22">
        <v>94.350863107185873</v>
      </c>
      <c r="BI97" s="22">
        <v>116.39932697700505</v>
      </c>
      <c r="BJ97" s="22">
        <v>99.084193548387091</v>
      </c>
      <c r="BK97" s="22">
        <v>104.12209302325581</v>
      </c>
      <c r="BL97" s="22">
        <v>105.71994240460764</v>
      </c>
      <c r="BM97" s="22">
        <v>106.72720393492244</v>
      </c>
      <c r="BN97" s="22">
        <v>112.79036144578313</v>
      </c>
      <c r="BO97" s="22">
        <v>112.99245024021963</v>
      </c>
      <c r="BP97" s="22">
        <v>113.08495394063459</v>
      </c>
      <c r="BQ97" s="22">
        <v>112.93582554517134</v>
      </c>
      <c r="BR97" s="22">
        <v>112.82787900229967</v>
      </c>
      <c r="BS97" s="22">
        <v>120.30612244897959</v>
      </c>
      <c r="BT97" s="22">
        <v>120.84180790960453</v>
      </c>
      <c r="BU97" s="22">
        <v>126.03347280334728</v>
      </c>
      <c r="BV97" s="22">
        <v>126.02094240837697</v>
      </c>
      <c r="BW97" s="22">
        <v>125.96783052177325</v>
      </c>
      <c r="BX97" s="22">
        <v>126.06529209621993</v>
      </c>
      <c r="BY97" s="22">
        <v>129.28075396825398</v>
      </c>
      <c r="BZ97" s="22">
        <v>129.38425925925927</v>
      </c>
      <c r="CA97" s="22">
        <v>129.27692307692308</v>
      </c>
      <c r="CB97" s="22">
        <v>129.97987059669302</v>
      </c>
      <c r="CC97" s="22">
        <v>132.38795779019242</v>
      </c>
      <c r="CD97" s="22">
        <v>128.69385593220338</v>
      </c>
      <c r="CE97" s="22">
        <v>129.15755627009645</v>
      </c>
      <c r="CF97" s="22">
        <v>128.85834207764952</v>
      </c>
      <c r="CG97" s="22">
        <v>128.71769134253449</v>
      </c>
      <c r="CH97" s="22">
        <v>128.42411924119241</v>
      </c>
      <c r="CI97" s="22">
        <v>130.61276412246659</v>
      </c>
      <c r="CJ97" s="22">
        <v>131.3111111111111</v>
      </c>
      <c r="CK97" s="22">
        <v>132.24493150684933</v>
      </c>
      <c r="CL97" s="22">
        <v>132.3298662704309</v>
      </c>
      <c r="CM97" s="22">
        <v>132.31633153506621</v>
      </c>
      <c r="CN97" s="22">
        <v>132.31506849315068</v>
      </c>
      <c r="CO97" s="22">
        <v>132.31602708803612</v>
      </c>
      <c r="CP97" s="22">
        <v>131.80525304292121</v>
      </c>
      <c r="CQ97" s="22">
        <v>133.64558058925476</v>
      </c>
      <c r="CR97" s="22">
        <v>133.57003089598354</v>
      </c>
      <c r="CS97" s="22">
        <v>134.81693363844394</v>
      </c>
      <c r="CT97" s="22">
        <v>134.79745596868884</v>
      </c>
      <c r="CU97" s="22">
        <v>134.81961471103327</v>
      </c>
      <c r="CV97" s="22">
        <v>134.82371541501976</v>
      </c>
      <c r="CW97" s="22">
        <v>134.82360248447205</v>
      </c>
      <c r="CX97" s="22">
        <v>134.82282003710574</v>
      </c>
      <c r="CY97" s="22">
        <v>135.44857916102842</v>
      </c>
      <c r="CZ97" s="22">
        <v>135.75533428165008</v>
      </c>
      <c r="DA97" s="22">
        <v>135.755754857997</v>
      </c>
      <c r="DB97" s="22">
        <v>134.60272025984571</v>
      </c>
      <c r="DC97" s="22">
        <v>137.73457442484352</v>
      </c>
      <c r="DD97" s="22">
        <v>131.51382724479345</v>
      </c>
      <c r="DE97" s="22">
        <v>133.64949771689498</v>
      </c>
      <c r="DF97" s="22">
        <v>133.91157183212269</v>
      </c>
      <c r="DG97" s="22">
        <v>126.12808480097168</v>
      </c>
      <c r="DH97" s="22">
        <v>89.224423137709408</v>
      </c>
      <c r="DI97" s="22">
        <v>80.733835441239165</v>
      </c>
      <c r="DJ97" s="22">
        <v>76.001848428835487</v>
      </c>
      <c r="DK97" s="22">
        <v>81.807432432432435</v>
      </c>
      <c r="DL97" s="22">
        <v>82.4</v>
      </c>
      <c r="DM97" s="22">
        <v>82.137979584653294</v>
      </c>
      <c r="DN97" s="22">
        <v>81.639735099337742</v>
      </c>
      <c r="DO97" s="22">
        <v>81.69830795262267</v>
      </c>
      <c r="DP97" s="22">
        <v>78.518402855230875</v>
      </c>
      <c r="DQ97" s="22">
        <v>76.062734894478169</v>
      </c>
      <c r="DR97" s="22">
        <v>75.237134207870838</v>
      </c>
      <c r="DS97" s="22">
        <v>72.147449336128588</v>
      </c>
      <c r="DT97" s="22">
        <v>73.053519593613927</v>
      </c>
      <c r="DU97" s="22">
        <v>73.326806398234964</v>
      </c>
      <c r="DV97" s="22">
        <v>63.42742076694099</v>
      </c>
      <c r="DW97" s="22">
        <v>62.188482541783884</v>
      </c>
      <c r="DX97" s="22">
        <v>60.601667344448963</v>
      </c>
      <c r="DY97" s="22">
        <v>60.467209507042256</v>
      </c>
      <c r="DZ97" s="22">
        <v>65.125323475046216</v>
      </c>
      <c r="EA97" s="22">
        <v>65.715127175368139</v>
      </c>
      <c r="EB97" s="22">
        <v>64.826623225506168</v>
      </c>
      <c r="EC97" s="22">
        <v>66.389992641648277</v>
      </c>
      <c r="ED97" s="22">
        <v>68.410847880299258</v>
      </c>
      <c r="EE97" s="22">
        <v>69.420930232558135</v>
      </c>
      <c r="EF97" s="22">
        <v>69.3150021070375</v>
      </c>
      <c r="EG97" s="22">
        <v>69.539891237006955</v>
      </c>
      <c r="EH97" s="22">
        <v>71.329897466500299</v>
      </c>
      <c r="EI97" s="22">
        <v>67.71861226545775</v>
      </c>
      <c r="EJ97" s="22">
        <v>69.911743515850148</v>
      </c>
      <c r="EK97" s="22">
        <v>73.266094969921923</v>
      </c>
      <c r="EL97" s="22">
        <v>69.621084635508737</v>
      </c>
      <c r="EM97" s="22">
        <v>70.273496737788747</v>
      </c>
      <c r="EN97" s="22">
        <v>75.515670436187392</v>
      </c>
      <c r="EO97" s="22">
        <v>86.791371801850843</v>
      </c>
      <c r="EP97" s="22">
        <v>86.737739234449762</v>
      </c>
      <c r="EQ97" s="22">
        <v>87.576913788939876</v>
      </c>
      <c r="ER97" s="22">
        <v>85.185360005993857</v>
      </c>
      <c r="ES97" s="22">
        <v>97.630969379660485</v>
      </c>
      <c r="ET97" s="22">
        <v>95.313824739006648</v>
      </c>
      <c r="EU97" s="22">
        <v>83.087755570870669</v>
      </c>
      <c r="EV97" s="22">
        <v>101.18598047914818</v>
      </c>
      <c r="EW97" s="22">
        <v>102.63484589041096</v>
      </c>
      <c r="EX97" s="22">
        <v>99.529178411107637</v>
      </c>
      <c r="EY97" s="22">
        <v>99.72700729927007</v>
      </c>
      <c r="EZ97" s="22">
        <v>105.18175693184763</v>
      </c>
      <c r="FA97" s="22">
        <v>106.92043733609131</v>
      </c>
      <c r="FB97" s="22">
        <v>104.267977915804</v>
      </c>
      <c r="FC97" s="22">
        <v>93.102031025107948</v>
      </c>
      <c r="FD97" s="22">
        <v>83.397670549084864</v>
      </c>
      <c r="FE97" s="22">
        <v>80.786881045416692</v>
      </c>
      <c r="FF97" s="22">
        <v>83.85755872314796</v>
      </c>
      <c r="FG97" s="22">
        <v>88.728722730916914</v>
      </c>
      <c r="FH97" s="22">
        <v>95.406422756055889</v>
      </c>
      <c r="FI97" s="22">
        <v>97.899201915403026</v>
      </c>
      <c r="FJ97" s="22">
        <v>95.394745265404111</v>
      </c>
      <c r="FK97" s="22">
        <v>91.175670624766397</v>
      </c>
      <c r="FL97" s="22">
        <v>89.785932067397695</v>
      </c>
      <c r="FM97" s="22">
        <v>89.552041274113947</v>
      </c>
      <c r="FN97" s="22">
        <v>90.403366755588266</v>
      </c>
      <c r="FO97" s="22"/>
      <c r="FP97" s="22"/>
      <c r="FQ97" s="22"/>
      <c r="FR97" s="22"/>
    </row>
    <row r="98" spans="1:174">
      <c r="A98" t="s">
        <v>184</v>
      </c>
      <c r="B98" t="s">
        <v>67</v>
      </c>
      <c r="C98" s="23">
        <v>92.32</v>
      </c>
      <c r="D98" s="23">
        <v>88.18</v>
      </c>
      <c r="E98" s="23">
        <v>88.15</v>
      </c>
      <c r="F98" s="23">
        <v>88.15</v>
      </c>
      <c r="G98" s="23">
        <v>89.7</v>
      </c>
      <c r="H98" s="23">
        <v>95.22</v>
      </c>
      <c r="I98" s="23">
        <v>97.79</v>
      </c>
      <c r="J98" s="23">
        <v>97.98</v>
      </c>
      <c r="K98" s="23">
        <v>99.15</v>
      </c>
      <c r="L98" s="23">
        <v>98.04</v>
      </c>
      <c r="M98" s="23">
        <v>98.44</v>
      </c>
      <c r="N98" s="23">
        <v>93.85</v>
      </c>
      <c r="O98" s="22">
        <v>93.88</v>
      </c>
      <c r="P98" s="22">
        <v>91.44</v>
      </c>
      <c r="Q98" s="22">
        <v>90.44</v>
      </c>
      <c r="R98" s="22">
        <v>90.61</v>
      </c>
      <c r="S98" s="22">
        <v>90.61</v>
      </c>
      <c r="T98" s="22">
        <v>94.32</v>
      </c>
      <c r="U98" s="22">
        <v>97.5</v>
      </c>
      <c r="V98" s="22">
        <v>97.98</v>
      </c>
      <c r="W98" s="22">
        <v>99.01</v>
      </c>
      <c r="X98" s="22">
        <v>99.02</v>
      </c>
      <c r="Y98" s="22">
        <v>102.52</v>
      </c>
      <c r="Z98" s="22">
        <v>102.8</v>
      </c>
      <c r="AA98" s="22">
        <v>102.87</v>
      </c>
      <c r="AB98" s="22">
        <v>106.36</v>
      </c>
      <c r="AC98" s="22">
        <v>108.75</v>
      </c>
      <c r="AD98" s="22">
        <v>108.8</v>
      </c>
      <c r="AE98" s="22">
        <v>108.8</v>
      </c>
      <c r="AF98" s="22">
        <v>108.79</v>
      </c>
      <c r="AG98" s="22">
        <v>108.78</v>
      </c>
      <c r="AH98" s="22">
        <v>108.68</v>
      </c>
      <c r="AI98" s="22">
        <v>133.32</v>
      </c>
      <c r="AJ98" s="22">
        <v>134.30000000000001</v>
      </c>
      <c r="AK98" s="22">
        <v>134.74</v>
      </c>
      <c r="AL98" s="22">
        <v>134.75</v>
      </c>
      <c r="AM98" s="22">
        <v>109.95</v>
      </c>
      <c r="AN98" s="22">
        <v>109.62</v>
      </c>
      <c r="AO98" s="22">
        <v>106.9</v>
      </c>
      <c r="AP98" s="22">
        <v>98.15</v>
      </c>
      <c r="AQ98" s="22">
        <v>97.4</v>
      </c>
      <c r="AR98" s="22">
        <v>94.72</v>
      </c>
      <c r="AS98" s="22">
        <v>85.35</v>
      </c>
      <c r="AT98" s="22">
        <v>80.58</v>
      </c>
      <c r="AU98" s="22">
        <v>80.7</v>
      </c>
      <c r="AV98" s="22">
        <v>80.86</v>
      </c>
      <c r="AW98" s="22">
        <v>79.900000000000006</v>
      </c>
      <c r="AX98" s="22">
        <v>86.75</v>
      </c>
      <c r="AY98" s="22">
        <v>86.49</v>
      </c>
      <c r="AZ98" s="22">
        <v>89.59</v>
      </c>
      <c r="BA98" s="22">
        <v>91.24</v>
      </c>
      <c r="BB98" s="22">
        <v>91</v>
      </c>
      <c r="BC98" s="22">
        <v>90.91</v>
      </c>
      <c r="BD98" s="22">
        <v>90.79</v>
      </c>
      <c r="BE98" s="22">
        <v>90.49</v>
      </c>
      <c r="BF98" s="22">
        <v>91.67</v>
      </c>
      <c r="BG98" s="22">
        <v>92.46</v>
      </c>
      <c r="BH98" s="22">
        <v>93.6</v>
      </c>
      <c r="BI98" s="22">
        <v>98.71</v>
      </c>
      <c r="BJ98" s="22">
        <v>103.88</v>
      </c>
      <c r="BK98" s="22">
        <v>105.9</v>
      </c>
      <c r="BL98" s="22">
        <v>106.8</v>
      </c>
      <c r="BM98" s="22">
        <v>112.86</v>
      </c>
      <c r="BN98" s="22">
        <v>112.92</v>
      </c>
      <c r="BO98" s="22">
        <v>112.92</v>
      </c>
      <c r="BP98" s="22">
        <v>112.92</v>
      </c>
      <c r="BQ98" s="22">
        <v>112.88</v>
      </c>
      <c r="BR98" s="22">
        <v>120.62</v>
      </c>
      <c r="BS98" s="22">
        <v>121.08</v>
      </c>
      <c r="BT98" s="22">
        <v>126.23</v>
      </c>
      <c r="BU98" s="22">
        <v>126.29</v>
      </c>
      <c r="BV98" s="22">
        <v>126.29</v>
      </c>
      <c r="BW98" s="22">
        <v>126.31</v>
      </c>
      <c r="BX98" s="22">
        <v>129.43</v>
      </c>
      <c r="BY98" s="22">
        <v>129.47999999999999</v>
      </c>
      <c r="BZ98" s="22">
        <v>129.49</v>
      </c>
      <c r="CA98" s="22">
        <v>129.5</v>
      </c>
      <c r="CB98" s="22">
        <v>132.44</v>
      </c>
      <c r="CC98" s="22">
        <v>128.08000000000001</v>
      </c>
      <c r="CD98" s="22">
        <v>128.27000000000001</v>
      </c>
      <c r="CE98" s="22">
        <v>128.21</v>
      </c>
      <c r="CF98" s="22">
        <v>128.19999999999999</v>
      </c>
      <c r="CG98" s="22">
        <v>128.16999999999999</v>
      </c>
      <c r="CH98" s="22">
        <v>130.4</v>
      </c>
      <c r="CI98" s="22">
        <v>131.1</v>
      </c>
      <c r="CJ98" s="22">
        <v>132.99</v>
      </c>
      <c r="CK98" s="22">
        <v>133.16999999999999</v>
      </c>
      <c r="CL98" s="22">
        <v>133.16999999999999</v>
      </c>
      <c r="CM98" s="22">
        <v>133.19999999999999</v>
      </c>
      <c r="CN98" s="22">
        <v>133.31</v>
      </c>
      <c r="CO98" s="22">
        <v>132.83000000000001</v>
      </c>
      <c r="CP98" s="22">
        <v>133.38999999999999</v>
      </c>
      <c r="CQ98" s="22">
        <v>133.41999999999999</v>
      </c>
      <c r="CR98" s="22">
        <v>134.81</v>
      </c>
      <c r="CS98" s="22">
        <v>134.87</v>
      </c>
      <c r="CT98" s="22">
        <v>134.87</v>
      </c>
      <c r="CU98" s="22">
        <v>134.87</v>
      </c>
      <c r="CV98" s="22">
        <v>134.88</v>
      </c>
      <c r="CW98" s="22">
        <v>134.88</v>
      </c>
      <c r="CX98" s="22">
        <v>135.22</v>
      </c>
      <c r="CY98" s="22">
        <v>135.22</v>
      </c>
      <c r="CZ98" s="22">
        <v>135.21</v>
      </c>
      <c r="DA98" s="22">
        <v>135.19</v>
      </c>
      <c r="DB98" s="22">
        <v>138.9</v>
      </c>
      <c r="DC98" s="22">
        <v>131.56</v>
      </c>
      <c r="DD98" s="22">
        <v>133.91999999999999</v>
      </c>
      <c r="DE98" s="22">
        <v>133.76</v>
      </c>
      <c r="DF98" s="22">
        <v>125.94</v>
      </c>
      <c r="DG98" s="22">
        <v>89.16</v>
      </c>
      <c r="DH98" s="22">
        <v>80.55</v>
      </c>
      <c r="DI98" s="22">
        <v>79.77</v>
      </c>
      <c r="DJ98" s="22">
        <v>81.33</v>
      </c>
      <c r="DK98" s="22">
        <v>81.2</v>
      </c>
      <c r="DL98" s="22">
        <v>81.180000000000007</v>
      </c>
      <c r="DM98" s="22">
        <v>81.180000000000007</v>
      </c>
      <c r="DN98" s="22">
        <v>81.06</v>
      </c>
      <c r="DO98" s="22">
        <v>79.75</v>
      </c>
      <c r="DP98" s="22">
        <v>76.19</v>
      </c>
      <c r="DQ98" s="22">
        <v>75.150000000000006</v>
      </c>
      <c r="DR98" s="22">
        <v>72.87</v>
      </c>
      <c r="DS98" s="22">
        <v>72.97</v>
      </c>
      <c r="DT98" s="22">
        <v>72.97</v>
      </c>
      <c r="DU98" s="22">
        <v>63.39</v>
      </c>
      <c r="DV98" s="22">
        <v>62.43</v>
      </c>
      <c r="DW98" s="22">
        <v>60.5</v>
      </c>
      <c r="DX98" s="22">
        <v>60.31</v>
      </c>
      <c r="DY98" s="22">
        <v>65.260000000000005</v>
      </c>
      <c r="DZ98" s="22">
        <v>65.73</v>
      </c>
      <c r="EA98" s="22">
        <v>64.73</v>
      </c>
      <c r="EB98" s="22">
        <v>66.55</v>
      </c>
      <c r="EC98" s="22">
        <v>68.75</v>
      </c>
      <c r="ED98" s="22">
        <v>69.569999999999993</v>
      </c>
      <c r="EE98" s="22">
        <v>69.239999999999995</v>
      </c>
      <c r="EF98" s="22">
        <v>69.2</v>
      </c>
      <c r="EG98" s="22">
        <v>70.98</v>
      </c>
      <c r="EH98" s="22">
        <v>67.53</v>
      </c>
      <c r="EI98" s="22">
        <v>71.680000000000007</v>
      </c>
      <c r="EJ98" s="22">
        <v>74.099999999999994</v>
      </c>
      <c r="EK98" s="22">
        <v>72.25</v>
      </c>
      <c r="EL98" s="22">
        <v>71.59</v>
      </c>
      <c r="EM98" s="22">
        <v>77.400000000000006</v>
      </c>
      <c r="EN98" s="22">
        <v>86.84</v>
      </c>
      <c r="EO98" s="22">
        <v>87.27</v>
      </c>
      <c r="EP98" s="22">
        <v>88.61</v>
      </c>
      <c r="EQ98" s="22">
        <v>85.83</v>
      </c>
      <c r="ER98" s="22">
        <v>97.62</v>
      </c>
      <c r="ES98" s="22">
        <v>88.96</v>
      </c>
      <c r="ET98" s="22">
        <v>104.16</v>
      </c>
      <c r="EU98" s="22">
        <v>103.16</v>
      </c>
      <c r="EV98" s="22">
        <v>106.02</v>
      </c>
      <c r="EW98" s="22">
        <v>103.15</v>
      </c>
      <c r="EX98" s="22">
        <v>104.04</v>
      </c>
      <c r="EY98" s="22">
        <v>101.79</v>
      </c>
      <c r="EZ98" s="22">
        <v>103.29</v>
      </c>
      <c r="FA98" s="22">
        <v>84.85</v>
      </c>
      <c r="FB98" s="22">
        <v>94.68</v>
      </c>
      <c r="FC98" s="22">
        <v>88.22</v>
      </c>
      <c r="FD98" s="22">
        <v>86.9</v>
      </c>
      <c r="FE98" s="22">
        <v>87.4</v>
      </c>
      <c r="FF98" s="22">
        <v>93.21</v>
      </c>
      <c r="FG98" s="22">
        <v>95.18</v>
      </c>
      <c r="FH98" s="22">
        <v>95.89</v>
      </c>
      <c r="FI98" s="22">
        <v>94.6</v>
      </c>
      <c r="FJ98" s="22">
        <v>89.7</v>
      </c>
      <c r="FK98" s="22">
        <v>88.18</v>
      </c>
      <c r="FL98" s="22">
        <v>87.76</v>
      </c>
      <c r="FM98" s="22">
        <v>88.1</v>
      </c>
      <c r="FN98" s="22">
        <v>86.3</v>
      </c>
      <c r="FO98" s="22"/>
      <c r="FP98" s="22"/>
      <c r="FQ98" s="22"/>
      <c r="FR98" s="22"/>
    </row>
    <row r="99" spans="1:174">
      <c r="A99" t="s">
        <v>185</v>
      </c>
      <c r="B99" t="s">
        <v>186</v>
      </c>
      <c r="C99" s="23">
        <v>0.29849999999999999</v>
      </c>
      <c r="D99" s="23">
        <v>0.29509999999999997</v>
      </c>
      <c r="E99" s="23">
        <v>0.28120000000000001</v>
      </c>
      <c r="F99" s="23">
        <v>0.30149999999999999</v>
      </c>
      <c r="G99" s="23">
        <v>0.2651</v>
      </c>
      <c r="H99" s="23">
        <v>0.27750000000000002</v>
      </c>
      <c r="I99" s="23">
        <v>0.317</v>
      </c>
      <c r="J99" s="23">
        <v>0.35880000000000001</v>
      </c>
      <c r="K99" s="23">
        <v>0.4405</v>
      </c>
      <c r="L99" s="23">
        <v>0.36399999999999999</v>
      </c>
      <c r="M99" s="23">
        <v>0.50429999999999997</v>
      </c>
      <c r="N99" s="23">
        <v>0.3952</v>
      </c>
      <c r="O99" s="23">
        <v>0.47010000000000002</v>
      </c>
      <c r="P99" s="23">
        <v>0.37719999999999998</v>
      </c>
      <c r="Q99" s="23">
        <v>0.45519999999999999</v>
      </c>
      <c r="R99" s="23">
        <v>0.35830000000000001</v>
      </c>
      <c r="S99" s="23">
        <v>0.41720000000000002</v>
      </c>
      <c r="T99" s="23">
        <v>0.47420000000000001</v>
      </c>
      <c r="U99" s="23">
        <v>0.41060000000000002</v>
      </c>
      <c r="V99" s="23">
        <v>0.36230000000000001</v>
      </c>
      <c r="W99" s="23">
        <v>0.36480000000000001</v>
      </c>
      <c r="X99" s="23">
        <v>0.318</v>
      </c>
      <c r="Y99" s="23">
        <v>0.41449999999999998</v>
      </c>
      <c r="Z99" s="23">
        <v>0.59150000000000003</v>
      </c>
      <c r="AA99" s="23">
        <v>0.36580000000000001</v>
      </c>
      <c r="AB99" s="23">
        <v>0.3332</v>
      </c>
      <c r="AC99" s="23">
        <v>0.35870000000000002</v>
      </c>
      <c r="AD99" s="23">
        <v>0.45760000000000001</v>
      </c>
      <c r="AE99" s="23">
        <v>0.41889999999999999</v>
      </c>
      <c r="AF99" s="23">
        <v>0.3337</v>
      </c>
      <c r="AG99" s="23">
        <v>0.27250000000000002</v>
      </c>
      <c r="AH99" s="23">
        <v>0.28110000000000002</v>
      </c>
      <c r="AI99" s="23">
        <v>0.31319999999999998</v>
      </c>
      <c r="AJ99" s="23">
        <v>0.3528</v>
      </c>
      <c r="AK99" s="23">
        <v>0.40749999999999997</v>
      </c>
      <c r="AL99" s="23">
        <v>0.42849999999999999</v>
      </c>
      <c r="AM99" s="23">
        <v>0.47070000000000001</v>
      </c>
      <c r="AN99" s="23">
        <v>0.45839999999999997</v>
      </c>
      <c r="AO99" s="23">
        <v>0.4929</v>
      </c>
      <c r="AP99" s="23">
        <v>0.42130000000000001</v>
      </c>
      <c r="AQ99" s="23">
        <v>0.47789999999999999</v>
      </c>
      <c r="AR99" s="23">
        <v>0.36209999999999998</v>
      </c>
      <c r="AS99" s="23">
        <v>0.41010000000000002</v>
      </c>
      <c r="AT99" s="23">
        <v>0.21820000000000001</v>
      </c>
      <c r="AU99" s="23">
        <v>0.21590000000000001</v>
      </c>
      <c r="AV99" s="23">
        <v>0.24959999999999999</v>
      </c>
      <c r="AW99" s="23">
        <v>0.2253</v>
      </c>
      <c r="AX99" s="23">
        <v>0.30559999999999998</v>
      </c>
      <c r="AY99" s="23">
        <v>0.47670000000000001</v>
      </c>
      <c r="AZ99" s="23">
        <v>0.2402</v>
      </c>
      <c r="BA99" s="23">
        <v>0.2384</v>
      </c>
      <c r="BB99" s="23">
        <v>0.3412</v>
      </c>
      <c r="BC99" s="23">
        <v>0.7913</v>
      </c>
      <c r="BD99" s="23">
        <v>0.50990000000000002</v>
      </c>
      <c r="BE99" s="23">
        <v>1.2995000000000001</v>
      </c>
      <c r="BF99" s="23">
        <v>0.4899</v>
      </c>
      <c r="BG99" s="23">
        <v>0.30940000000000001</v>
      </c>
      <c r="BH99" s="23">
        <v>0.42549999999999999</v>
      </c>
      <c r="BI99" s="23">
        <v>0.68210000000000004</v>
      </c>
      <c r="BJ99" s="23">
        <v>0.46739999999999998</v>
      </c>
      <c r="BK99" s="23">
        <v>0.5363</v>
      </c>
      <c r="BL99" s="23">
        <v>0.49490000000000001</v>
      </c>
      <c r="BM99" s="23">
        <v>0.42559999999999998</v>
      </c>
      <c r="BN99" s="23">
        <v>0.42830000000000001</v>
      </c>
      <c r="BO99" s="23">
        <v>0.36049999999999999</v>
      </c>
      <c r="BP99" s="23">
        <v>0.28989999999999999</v>
      </c>
      <c r="BQ99" s="23">
        <v>0.38080000000000003</v>
      </c>
      <c r="BR99" s="23">
        <v>0.26790000000000003</v>
      </c>
      <c r="BS99" s="23">
        <v>0.45319999999999999</v>
      </c>
      <c r="BT99" s="23">
        <v>0.435</v>
      </c>
      <c r="BU99" s="23">
        <v>1.5403</v>
      </c>
      <c r="BV99" s="23">
        <v>0.46239999999999998</v>
      </c>
      <c r="BW99" s="23">
        <v>0.34870000000000001</v>
      </c>
      <c r="BX99" s="23">
        <v>1.1378999999999999</v>
      </c>
      <c r="BY99" s="23">
        <v>0.46110000000000001</v>
      </c>
      <c r="BZ99" s="23">
        <v>0.44350000000000001</v>
      </c>
      <c r="CA99" s="23">
        <v>0.3715</v>
      </c>
      <c r="CB99" s="23">
        <v>0.45639999999999997</v>
      </c>
      <c r="CC99" s="23">
        <v>0.40649999999999997</v>
      </c>
      <c r="CD99" s="23">
        <v>0.35870000000000002</v>
      </c>
      <c r="CE99" s="23">
        <v>1.7662</v>
      </c>
      <c r="CF99" s="23">
        <v>0.60589999999999999</v>
      </c>
      <c r="CG99" s="23">
        <v>0.43130000000000002</v>
      </c>
      <c r="CH99" s="23">
        <v>0.89790000000000003</v>
      </c>
      <c r="CI99" s="23">
        <v>0.36909999999999998</v>
      </c>
      <c r="CJ99" s="23">
        <v>0.62980000000000003</v>
      </c>
      <c r="CK99" s="23">
        <v>0.56379999999999997</v>
      </c>
      <c r="CL99" s="23">
        <v>0.75319999999999998</v>
      </c>
      <c r="CM99" s="23">
        <v>0.47099999999999997</v>
      </c>
      <c r="CN99" s="23">
        <v>0.89829999999999999</v>
      </c>
      <c r="CO99" s="23">
        <v>1.042</v>
      </c>
      <c r="CP99" s="23">
        <v>0.49330000000000002</v>
      </c>
      <c r="CQ99" s="23">
        <v>0.88880000000000003</v>
      </c>
      <c r="CR99" s="23">
        <v>0.54549999999999998</v>
      </c>
      <c r="CS99" s="23">
        <v>0.71889999999999998</v>
      </c>
      <c r="CT99" s="23">
        <v>0.53590000000000004</v>
      </c>
      <c r="CU99" s="23">
        <v>0.97350000000000003</v>
      </c>
      <c r="CV99" s="23">
        <v>0.54590000000000005</v>
      </c>
      <c r="CW99" s="23">
        <v>0.59260000000000002</v>
      </c>
      <c r="CX99" s="23">
        <v>0.59079999999999999</v>
      </c>
      <c r="CY99" s="23">
        <v>1.0791999999999999</v>
      </c>
      <c r="CZ99" s="23">
        <v>1.0490999999999999</v>
      </c>
      <c r="DA99" s="23">
        <v>0.70930000000000004</v>
      </c>
      <c r="DB99" s="23">
        <v>0.34549999999999997</v>
      </c>
      <c r="DC99" s="23">
        <v>0.41220000000000001</v>
      </c>
      <c r="DD99" s="23">
        <v>0.49390000000000001</v>
      </c>
      <c r="DE99" s="23">
        <v>0.75929999999999997</v>
      </c>
      <c r="DF99" s="23">
        <v>0.7026</v>
      </c>
      <c r="DG99" s="23">
        <v>0.56389999999999996</v>
      </c>
      <c r="DH99" s="23">
        <v>0.4486</v>
      </c>
      <c r="DI99" s="23">
        <v>0.44500000000000001</v>
      </c>
      <c r="DJ99" s="23">
        <v>0.56110000000000004</v>
      </c>
      <c r="DK99" s="23">
        <v>2.4407999999999999</v>
      </c>
      <c r="DL99" s="23">
        <v>5.45E-2</v>
      </c>
      <c r="DM99" s="23">
        <v>0.29289999999999999</v>
      </c>
      <c r="DN99" s="23">
        <v>0.2472</v>
      </c>
      <c r="DO99" s="23">
        <v>0.30890000000000001</v>
      </c>
      <c r="DP99" s="23">
        <v>0.4632</v>
      </c>
      <c r="DQ99" s="23">
        <v>0.46810000000000002</v>
      </c>
      <c r="DR99" s="23">
        <v>0.46589999999999998</v>
      </c>
      <c r="DS99" s="23">
        <v>0.55059999999999998</v>
      </c>
      <c r="DT99" s="23">
        <v>0.40379999999999999</v>
      </c>
      <c r="DU99" s="23">
        <v>0.45019999999999999</v>
      </c>
      <c r="DV99" s="23">
        <v>0.44829999999999998</v>
      </c>
      <c r="DW99" s="23">
        <v>0.41789999999999999</v>
      </c>
      <c r="DX99" s="23">
        <v>0.41489999999999999</v>
      </c>
      <c r="DY99" s="23">
        <v>0.33329999999999999</v>
      </c>
      <c r="DZ99" s="23">
        <v>0.23619999999999999</v>
      </c>
      <c r="EA99" s="23">
        <v>0.37159999999999999</v>
      </c>
      <c r="EB99" s="23">
        <v>0.36870000000000003</v>
      </c>
      <c r="EC99" s="23">
        <v>0.4199</v>
      </c>
      <c r="ED99" s="23">
        <v>0.54530000000000001</v>
      </c>
      <c r="EE99" s="23">
        <v>0.46229999999999999</v>
      </c>
      <c r="EF99" s="23">
        <v>0.2324</v>
      </c>
      <c r="EG99" s="23">
        <v>0.2044</v>
      </c>
      <c r="EH99" s="23">
        <v>0.19289999999999999</v>
      </c>
      <c r="EI99" s="23">
        <v>0.19850000000000001</v>
      </c>
      <c r="EJ99" s="23">
        <v>0.22389999999999999</v>
      </c>
      <c r="EK99" s="23">
        <v>0.28260000000000002</v>
      </c>
      <c r="EL99" s="23">
        <v>0.23119999999999999</v>
      </c>
      <c r="EM99" s="23">
        <v>0.2223</v>
      </c>
      <c r="EN99" s="23">
        <v>0.38080000000000003</v>
      </c>
      <c r="EO99" s="23">
        <v>0.4355</v>
      </c>
      <c r="EP99" s="23">
        <v>0.3972</v>
      </c>
      <c r="EQ99" s="23">
        <v>0.43809999999999999</v>
      </c>
      <c r="ER99" s="23">
        <v>0.38800000000000001</v>
      </c>
      <c r="ES99" s="23">
        <v>0.56850000000000001</v>
      </c>
      <c r="ET99" s="23">
        <v>0.44750000000000001</v>
      </c>
      <c r="EU99" s="23">
        <v>0.3669</v>
      </c>
      <c r="EV99" s="23">
        <v>0.68269999999999997</v>
      </c>
      <c r="EW99" s="23">
        <v>0.54790000000000005</v>
      </c>
      <c r="EX99" s="23">
        <v>0.55489999999999995</v>
      </c>
      <c r="EY99" s="23">
        <v>0.39910000000000001</v>
      </c>
      <c r="EZ99" s="23">
        <v>0.36</v>
      </c>
      <c r="FA99" s="23">
        <v>0.31</v>
      </c>
      <c r="FB99" s="23">
        <v>0.34</v>
      </c>
      <c r="FC99" s="23">
        <v>0.28999999999999998</v>
      </c>
      <c r="FD99" s="23">
        <v>0.28000000000000003</v>
      </c>
      <c r="FE99" s="23">
        <v>0.26</v>
      </c>
      <c r="FF99" s="23">
        <v>0.24</v>
      </c>
      <c r="FG99" s="23">
        <v>0.26</v>
      </c>
      <c r="FH99" s="23">
        <v>0.28999999999999998</v>
      </c>
      <c r="FI99" s="23">
        <v>0.3</v>
      </c>
      <c r="FJ99" s="23">
        <v>0.3</v>
      </c>
      <c r="FK99" s="23">
        <v>0.3</v>
      </c>
      <c r="FL99" s="23">
        <v>0.27</v>
      </c>
      <c r="FM99" s="23">
        <v>0.27</v>
      </c>
      <c r="FN99" s="23">
        <v>0.28999999999999998</v>
      </c>
      <c r="FO99" s="23"/>
      <c r="FP99" s="23"/>
      <c r="FQ99" s="23"/>
      <c r="FR99" s="23"/>
    </row>
    <row r="101" spans="1:174">
      <c r="A101" t="s">
        <v>70</v>
      </c>
    </row>
    <row r="102" spans="1:174">
      <c r="A102" t="s">
        <v>181</v>
      </c>
      <c r="B102" t="s">
        <v>182</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242</v>
      </c>
      <c r="BI102" s="24"/>
      <c r="BJ102" s="10">
        <v>7113</v>
      </c>
      <c r="BK102" s="10">
        <v>8773</v>
      </c>
      <c r="BL102" s="10">
        <v>3730</v>
      </c>
      <c r="BM102" s="10">
        <v>11274</v>
      </c>
      <c r="BN102" s="10">
        <v>4193</v>
      </c>
      <c r="BO102" s="10">
        <v>3720</v>
      </c>
      <c r="BP102" s="10">
        <v>8615</v>
      </c>
      <c r="BQ102" s="10">
        <v>6279</v>
      </c>
      <c r="BR102" s="10">
        <v>11584</v>
      </c>
      <c r="BS102" s="10">
        <v>13653</v>
      </c>
      <c r="BT102" s="10">
        <v>2116</v>
      </c>
      <c r="BU102" s="10">
        <v>4151</v>
      </c>
      <c r="BV102" s="10">
        <v>3908</v>
      </c>
      <c r="BW102" s="10">
        <v>3908</v>
      </c>
      <c r="BX102" s="10">
        <v>1256</v>
      </c>
      <c r="BY102" s="10">
        <v>6307</v>
      </c>
      <c r="BZ102" s="10">
        <v>1856</v>
      </c>
      <c r="CA102" s="10">
        <v>6201</v>
      </c>
      <c r="CB102" s="10">
        <v>19853</v>
      </c>
      <c r="CC102" s="10">
        <v>6217</v>
      </c>
      <c r="CD102" s="10">
        <v>2796</v>
      </c>
      <c r="CE102" s="10">
        <v>14809</v>
      </c>
      <c r="CF102" s="10">
        <v>2672</v>
      </c>
      <c r="CG102" s="10">
        <v>4250</v>
      </c>
      <c r="CH102" s="10">
        <v>3985</v>
      </c>
      <c r="CI102" s="10">
        <v>14656</v>
      </c>
      <c r="CJ102" s="10">
        <v>4774</v>
      </c>
      <c r="CK102" s="10">
        <v>3503</v>
      </c>
      <c r="CL102" s="10">
        <v>4571</v>
      </c>
      <c r="CM102" s="10">
        <v>10003</v>
      </c>
      <c r="CN102" s="10">
        <v>2584</v>
      </c>
      <c r="CO102" s="10">
        <v>3416</v>
      </c>
      <c r="CP102" s="10">
        <v>7261</v>
      </c>
      <c r="CQ102" s="10">
        <v>15920</v>
      </c>
      <c r="CR102" s="10">
        <v>11135</v>
      </c>
      <c r="CS102" s="10">
        <v>9508</v>
      </c>
      <c r="CT102" s="10">
        <v>10930</v>
      </c>
      <c r="CU102" s="10">
        <v>10053</v>
      </c>
      <c r="CV102" s="10">
        <v>6774</v>
      </c>
      <c r="CW102" s="10">
        <v>685</v>
      </c>
      <c r="CX102" s="10">
        <v>3704</v>
      </c>
      <c r="CY102" s="10">
        <v>15644</v>
      </c>
      <c r="CZ102" s="10">
        <v>6152</v>
      </c>
      <c r="DA102" s="10">
        <v>18318</v>
      </c>
      <c r="DB102" s="10">
        <v>1669</v>
      </c>
      <c r="DC102" s="10">
        <v>0</v>
      </c>
      <c r="DD102" s="10">
        <v>19980</v>
      </c>
      <c r="DE102" s="10">
        <v>10895</v>
      </c>
      <c r="DF102" s="10">
        <v>21897</v>
      </c>
      <c r="DG102" s="10">
        <v>15746</v>
      </c>
      <c r="DH102" s="10">
        <v>11367</v>
      </c>
      <c r="DI102" s="10">
        <v>7092</v>
      </c>
      <c r="DJ102" s="10">
        <v>5984</v>
      </c>
      <c r="DK102" s="10">
        <v>9502</v>
      </c>
      <c r="DL102" s="10">
        <v>2498</v>
      </c>
      <c r="DM102" s="10">
        <v>19670</v>
      </c>
      <c r="DN102" s="10">
        <v>37608</v>
      </c>
      <c r="DO102" s="10">
        <v>19953</v>
      </c>
      <c r="DP102" s="10">
        <v>14468</v>
      </c>
      <c r="DQ102" s="10">
        <v>9434</v>
      </c>
      <c r="DR102" s="10">
        <v>8316</v>
      </c>
      <c r="DS102" s="10">
        <v>15015</v>
      </c>
      <c r="DT102" s="10">
        <v>14736</v>
      </c>
      <c r="DU102" s="10">
        <v>3518</v>
      </c>
      <c r="DV102" s="10">
        <v>3355</v>
      </c>
      <c r="DW102" s="10">
        <v>13164</v>
      </c>
      <c r="DX102" s="10">
        <v>8882</v>
      </c>
      <c r="DY102" s="10">
        <v>5083</v>
      </c>
      <c r="DZ102" s="10">
        <v>19242</v>
      </c>
      <c r="EA102" s="10">
        <v>10786</v>
      </c>
      <c r="EB102" s="10">
        <v>7129</v>
      </c>
      <c r="EC102" s="10">
        <v>14090</v>
      </c>
      <c r="ED102" s="10">
        <v>5032</v>
      </c>
      <c r="EE102" s="10">
        <v>3618</v>
      </c>
      <c r="EF102" s="10">
        <v>19629</v>
      </c>
      <c r="EG102" s="10">
        <v>20309</v>
      </c>
      <c r="EH102" s="10">
        <v>12407</v>
      </c>
      <c r="EI102" s="10">
        <v>13384</v>
      </c>
      <c r="EJ102" s="10">
        <v>15261</v>
      </c>
      <c r="EK102" s="10">
        <v>12268</v>
      </c>
      <c r="EL102" s="10">
        <v>18043</v>
      </c>
      <c r="EM102" s="10">
        <v>18703</v>
      </c>
      <c r="EN102" s="10">
        <v>10601</v>
      </c>
      <c r="EO102" s="10">
        <v>7572</v>
      </c>
      <c r="EP102" s="10">
        <v>17486</v>
      </c>
      <c r="EQ102" s="10">
        <v>23618</v>
      </c>
      <c r="ER102" s="10">
        <v>10889</v>
      </c>
      <c r="ES102" s="10">
        <v>8654</v>
      </c>
      <c r="ET102" s="10">
        <v>21804</v>
      </c>
      <c r="EU102" s="10">
        <v>13720</v>
      </c>
      <c r="EV102" s="10">
        <v>4189</v>
      </c>
      <c r="EW102" s="10">
        <v>9427</v>
      </c>
      <c r="EX102" s="10">
        <v>8087</v>
      </c>
      <c r="EY102" s="10">
        <v>7986</v>
      </c>
      <c r="EZ102" s="10">
        <v>8108</v>
      </c>
      <c r="FA102" s="10">
        <v>8542</v>
      </c>
      <c r="FB102" s="10">
        <v>6071</v>
      </c>
      <c r="FC102" s="10">
        <v>9660</v>
      </c>
      <c r="FD102" s="10">
        <v>11885</v>
      </c>
      <c r="FE102" s="10">
        <v>7434</v>
      </c>
      <c r="FF102" s="10">
        <v>7679</v>
      </c>
      <c r="FG102" s="10">
        <v>8023</v>
      </c>
      <c r="FH102" s="10">
        <v>5556</v>
      </c>
      <c r="FI102" s="10">
        <v>6537</v>
      </c>
      <c r="FJ102" s="10">
        <v>8843</v>
      </c>
      <c r="FK102" s="10">
        <v>7711</v>
      </c>
      <c r="FL102" s="10">
        <v>7382</v>
      </c>
      <c r="FM102" s="10">
        <v>3073</v>
      </c>
      <c r="FN102" s="10">
        <v>3767</v>
      </c>
      <c r="FO102" s="10"/>
      <c r="FP102" s="10"/>
      <c r="FQ102" s="10"/>
      <c r="FR102" s="10"/>
    </row>
    <row r="103" spans="1:174">
      <c r="A103" t="s">
        <v>183</v>
      </c>
      <c r="B103" s="26" t="s">
        <v>67</v>
      </c>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v>53449</v>
      </c>
      <c r="BI103" s="24"/>
      <c r="BJ103" s="10">
        <v>1644652</v>
      </c>
      <c r="BK103" s="10">
        <v>1967005</v>
      </c>
      <c r="BL103" s="10">
        <v>627276</v>
      </c>
      <c r="BM103" s="10">
        <v>1899899</v>
      </c>
      <c r="BN103" s="10">
        <v>759425</v>
      </c>
      <c r="BO103" s="10">
        <v>701478</v>
      </c>
      <c r="BP103" s="10">
        <v>1728166</v>
      </c>
      <c r="BQ103" s="10">
        <v>1320527</v>
      </c>
      <c r="BR103" s="10">
        <v>2525255</v>
      </c>
      <c r="BS103" s="10">
        <v>3067080</v>
      </c>
      <c r="BT103" s="10">
        <v>507065</v>
      </c>
      <c r="BU103" s="10">
        <v>990415</v>
      </c>
      <c r="BV103" s="10">
        <v>963487</v>
      </c>
      <c r="BW103" s="10">
        <v>940065</v>
      </c>
      <c r="BX103" s="10">
        <v>304957</v>
      </c>
      <c r="BY103" s="10">
        <v>1571610</v>
      </c>
      <c r="BZ103" s="10">
        <v>469721</v>
      </c>
      <c r="CA103" s="10">
        <v>1575504</v>
      </c>
      <c r="CB103" s="10">
        <v>5058093</v>
      </c>
      <c r="CC103" s="10">
        <v>1605211</v>
      </c>
      <c r="CD103" s="10">
        <v>749668</v>
      </c>
      <c r="CE103" s="10">
        <v>3815220</v>
      </c>
      <c r="CF103" s="10">
        <v>693433</v>
      </c>
      <c r="CG103" s="10">
        <v>1090711</v>
      </c>
      <c r="CH103" s="10">
        <v>1019339</v>
      </c>
      <c r="CI103" s="10">
        <v>3711622</v>
      </c>
      <c r="CJ103" s="10">
        <v>1193979</v>
      </c>
      <c r="CK103" s="10">
        <v>835762</v>
      </c>
      <c r="CL103" s="10">
        <v>1047697</v>
      </c>
      <c r="CM103" s="10">
        <v>2178446</v>
      </c>
      <c r="CN103" s="10">
        <v>541660</v>
      </c>
      <c r="CO103" s="10">
        <v>675587</v>
      </c>
      <c r="CP103" s="10">
        <v>873126</v>
      </c>
      <c r="CQ103" s="10">
        <v>2087321</v>
      </c>
      <c r="CR103" s="10">
        <v>1577116</v>
      </c>
      <c r="CS103" s="10">
        <v>1644802</v>
      </c>
      <c r="CT103" s="10">
        <v>1623516</v>
      </c>
      <c r="CU103" s="10">
        <v>1653521</v>
      </c>
      <c r="CV103" s="10">
        <v>1246829</v>
      </c>
      <c r="CW103" s="10">
        <v>135617</v>
      </c>
      <c r="CX103" s="10">
        <v>720285</v>
      </c>
      <c r="CY103" s="10">
        <v>3060274</v>
      </c>
      <c r="CZ103" s="10">
        <v>1217995</v>
      </c>
      <c r="DA103" s="10">
        <v>3715946</v>
      </c>
      <c r="DB103" s="10">
        <v>357712</v>
      </c>
      <c r="DC103" s="10">
        <v>8288</v>
      </c>
      <c r="DD103" s="10">
        <v>4370432</v>
      </c>
      <c r="DE103" s="10">
        <v>2394498</v>
      </c>
      <c r="DF103" s="10">
        <v>4600795</v>
      </c>
      <c r="DG103" s="10">
        <v>3318710</v>
      </c>
      <c r="DH103" s="10">
        <v>2150274</v>
      </c>
      <c r="DI103" s="10">
        <v>1262164</v>
      </c>
      <c r="DJ103" s="10">
        <v>1044671</v>
      </c>
      <c r="DK103" s="10">
        <v>1649521</v>
      </c>
      <c r="DL103" s="10">
        <v>194152</v>
      </c>
      <c r="DM103" s="10">
        <v>2057156</v>
      </c>
      <c r="DN103" s="10">
        <v>4165487</v>
      </c>
      <c r="DO103" s="10">
        <v>2561082</v>
      </c>
      <c r="DP103" s="10">
        <v>2242992</v>
      </c>
      <c r="DQ103" s="10">
        <v>1590339</v>
      </c>
      <c r="DR103" s="10">
        <v>1418740</v>
      </c>
      <c r="DS103" s="10">
        <v>2462602</v>
      </c>
      <c r="DT103" s="10">
        <v>2266764</v>
      </c>
      <c r="DU103" s="10">
        <v>511244</v>
      </c>
      <c r="DV103" s="10">
        <v>469533</v>
      </c>
      <c r="DW103" s="10">
        <v>1516202</v>
      </c>
      <c r="DX103" s="10">
        <v>1075528</v>
      </c>
      <c r="DY103" s="10">
        <v>606990</v>
      </c>
      <c r="DZ103" s="10">
        <v>-1202111</v>
      </c>
      <c r="EA103" s="10">
        <v>263065</v>
      </c>
      <c r="EB103" s="10">
        <v>132334</v>
      </c>
      <c r="EC103" s="10">
        <v>469246</v>
      </c>
      <c r="ED103" s="10">
        <v>252712</v>
      </c>
      <c r="EE103" s="10">
        <v>241757</v>
      </c>
      <c r="EF103" s="10">
        <v>1510023</v>
      </c>
      <c r="EG103" s="10">
        <v>1781153</v>
      </c>
      <c r="EH103" s="10">
        <v>1307847</v>
      </c>
      <c r="EI103" s="10">
        <v>1637283</v>
      </c>
      <c r="EJ103" s="10">
        <v>2006349</v>
      </c>
      <c r="EK103" s="10">
        <v>1683112</v>
      </c>
      <c r="EL103" s="10">
        <v>2543034</v>
      </c>
      <c r="EM103" s="10">
        <v>2678361</v>
      </c>
      <c r="EN103" s="10">
        <v>1543072</v>
      </c>
      <c r="EO103" s="10">
        <v>1124727</v>
      </c>
      <c r="EP103" s="10">
        <v>2594441</v>
      </c>
      <c r="EQ103" s="10">
        <v>3419592</v>
      </c>
      <c r="ER103" s="10">
        <v>1669442</v>
      </c>
      <c r="ES103" s="10">
        <v>1096224</v>
      </c>
      <c r="ET103" s="10">
        <v>2777662</v>
      </c>
      <c r="EU103" s="10">
        <v>544685</v>
      </c>
      <c r="EV103" s="10">
        <v>613808</v>
      </c>
      <c r="EW103" s="10">
        <v>1644648</v>
      </c>
      <c r="EX103" s="10">
        <v>1424667</v>
      </c>
      <c r="EY103" s="10">
        <v>-3982414</v>
      </c>
      <c r="EZ103" s="10">
        <v>-1411514</v>
      </c>
      <c r="FA103" s="10">
        <v>1578428</v>
      </c>
      <c r="FB103" s="10">
        <v>2104462</v>
      </c>
      <c r="FC103" s="10">
        <v>2725935</v>
      </c>
      <c r="FD103" s="10">
        <v>2107270</v>
      </c>
      <c r="FE103" s="10">
        <v>903634</v>
      </c>
      <c r="FF103" s="10">
        <v>1224357</v>
      </c>
      <c r="FG103" s="10">
        <v>1483530</v>
      </c>
      <c r="FH103" s="10">
        <v>1086169</v>
      </c>
      <c r="FI103" s="10">
        <v>1264296</v>
      </c>
      <c r="FJ103" s="10">
        <v>1649195</v>
      </c>
      <c r="FK103" s="10">
        <v>1428361</v>
      </c>
      <c r="FL103" s="10">
        <v>1362302</v>
      </c>
      <c r="FM103" s="10">
        <v>558867</v>
      </c>
      <c r="FN103" s="10">
        <v>681237</v>
      </c>
      <c r="FO103" s="10"/>
      <c r="FP103" s="10"/>
      <c r="FQ103" s="10"/>
      <c r="FR103" s="10"/>
    </row>
    <row r="104" spans="1:174">
      <c r="A104" t="s">
        <v>66</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220.86363636363637</v>
      </c>
      <c r="BI104" s="24"/>
      <c r="BJ104" s="22">
        <v>231.21777027976944</v>
      </c>
      <c r="BK104" s="22">
        <v>224.21121623161974</v>
      </c>
      <c r="BL104" s="22">
        <v>168.170509383378</v>
      </c>
      <c r="BM104" s="22">
        <v>168.52040092247648</v>
      </c>
      <c r="BN104" s="22">
        <v>181.11733842117815</v>
      </c>
      <c r="BO104" s="22">
        <v>188.56935483870967</v>
      </c>
      <c r="BP104" s="22">
        <v>200.59965177016832</v>
      </c>
      <c r="BQ104" s="22">
        <v>210.30848861283644</v>
      </c>
      <c r="BR104" s="22">
        <v>217.99507941988949</v>
      </c>
      <c r="BS104" s="22">
        <v>224.64513293781587</v>
      </c>
      <c r="BT104" s="22">
        <v>239.63374291115312</v>
      </c>
      <c r="BU104" s="22">
        <v>238.59672368104071</v>
      </c>
      <c r="BV104" s="22">
        <v>246.54222108495395</v>
      </c>
      <c r="BW104" s="22">
        <v>240.54887410440122</v>
      </c>
      <c r="BX104" s="22">
        <v>242.80015923566879</v>
      </c>
      <c r="BY104" s="22">
        <v>249.18503250356747</v>
      </c>
      <c r="BZ104" s="22">
        <v>253.08243534482759</v>
      </c>
      <c r="CA104" s="22">
        <v>254.07256894049348</v>
      </c>
      <c r="CB104" s="22">
        <v>254.77726288218406</v>
      </c>
      <c r="CC104" s="22">
        <v>258.19704037317035</v>
      </c>
      <c r="CD104" s="22">
        <v>268.12160228898426</v>
      </c>
      <c r="CE104" s="22">
        <v>257.62846917415084</v>
      </c>
      <c r="CF104" s="22">
        <v>259.5183383233533</v>
      </c>
      <c r="CG104" s="22">
        <v>256.63788235294118</v>
      </c>
      <c r="CH104" s="22">
        <v>255.79397741530741</v>
      </c>
      <c r="CI104" s="22">
        <v>253.24931768558952</v>
      </c>
      <c r="CJ104" s="22">
        <v>250.10033514872225</v>
      </c>
      <c r="CK104" s="22">
        <v>238.58464173565514</v>
      </c>
      <c r="CL104" s="22">
        <v>229.20520673813169</v>
      </c>
      <c r="CM104" s="22">
        <v>217.77926622013396</v>
      </c>
      <c r="CN104" s="22">
        <v>209.62074303405572</v>
      </c>
      <c r="CO104" s="22">
        <v>197.77137002341919</v>
      </c>
      <c r="CP104" s="22">
        <v>120.24872607078915</v>
      </c>
      <c r="CQ104" s="22">
        <v>131.11312814070351</v>
      </c>
      <c r="CR104" s="22">
        <v>141.635922766053</v>
      </c>
      <c r="CS104" s="22">
        <v>172.99137568363483</v>
      </c>
      <c r="CT104" s="22">
        <v>148.53760292772188</v>
      </c>
      <c r="CU104" s="22">
        <v>164.48035412314732</v>
      </c>
      <c r="CV104" s="22">
        <v>184.06096840862119</v>
      </c>
      <c r="CW104" s="22">
        <v>197.98102189781022</v>
      </c>
      <c r="CX104" s="22">
        <v>194.46139308855291</v>
      </c>
      <c r="CY104" s="22">
        <v>195.61966249041166</v>
      </c>
      <c r="CZ104" s="22">
        <v>197.98358257477244</v>
      </c>
      <c r="DA104" s="22">
        <v>202.85762637842558</v>
      </c>
      <c r="DB104" s="22">
        <v>214.32714200119833</v>
      </c>
      <c r="DC104" s="22">
        <v>0</v>
      </c>
      <c r="DD104" s="22">
        <v>218.74034034034034</v>
      </c>
      <c r="DE104" s="22">
        <v>219.77953189536484</v>
      </c>
      <c r="DF104" s="22">
        <v>210.11074576425995</v>
      </c>
      <c r="DG104" s="22">
        <v>210.76527372030992</v>
      </c>
      <c r="DH104" s="22">
        <v>189.16811823700183</v>
      </c>
      <c r="DI104" s="22">
        <v>177.97010716300056</v>
      </c>
      <c r="DJ104" s="22">
        <v>174.57737299465239</v>
      </c>
      <c r="DK104" s="22">
        <v>173.59724268575036</v>
      </c>
      <c r="DL104" s="22">
        <v>77.72297838270616</v>
      </c>
      <c r="DM104" s="22">
        <v>104.58342653787494</v>
      </c>
      <c r="DN104" s="22">
        <v>110.76066262497341</v>
      </c>
      <c r="DO104" s="22">
        <v>128.35573597955195</v>
      </c>
      <c r="DP104" s="22">
        <v>155.03124136024329</v>
      </c>
      <c r="DQ104" s="22">
        <v>168.57525969896119</v>
      </c>
      <c r="DR104" s="22">
        <v>170.6036556036556</v>
      </c>
      <c r="DS104" s="22">
        <v>164.0094572094572</v>
      </c>
      <c r="DT104" s="22">
        <v>153.82491856677524</v>
      </c>
      <c r="DU104" s="22">
        <v>145.32234223990903</v>
      </c>
      <c r="DV104" s="22">
        <v>139.95022354694487</v>
      </c>
      <c r="DW104" s="22">
        <v>115.17790945001519</v>
      </c>
      <c r="DX104" s="22">
        <v>121.09074532762891</v>
      </c>
      <c r="DY104" s="22">
        <v>119.41569939012395</v>
      </c>
      <c r="DZ104" s="22">
        <v>-62.473287600041573</v>
      </c>
      <c r="EA104" s="22">
        <v>24.389486371221956</v>
      </c>
      <c r="EB104" s="22">
        <v>18.56277177724786</v>
      </c>
      <c r="EC104" s="22">
        <v>33.303477643718949</v>
      </c>
      <c r="ED104" s="22">
        <v>50.220985691573929</v>
      </c>
      <c r="EE104" s="22">
        <v>66.820619126589278</v>
      </c>
      <c r="EF104" s="22">
        <v>76.928167507259673</v>
      </c>
      <c r="EG104" s="22">
        <v>87.702644147914711</v>
      </c>
      <c r="EH104" s="22">
        <v>105.41202546949303</v>
      </c>
      <c r="EI104" s="22">
        <v>122.33136580992229</v>
      </c>
      <c r="EJ104" s="22">
        <v>131.46903872616474</v>
      </c>
      <c r="EK104" s="22">
        <v>137.19530485816759</v>
      </c>
      <c r="EL104" s="22">
        <v>140.94296957268747</v>
      </c>
      <c r="EM104" s="22">
        <v>143.20488691653745</v>
      </c>
      <c r="EN104" s="22">
        <v>145.55909819828318</v>
      </c>
      <c r="EO104" s="22">
        <v>148.53763866877972</v>
      </c>
      <c r="EP104" s="22">
        <v>148.37246940409472</v>
      </c>
      <c r="EQ104" s="22">
        <v>144.78753493098483</v>
      </c>
      <c r="ER104" s="22">
        <v>153.3145376067591</v>
      </c>
      <c r="ES104" s="22">
        <v>126.67252137739773</v>
      </c>
      <c r="ET104" s="22">
        <v>127.39231333700239</v>
      </c>
      <c r="EU104" s="22">
        <v>39.700072886297377</v>
      </c>
      <c r="EV104" s="22">
        <v>146.52852709477202</v>
      </c>
      <c r="EW104" s="22">
        <v>174.46144054312083</v>
      </c>
      <c r="EX104" s="22">
        <v>176.167552862619</v>
      </c>
      <c r="EY104" s="22">
        <v>-498.67443025294267</v>
      </c>
      <c r="EZ104" s="22">
        <v>-174.08904785397138</v>
      </c>
      <c r="FA104" s="22">
        <v>184.78435963474595</v>
      </c>
      <c r="FB104" s="22">
        <v>346.64173941690001</v>
      </c>
      <c r="FC104" s="22">
        <v>282.18788819875778</v>
      </c>
      <c r="FD104" s="22">
        <v>177.30500631047539</v>
      </c>
      <c r="FE104" s="22">
        <v>121.55421038471886</v>
      </c>
      <c r="FF104" s="22">
        <v>159.44224508399532</v>
      </c>
      <c r="FG104" s="22">
        <v>184.90963479995014</v>
      </c>
      <c r="FH104" s="22">
        <v>195.4947804175666</v>
      </c>
      <c r="FI104" s="22">
        <v>193.4061496099128</v>
      </c>
      <c r="FJ104" s="22">
        <v>186.49722944702023</v>
      </c>
      <c r="FK104" s="22">
        <v>185.23680456490729</v>
      </c>
      <c r="FL104" s="22">
        <v>184.54375507992415</v>
      </c>
      <c r="FM104" s="22">
        <v>181.8636511552229</v>
      </c>
      <c r="FN104" s="22">
        <v>180.84337669232812</v>
      </c>
      <c r="FO104" s="22"/>
      <c r="FP104" s="22"/>
      <c r="FQ104" s="22"/>
      <c r="FR104" s="22"/>
    </row>
    <row r="105" spans="1:174">
      <c r="A105" t="s">
        <v>184</v>
      </c>
      <c r="B105" t="s">
        <v>67</v>
      </c>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v>221.52</v>
      </c>
      <c r="BI105" s="24"/>
      <c r="BJ105" s="22">
        <v>223.31</v>
      </c>
      <c r="BK105" s="22">
        <v>161.11000000000001</v>
      </c>
      <c r="BL105" s="22">
        <v>167.69</v>
      </c>
      <c r="BM105" s="22">
        <v>178.02</v>
      </c>
      <c r="BN105" s="22">
        <v>185.07</v>
      </c>
      <c r="BO105" s="22">
        <v>197.84</v>
      </c>
      <c r="BP105" s="22">
        <v>207.61</v>
      </c>
      <c r="BQ105" s="22">
        <v>216.82</v>
      </c>
      <c r="BR105" s="22">
        <v>223.3</v>
      </c>
      <c r="BS105" s="22">
        <v>230.03</v>
      </c>
      <c r="BT105" s="22">
        <v>233.23</v>
      </c>
      <c r="BU105" s="22">
        <v>235.84</v>
      </c>
      <c r="BV105" s="22">
        <v>237.91</v>
      </c>
      <c r="BW105" s="22">
        <v>238.92</v>
      </c>
      <c r="BX105" s="22">
        <v>243.94</v>
      </c>
      <c r="BY105" s="22">
        <v>246.88</v>
      </c>
      <c r="BZ105" s="22">
        <v>250.87</v>
      </c>
      <c r="CA105" s="22">
        <v>253.88</v>
      </c>
      <c r="CB105" s="22">
        <v>256.64</v>
      </c>
      <c r="CC105" s="22">
        <v>253.76</v>
      </c>
      <c r="CD105" s="22">
        <v>257.13</v>
      </c>
      <c r="CE105" s="22">
        <v>257.58999999999997</v>
      </c>
      <c r="CF105" s="22">
        <v>255.42</v>
      </c>
      <c r="CG105" s="22">
        <v>254.61</v>
      </c>
      <c r="CH105" s="22">
        <v>252.83</v>
      </c>
      <c r="CI105" s="22">
        <v>249.05</v>
      </c>
      <c r="CJ105" s="22">
        <v>236.85</v>
      </c>
      <c r="CK105" s="22">
        <v>224.45</v>
      </c>
      <c r="CL105" s="22">
        <v>217.13</v>
      </c>
      <c r="CM105" s="22">
        <v>208.18</v>
      </c>
      <c r="CN105" s="22">
        <v>196.21</v>
      </c>
      <c r="CO105" s="22">
        <v>119.43</v>
      </c>
      <c r="CP105" s="22">
        <v>130.80000000000001</v>
      </c>
      <c r="CQ105" s="22">
        <v>141.12</v>
      </c>
      <c r="CR105" s="22">
        <v>153.97</v>
      </c>
      <c r="CS105" s="22">
        <v>164.12</v>
      </c>
      <c r="CT105" s="22">
        <v>163.61000000000001</v>
      </c>
      <c r="CU105" s="22">
        <v>182.03</v>
      </c>
      <c r="CV105" s="22">
        <v>192.5</v>
      </c>
      <c r="CW105" s="22">
        <v>193.51</v>
      </c>
      <c r="CX105" s="22">
        <v>195.07</v>
      </c>
      <c r="CY105" s="22">
        <v>196.71</v>
      </c>
      <c r="CZ105" s="22">
        <v>202.41</v>
      </c>
      <c r="DA105" s="22">
        <v>209.8</v>
      </c>
      <c r="DB105" s="22">
        <v>214.76</v>
      </c>
      <c r="DC105" s="22">
        <v>217.52</v>
      </c>
      <c r="DD105" s="22">
        <v>218.83</v>
      </c>
      <c r="DE105" s="22">
        <v>210.29</v>
      </c>
      <c r="DF105" s="22">
        <v>209.38</v>
      </c>
      <c r="DG105" s="22">
        <v>185.88</v>
      </c>
      <c r="DH105" s="22">
        <v>171.79</v>
      </c>
      <c r="DI105" s="22">
        <v>171.59</v>
      </c>
      <c r="DJ105" s="22">
        <v>171.38</v>
      </c>
      <c r="DK105" s="22">
        <v>69.19</v>
      </c>
      <c r="DL105" s="22">
        <v>103.02</v>
      </c>
      <c r="DM105" s="22">
        <v>110.27</v>
      </c>
      <c r="DN105" s="22">
        <v>127.09</v>
      </c>
      <c r="DO105" s="22">
        <v>153.59</v>
      </c>
      <c r="DP105" s="22">
        <v>166.27</v>
      </c>
      <c r="DQ105" s="22">
        <v>167.05</v>
      </c>
      <c r="DR105" s="22">
        <v>161.56</v>
      </c>
      <c r="DS105" s="22">
        <v>151.5</v>
      </c>
      <c r="DT105" s="22">
        <v>140.53</v>
      </c>
      <c r="DU105" s="22">
        <v>168.68</v>
      </c>
      <c r="DV105" s="22">
        <v>121.35</v>
      </c>
      <c r="DW105" s="22">
        <v>119.86</v>
      </c>
      <c r="DX105" s="22">
        <v>119.14</v>
      </c>
      <c r="DY105" s="22">
        <v>11.35</v>
      </c>
      <c r="DZ105" s="22">
        <v>24.44</v>
      </c>
      <c r="EA105" s="22">
        <v>17.84</v>
      </c>
      <c r="EB105" s="22">
        <v>32.85</v>
      </c>
      <c r="EC105" s="22">
        <v>48.49</v>
      </c>
      <c r="ED105" s="22">
        <v>64.290000000000006</v>
      </c>
      <c r="EE105" s="22">
        <v>76.59</v>
      </c>
      <c r="EF105" s="22">
        <v>87.34</v>
      </c>
      <c r="EG105" s="22">
        <v>104.71</v>
      </c>
      <c r="EH105" s="22">
        <v>121.78</v>
      </c>
      <c r="EI105" s="22">
        <v>130.57</v>
      </c>
      <c r="EJ105" s="22">
        <v>136.69999999999999</v>
      </c>
      <c r="EK105" s="22">
        <v>140.19</v>
      </c>
      <c r="EL105" s="22">
        <v>143.15</v>
      </c>
      <c r="EM105" s="22">
        <v>145.18</v>
      </c>
      <c r="EN105" s="22">
        <v>148.18</v>
      </c>
      <c r="EO105" s="22">
        <v>148.28</v>
      </c>
      <c r="EP105" s="22">
        <v>144.66999999999999</v>
      </c>
      <c r="EQ105" s="22">
        <v>151.76</v>
      </c>
      <c r="ER105" s="22">
        <v>157.27000000000001</v>
      </c>
      <c r="ES105" s="22">
        <v>154.13</v>
      </c>
      <c r="ET105" s="22">
        <v>150.38999999999999</v>
      </c>
      <c r="EU105" s="22">
        <v>149.06</v>
      </c>
      <c r="EV105" s="22">
        <v>166.29</v>
      </c>
      <c r="EW105" s="22">
        <v>166.46</v>
      </c>
      <c r="EX105" s="22">
        <v>295.45</v>
      </c>
      <c r="EY105" s="22">
        <v>-82.03</v>
      </c>
      <c r="EZ105" s="22">
        <v>176.75</v>
      </c>
      <c r="FA105" s="22">
        <v>286.82</v>
      </c>
      <c r="FB105" s="22">
        <v>252.43</v>
      </c>
      <c r="FC105" s="22">
        <v>173.65</v>
      </c>
      <c r="FD105" s="22">
        <v>132.47999999999999</v>
      </c>
      <c r="FE105" s="22">
        <v>146.19</v>
      </c>
      <c r="FF105" s="22">
        <v>178.35</v>
      </c>
      <c r="FG105" s="22">
        <v>189.01</v>
      </c>
      <c r="FH105" s="22">
        <v>188.75</v>
      </c>
      <c r="FI105" s="22">
        <v>184.33</v>
      </c>
      <c r="FJ105" s="22">
        <v>182.19</v>
      </c>
      <c r="FK105" s="22">
        <v>183.38</v>
      </c>
      <c r="FL105" s="22">
        <v>174.43</v>
      </c>
      <c r="FM105" s="22">
        <v>176.84</v>
      </c>
      <c r="FN105" s="22">
        <v>169.05</v>
      </c>
      <c r="FO105" s="22"/>
      <c r="FP105" s="22"/>
      <c r="FQ105" s="22"/>
      <c r="FR105" s="22"/>
    </row>
    <row r="106" spans="1:174">
      <c r="A106" t="s">
        <v>185</v>
      </c>
      <c r="B106" t="s">
        <v>186</v>
      </c>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v>3.8532999999999999</v>
      </c>
      <c r="BI106" s="24"/>
      <c r="BJ106" s="23">
        <v>0.83579999999999999</v>
      </c>
      <c r="BK106" s="23">
        <v>0.76729999999999998</v>
      </c>
      <c r="BL106" s="23">
        <v>1.8041</v>
      </c>
      <c r="BM106" s="23">
        <v>0.4778</v>
      </c>
      <c r="BN106" s="23">
        <v>0.73860000000000003</v>
      </c>
      <c r="BO106" s="23">
        <v>0.87109999999999999</v>
      </c>
      <c r="BP106" s="23">
        <v>0.62980000000000003</v>
      </c>
      <c r="BQ106" s="23">
        <v>0.77949999999999997</v>
      </c>
      <c r="BR106" s="23">
        <v>0.64929999999999999</v>
      </c>
      <c r="BS106" s="23">
        <v>0.60509999999999997</v>
      </c>
      <c r="BT106" s="23">
        <v>1.7346999999999999</v>
      </c>
      <c r="BU106" s="23">
        <v>1.0928</v>
      </c>
      <c r="BV106" s="23">
        <v>1.0858000000000001</v>
      </c>
      <c r="BW106" s="23">
        <v>1.0423</v>
      </c>
      <c r="BX106" s="23">
        <v>5.0674999999999999</v>
      </c>
      <c r="BY106" s="23">
        <v>0.88590000000000002</v>
      </c>
      <c r="BZ106" s="23">
        <v>2.1158000000000001</v>
      </c>
      <c r="CA106" s="23">
        <v>1.1825000000000001</v>
      </c>
      <c r="CB106" s="23">
        <v>0.74070000000000003</v>
      </c>
      <c r="CC106" s="23">
        <v>0.99450000000000005</v>
      </c>
      <c r="CD106" s="23">
        <v>1.5794999999999999</v>
      </c>
      <c r="CE106" s="23">
        <v>0.67469999999999997</v>
      </c>
      <c r="CF106" s="23">
        <v>1.5880000000000001</v>
      </c>
      <c r="CG106" s="23">
        <v>1.0783</v>
      </c>
      <c r="CH106" s="23">
        <v>1.0749</v>
      </c>
      <c r="CI106" s="23">
        <v>0.80879999999999996</v>
      </c>
      <c r="CJ106" s="23">
        <v>0.95599999999999996</v>
      </c>
      <c r="CK106" s="23">
        <v>1.0257000000000001</v>
      </c>
      <c r="CL106" s="23">
        <v>0.98899999999999999</v>
      </c>
      <c r="CM106" s="23">
        <v>0.62329999999999997</v>
      </c>
      <c r="CN106" s="23">
        <v>1.1347</v>
      </c>
      <c r="CO106" s="23">
        <v>0.93569999999999998</v>
      </c>
      <c r="CP106" s="23">
        <v>0.4375</v>
      </c>
      <c r="CQ106" s="23">
        <v>0.43390000000000001</v>
      </c>
      <c r="CR106" s="23">
        <v>0.47360000000000002</v>
      </c>
      <c r="CS106" s="23">
        <v>0.5978</v>
      </c>
      <c r="CT106" s="23">
        <v>0.50509999999999999</v>
      </c>
      <c r="CU106" s="23">
        <v>0.57599999999999996</v>
      </c>
      <c r="CV106" s="23">
        <v>0.6542</v>
      </c>
      <c r="CW106" s="23">
        <v>-1.079</v>
      </c>
      <c r="CX106" s="23">
        <v>0.78779999999999994</v>
      </c>
      <c r="CY106" s="23">
        <v>0.55569999999999997</v>
      </c>
      <c r="CZ106" s="23">
        <v>0.71379999999999999</v>
      </c>
      <c r="DA106" s="23">
        <v>0.61829999999999996</v>
      </c>
      <c r="DB106" s="23">
        <v>1.0147999999999999</v>
      </c>
      <c r="DC106" s="23">
        <v>-5.6300000000000003E-2</v>
      </c>
      <c r="DD106" s="23">
        <v>0.66220000000000001</v>
      </c>
      <c r="DE106" s="23">
        <v>0.71430000000000005</v>
      </c>
      <c r="DF106" s="23">
        <v>0.63649999999999995</v>
      </c>
      <c r="DG106" s="23">
        <v>0.64039999999999997</v>
      </c>
      <c r="DH106" s="23">
        <v>0.59150000000000003</v>
      </c>
      <c r="DI106" s="23">
        <v>0.62439999999999996</v>
      </c>
      <c r="DJ106" s="23">
        <v>0.63229999999999997</v>
      </c>
      <c r="DK106" s="23">
        <v>0.47349999999999998</v>
      </c>
      <c r="DL106" s="23">
        <v>0.39179999999999998</v>
      </c>
      <c r="DM106" s="23">
        <v>0.32100000000000001</v>
      </c>
      <c r="DN106" s="23">
        <v>0.32050000000000001</v>
      </c>
      <c r="DO106" s="23">
        <v>0.3841</v>
      </c>
      <c r="DP106" s="23">
        <v>0.4844</v>
      </c>
      <c r="DQ106" s="23">
        <v>0.56030000000000002</v>
      </c>
      <c r="DR106" s="23">
        <v>0.58830000000000005</v>
      </c>
      <c r="DS106" s="23">
        <v>0.52559999999999996</v>
      </c>
      <c r="DT106" s="23">
        <v>0.49049999999999999</v>
      </c>
      <c r="DU106" s="23">
        <v>0.15290000000000001</v>
      </c>
      <c r="DV106" s="23">
        <v>0.59430000000000005</v>
      </c>
      <c r="DW106" s="23">
        <v>0.30919999999999997</v>
      </c>
      <c r="DX106" s="23">
        <v>0.3967</v>
      </c>
      <c r="DY106" s="23">
        <v>0.44379999999999997</v>
      </c>
      <c r="DZ106" s="23">
        <v>-0.1913</v>
      </c>
      <c r="EA106" s="23">
        <v>0.08</v>
      </c>
      <c r="EB106" s="23">
        <v>6.5299999999999997E-2</v>
      </c>
      <c r="EC106" s="23">
        <v>0.10489999999999999</v>
      </c>
      <c r="ED106" s="23">
        <v>0.18809999999999999</v>
      </c>
      <c r="EE106" s="23">
        <v>0.2838</v>
      </c>
      <c r="EF106" s="23">
        <v>0.2344</v>
      </c>
      <c r="EG106" s="23">
        <v>0.27239999999999998</v>
      </c>
      <c r="EH106" s="23">
        <v>0.33639999999999998</v>
      </c>
      <c r="EI106" s="23">
        <v>0.35549999999999998</v>
      </c>
      <c r="EJ106" s="23">
        <v>0.40560000000000002</v>
      </c>
      <c r="EK106" s="23">
        <v>0.43280000000000002</v>
      </c>
      <c r="EL106" s="23">
        <v>0.43090000000000001</v>
      </c>
      <c r="EM106" s="23">
        <v>0.4415</v>
      </c>
      <c r="EN106" s="23">
        <v>0.46870000000000001</v>
      </c>
      <c r="EO106" s="23">
        <v>0.50460000000000005</v>
      </c>
      <c r="EP106" s="23">
        <v>0.45750000000000002</v>
      </c>
      <c r="EQ106" s="23">
        <v>0.441</v>
      </c>
      <c r="ER106" s="23">
        <v>0.4864</v>
      </c>
      <c r="ES106" s="23">
        <v>0.3548</v>
      </c>
      <c r="ET106" s="23">
        <v>0.33739999999999998</v>
      </c>
      <c r="EU106" s="23">
        <v>7.1000000000000004E-3</v>
      </c>
      <c r="EV106" s="23">
        <v>0.28870000000000001</v>
      </c>
      <c r="EW106" s="23">
        <v>0.28599999999999998</v>
      </c>
      <c r="EX106" s="23">
        <v>0.29270000000000002</v>
      </c>
      <c r="EY106" s="23">
        <v>-0.82030000000000003</v>
      </c>
      <c r="EZ106" s="23">
        <v>-0.28000000000000003</v>
      </c>
      <c r="FA106" s="23">
        <v>0.3</v>
      </c>
      <c r="FB106" s="23">
        <v>0.56999999999999995</v>
      </c>
      <c r="FC106" s="23">
        <v>0.48</v>
      </c>
      <c r="FD106" s="23">
        <v>0.32</v>
      </c>
      <c r="FE106" s="23">
        <v>0.2</v>
      </c>
      <c r="FF106" s="23">
        <v>0.26</v>
      </c>
      <c r="FG106" s="23">
        <v>0.3</v>
      </c>
      <c r="FH106" s="23">
        <v>0.32</v>
      </c>
      <c r="FI106" s="23">
        <v>0.32</v>
      </c>
      <c r="FJ106" s="23">
        <v>0.3</v>
      </c>
      <c r="FK106" s="23">
        <v>0.28999999999999998</v>
      </c>
      <c r="FL106" s="23">
        <v>0.31</v>
      </c>
      <c r="FM106" s="23">
        <v>0.31</v>
      </c>
      <c r="FN106" s="23">
        <v>0.3</v>
      </c>
      <c r="FO106" s="23"/>
      <c r="FP106" s="23"/>
      <c r="FQ106" s="23"/>
      <c r="FR106" s="23"/>
    </row>
    <row r="108" spans="1:174">
      <c r="A108" t="s">
        <v>187</v>
      </c>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row>
    <row r="109" spans="1:174">
      <c r="A109" t="s">
        <v>188</v>
      </c>
      <c r="B109" t="s">
        <v>189</v>
      </c>
      <c r="C109" s="30">
        <v>6.4829999999999999E-2</v>
      </c>
      <c r="D109" s="30">
        <v>6.6769999999999996E-2</v>
      </c>
      <c r="E109" s="30">
        <v>6.2740000000000004E-2</v>
      </c>
      <c r="F109" s="30">
        <v>6.8159999999999998E-2</v>
      </c>
      <c r="G109" s="30">
        <v>7.0260000000000003E-2</v>
      </c>
      <c r="H109" s="30">
        <v>7.4209999999999998E-2</v>
      </c>
      <c r="I109" s="30">
        <v>7.553E-2</v>
      </c>
      <c r="J109" s="30">
        <v>7.5630000000000003E-2</v>
      </c>
      <c r="K109" s="30">
        <v>7.3969999999999994E-2</v>
      </c>
      <c r="L109" s="30">
        <v>6.3450000000000006E-2</v>
      </c>
      <c r="M109" s="30">
        <v>5.6860000000000001E-2</v>
      </c>
      <c r="N109" s="30">
        <v>4.9189999999999998E-2</v>
      </c>
      <c r="O109" s="30">
        <v>4.7780000000000003E-2</v>
      </c>
      <c r="P109" s="30">
        <v>5.1990000000000001E-2</v>
      </c>
      <c r="Q109" s="30">
        <v>4.8890000000000003E-2</v>
      </c>
      <c r="R109" s="30">
        <v>5.169E-2</v>
      </c>
      <c r="S109" s="30">
        <v>5.5590000000000001E-2</v>
      </c>
      <c r="T109" s="30">
        <v>6.1420000000000002E-2</v>
      </c>
      <c r="U109" s="30">
        <v>7.1050000000000002E-2</v>
      </c>
      <c r="V109" s="30">
        <v>8.0320000000000003E-2</v>
      </c>
      <c r="W109" s="30">
        <v>8.4459999999999993E-2</v>
      </c>
      <c r="X109" s="30">
        <v>8.8539999999999994E-2</v>
      </c>
      <c r="Y109" s="30">
        <v>8.5169999999999996E-2</v>
      </c>
      <c r="Z109" s="30">
        <v>8.8950000000000001E-2</v>
      </c>
      <c r="AA109" s="30">
        <v>9.7320000000000004E-2</v>
      </c>
      <c r="AB109" s="30">
        <v>0.11192000000000001</v>
      </c>
      <c r="AC109" s="30">
        <v>0.11423</v>
      </c>
      <c r="AD109" s="30">
        <v>0.1154</v>
      </c>
      <c r="AE109" s="30">
        <v>0.12576000000000001</v>
      </c>
      <c r="AF109" s="30">
        <v>0.13969999999999999</v>
      </c>
      <c r="AG109" s="30">
        <v>0.10444000000000001</v>
      </c>
      <c r="AH109" s="30">
        <v>0.11909</v>
      </c>
      <c r="AI109" s="30">
        <v>0.12790000000000001</v>
      </c>
      <c r="AJ109" s="30">
        <v>0.11568000000000001</v>
      </c>
      <c r="AK109" s="30">
        <v>9.1249999999999998E-2</v>
      </c>
      <c r="AL109" s="30">
        <v>5.1319999999999998E-2</v>
      </c>
      <c r="AM109" s="30">
        <v>2.2450000000000001E-2</v>
      </c>
      <c r="AN109" s="30">
        <v>-3.2200000000000002E-3</v>
      </c>
      <c r="AO109" s="30">
        <v>-1.1339999999999999E-2</v>
      </c>
      <c r="AP109" s="30">
        <v>-1.4290000000000001E-2</v>
      </c>
      <c r="AQ109" s="30">
        <v>-1.5100000000000001E-2</v>
      </c>
      <c r="AR109" s="30">
        <v>-1.025E-2</v>
      </c>
      <c r="AS109" s="30">
        <v>5.1000000000000004E-4</v>
      </c>
      <c r="AT109" s="30">
        <v>1.8839999999999999E-2</v>
      </c>
      <c r="AU109" s="30">
        <v>2.844E-2</v>
      </c>
      <c r="AV109" s="30">
        <v>3.1489999999999997E-2</v>
      </c>
      <c r="AW109" s="30">
        <v>2.785E-2</v>
      </c>
      <c r="AX109" s="30">
        <v>2.724E-2</v>
      </c>
      <c r="AY109" s="30">
        <v>2.6069999999999999E-2</v>
      </c>
      <c r="AZ109" s="30">
        <v>3.1449999999999999E-2</v>
      </c>
      <c r="BA109" s="30">
        <v>4.3119999999999999E-2</v>
      </c>
      <c r="BB109" s="30">
        <v>3.4689999999999999E-2</v>
      </c>
      <c r="BC109" s="30">
        <v>4.7329999999999997E-2</v>
      </c>
      <c r="BD109" s="30">
        <v>4.505E-2</v>
      </c>
      <c r="BE109" s="30">
        <v>4.6989999999999997E-2</v>
      </c>
      <c r="BF109" s="30">
        <v>5.101E-2</v>
      </c>
      <c r="BG109" s="30">
        <v>5.1569999999999998E-2</v>
      </c>
      <c r="BH109" s="30">
        <v>4.7489999999999997E-2</v>
      </c>
      <c r="BI109" s="30">
        <v>4.761E-2</v>
      </c>
      <c r="BJ109" s="30">
        <v>4.743E-2</v>
      </c>
      <c r="BK109" s="30">
        <v>5.833E-2</v>
      </c>
      <c r="BL109" s="30">
        <v>6.6839999999999997E-2</v>
      </c>
      <c r="BM109" s="30">
        <v>7.6380000000000003E-2</v>
      </c>
      <c r="BN109" s="30">
        <v>8.695E-2</v>
      </c>
      <c r="BO109" s="30">
        <v>9.8909999999999998E-2</v>
      </c>
      <c r="BP109" s="30">
        <v>0.10777</v>
      </c>
      <c r="BQ109" s="30">
        <v>0.11473999999999999</v>
      </c>
      <c r="BR109" s="30">
        <v>0.11719</v>
      </c>
      <c r="BS109" s="30">
        <v>0.1162</v>
      </c>
      <c r="BT109" s="30">
        <v>0.11987</v>
      </c>
      <c r="BU109" s="30">
        <v>0.13450000000000001</v>
      </c>
      <c r="BV109" s="30">
        <v>0.13986999999999999</v>
      </c>
      <c r="BW109" s="30">
        <v>0.11428000000000001</v>
      </c>
      <c r="BX109" s="30">
        <v>0.10924</v>
      </c>
      <c r="BY109" s="30">
        <v>0.1153</v>
      </c>
      <c r="BZ109" s="30">
        <v>0.11600000000000001</v>
      </c>
      <c r="CA109" s="30">
        <v>0.13122</v>
      </c>
      <c r="CB109" s="30">
        <v>0.13274</v>
      </c>
      <c r="CC109" s="30">
        <v>0.12917000000000001</v>
      </c>
      <c r="CD109" s="30">
        <v>0.12332</v>
      </c>
      <c r="CE109" s="30">
        <v>7.0830000000000004E-2</v>
      </c>
      <c r="CF109" s="30">
        <v>7.0230000000000001E-2</v>
      </c>
      <c r="CG109" s="30">
        <v>5.8279999999999998E-2</v>
      </c>
      <c r="CH109" s="30">
        <v>5.0290000000000001E-2</v>
      </c>
      <c r="CI109" s="30">
        <v>5.885E-2</v>
      </c>
      <c r="CJ109" s="30">
        <v>7.6740000000000003E-2</v>
      </c>
      <c r="CK109" s="30">
        <v>8.1129999999999994E-2</v>
      </c>
      <c r="CL109" s="30">
        <v>5.602E-2</v>
      </c>
      <c r="CM109" s="30">
        <v>5.6309999999999999E-2</v>
      </c>
      <c r="CN109" s="30">
        <v>5.5019999999999999E-2</v>
      </c>
      <c r="CO109" s="30">
        <v>5.4219999999999997E-2</v>
      </c>
      <c r="CP109" s="30">
        <v>5.8439999999999999E-2</v>
      </c>
      <c r="CQ109" s="30">
        <v>4.6399999999999997E-2</v>
      </c>
      <c r="CR109" s="30">
        <v>5.5210000000000002E-2</v>
      </c>
      <c r="CS109" s="30">
        <v>5.4059999999999997E-2</v>
      </c>
      <c r="CT109" s="30">
        <v>5.0869999999999999E-2</v>
      </c>
      <c r="CU109" s="30">
        <v>5.9459999999999999E-2</v>
      </c>
      <c r="CV109" s="30">
        <v>7.3380000000000001E-2</v>
      </c>
      <c r="CW109" s="30">
        <v>5.978E-2</v>
      </c>
      <c r="CX109" s="30">
        <v>6.0569999999999999E-2</v>
      </c>
      <c r="CY109" s="30">
        <v>5.5410000000000001E-2</v>
      </c>
      <c r="CZ109" s="30">
        <v>5.6849999999999998E-2</v>
      </c>
      <c r="DA109" s="30">
        <v>5.7209999999999997E-2</v>
      </c>
      <c r="DB109" s="30">
        <v>5.901E-2</v>
      </c>
      <c r="DC109" s="30">
        <v>5.9880000000000003E-2</v>
      </c>
      <c r="DD109" s="30">
        <v>5.1549999999999999E-2</v>
      </c>
      <c r="DE109" s="30">
        <v>3.6940000000000001E-2</v>
      </c>
      <c r="DF109" s="30">
        <v>2.6589999999999999E-2</v>
      </c>
      <c r="DG109" s="30">
        <v>1.065E-2</v>
      </c>
      <c r="DH109" s="30">
        <v>-7.5500000000000003E-3</v>
      </c>
      <c r="DI109" s="30">
        <v>-1.8630000000000001E-2</v>
      </c>
      <c r="DJ109" s="30">
        <v>-1.1509999999999999E-2</v>
      </c>
      <c r="DK109" s="30">
        <v>-1.9310000000000001E-2</v>
      </c>
      <c r="DL109" s="30">
        <v>-1.6240000000000001E-2</v>
      </c>
      <c r="DM109" s="30">
        <v>-9.9699999999999997E-3</v>
      </c>
      <c r="DN109" s="30">
        <v>-1.6729999999999998E-2</v>
      </c>
      <c r="DO109" s="30">
        <v>-1.3429999999999999E-2</v>
      </c>
      <c r="DP109" s="30">
        <v>-2.793E-2</v>
      </c>
      <c r="DQ109" s="30">
        <v>-3.1789999999999999E-2</v>
      </c>
      <c r="DR109" s="30">
        <v>-3.3529999999999997E-2</v>
      </c>
      <c r="DS109" s="30">
        <v>-3.7479999999999999E-2</v>
      </c>
      <c r="DT109" s="30">
        <v>-4.6370000000000001E-2</v>
      </c>
      <c r="DU109" s="30">
        <v>-5.4980000000000001E-2</v>
      </c>
      <c r="DV109" s="30">
        <v>-5.3929999999999999E-2</v>
      </c>
      <c r="DW109" s="30">
        <v>-5.527E-2</v>
      </c>
      <c r="DX109" s="30">
        <v>-4.6510000000000003E-2</v>
      </c>
      <c r="DY109" s="30">
        <v>-3.8539999999999998E-2</v>
      </c>
      <c r="DZ109" s="30">
        <v>-3.1759999999999997E-2</v>
      </c>
      <c r="EA109" s="30">
        <v>-3.3450000000000001E-2</v>
      </c>
      <c r="EB109" s="30">
        <v>-3.9640000000000002E-2</v>
      </c>
      <c r="EC109" s="30">
        <v>-3.848E-2</v>
      </c>
      <c r="ED109" s="30">
        <v>-3.5779999999999999E-2</v>
      </c>
      <c r="EE109" s="30">
        <v>-2.0910000000000002E-2</v>
      </c>
      <c r="EF109" s="30">
        <v>-1.8630000000000001E-2</v>
      </c>
      <c r="EG109" s="30">
        <v>-1.7299999999999999E-2</v>
      </c>
      <c r="EH109" s="30">
        <v>-1.6080000000000001E-2</v>
      </c>
      <c r="EI109" s="30">
        <v>-2.3470000000000001E-2</v>
      </c>
      <c r="EJ109" s="30">
        <v>-2.215E-2</v>
      </c>
      <c r="EK109" s="30">
        <v>-2.0029999999999999E-2</v>
      </c>
      <c r="EL109" s="30">
        <v>-2.18E-2</v>
      </c>
      <c r="EM109" s="30">
        <v>-2.2880000000000001E-2</v>
      </c>
      <c r="EN109" s="30">
        <v>-2.2159999999999999E-2</v>
      </c>
      <c r="EO109" s="30">
        <v>-2.1090000000000001E-2</v>
      </c>
      <c r="EP109" s="30">
        <v>-1.6289999999999999E-2</v>
      </c>
      <c r="EQ109" s="30">
        <v>-1.145E-2</v>
      </c>
      <c r="ER109" s="30">
        <v>-2.6099999999999999E-3</v>
      </c>
      <c r="ES109" s="30">
        <v>-3.8899999999999998E-3</v>
      </c>
      <c r="ET109" s="30">
        <v>-4.8300000000000001E-3</v>
      </c>
      <c r="EU109" s="30">
        <v>9.2300000000000004E-3</v>
      </c>
      <c r="EV109" s="30">
        <v>1.529E-2</v>
      </c>
      <c r="EW109" s="30">
        <v>1.204E-2</v>
      </c>
      <c r="EX109" s="30">
        <v>8.0199999999999994E-3</v>
      </c>
      <c r="EY109" s="30">
        <v>4.2009999999999999E-2</v>
      </c>
      <c r="EZ109" s="30">
        <v>4.0079999999999998E-2</v>
      </c>
      <c r="FA109" s="30">
        <v>5.151E-2</v>
      </c>
      <c r="FB109" s="30">
        <v>5.5530000000000003E-2</v>
      </c>
      <c r="FC109" s="30">
        <v>0.14094999999999999</v>
      </c>
      <c r="FD109" s="30">
        <v>0.12044000000000001</v>
      </c>
      <c r="FE109" s="30">
        <v>0.13449</v>
      </c>
      <c r="FF109" s="30">
        <v>0.14338000000000001</v>
      </c>
      <c r="FG109" s="30">
        <v>0.14721000000000001</v>
      </c>
      <c r="FH109" s="30">
        <v>0.15198999999999999</v>
      </c>
      <c r="FI109" s="30">
        <v>0.14545</v>
      </c>
      <c r="FJ109" s="30">
        <v>0.14297000000000001</v>
      </c>
      <c r="FK109" s="30">
        <v>0.13239999999999999</v>
      </c>
      <c r="FL109" s="30">
        <v>0.12950999999999999</v>
      </c>
      <c r="FM109" s="30">
        <v>0.12778</v>
      </c>
      <c r="FN109" s="30">
        <v>0.12409000000000001</v>
      </c>
      <c r="FO109" s="30">
        <v>0.13628999999999999</v>
      </c>
      <c r="FP109" s="30">
        <v>0.14648</v>
      </c>
      <c r="FQ109" s="30">
        <v>0.14349000000000001</v>
      </c>
      <c r="FR109" s="30">
        <v>0.13070999999999999</v>
      </c>
    </row>
    <row r="112" spans="1:174">
      <c r="BH112" s="10"/>
      <c r="BI112" s="10"/>
      <c r="BJ112" s="10"/>
      <c r="BK112" s="10"/>
      <c r="BL112" s="10"/>
      <c r="BM112" s="10"/>
      <c r="BN112" s="10"/>
      <c r="BO112" s="10"/>
      <c r="BP112" s="10"/>
      <c r="BQ112" s="10"/>
      <c r="BR112" s="10"/>
    </row>
    <row r="113" spans="60:70">
      <c r="BH113" s="22"/>
      <c r="BI113" s="22"/>
      <c r="BJ113" s="22"/>
      <c r="BK113" s="22"/>
      <c r="BL113" s="22"/>
      <c r="BM113" s="22"/>
      <c r="BN113" s="22"/>
      <c r="BO113" s="22"/>
      <c r="BP113" s="22"/>
      <c r="BQ113" s="22"/>
      <c r="BR113" s="22"/>
    </row>
    <row r="114" spans="60:70">
      <c r="BH114" s="10"/>
      <c r="BI114" s="10"/>
      <c r="BJ114" s="10"/>
      <c r="BK114" s="10"/>
      <c r="BL114" s="10"/>
      <c r="BM114" s="10"/>
      <c r="BN114" s="10"/>
      <c r="BO114" s="10"/>
      <c r="BP114" s="10"/>
      <c r="BQ114" s="10"/>
      <c r="BR114" s="10"/>
    </row>
    <row r="115" spans="60:70">
      <c r="BK115" s="23"/>
      <c r="BL115" s="23"/>
      <c r="BM115" s="23"/>
      <c r="BN115" s="23"/>
      <c r="BO115" s="23"/>
      <c r="BP115" s="23"/>
      <c r="BQ115" s="23"/>
      <c r="BR115" s="31"/>
    </row>
    <row r="116" spans="60:70">
      <c r="BJ116" s="22"/>
      <c r="BK116" s="22"/>
      <c r="BL116" s="22"/>
      <c r="BM116" s="22"/>
      <c r="BN116" s="22"/>
      <c r="BO116" s="22"/>
      <c r="BP116" s="22"/>
      <c r="BQ116" s="22"/>
      <c r="BR116"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6"/>
  <sheetViews>
    <sheetView workbookViewId="0">
      <selection activeCell="B4" sqref="B4"/>
    </sheetView>
  </sheetViews>
  <sheetFormatPr baseColWidth="10" defaultRowHeight="16"/>
  <sheetData>
    <row r="1" spans="1:10">
      <c r="A1" s="33" t="s">
        <v>191</v>
      </c>
      <c r="B1" s="34" t="s">
        <v>192</v>
      </c>
      <c r="J1" s="32" t="s">
        <v>190</v>
      </c>
    </row>
    <row r="2" spans="1:10">
      <c r="A2" s="35" t="s">
        <v>193</v>
      </c>
      <c r="B2" s="35" t="s">
        <v>194</v>
      </c>
    </row>
    <row r="3" spans="1:10" ht="71">
      <c r="A3" s="36" t="s">
        <v>195</v>
      </c>
      <c r="B3" s="36" t="s">
        <v>196</v>
      </c>
      <c r="E3" t="s">
        <v>197</v>
      </c>
    </row>
    <row r="4" spans="1:10">
      <c r="A4" s="37">
        <v>31958</v>
      </c>
      <c r="B4">
        <v>18.53</v>
      </c>
      <c r="E4" s="38" t="s">
        <v>246</v>
      </c>
    </row>
    <row r="5" spans="1:10">
      <c r="A5" s="37">
        <v>32324</v>
      </c>
      <c r="B5">
        <v>14.91</v>
      </c>
    </row>
    <row r="6" spans="1:10">
      <c r="A6" s="37">
        <v>32689</v>
      </c>
      <c r="B6">
        <v>18.23</v>
      </c>
    </row>
    <row r="7" spans="1:10">
      <c r="A7" s="37">
        <v>33054</v>
      </c>
      <c r="B7">
        <v>23.76</v>
      </c>
    </row>
    <row r="8" spans="1:10">
      <c r="A8" s="37">
        <v>33419</v>
      </c>
      <c r="B8">
        <v>20.04</v>
      </c>
    </row>
    <row r="9" spans="1:10">
      <c r="A9" s="37">
        <v>33785</v>
      </c>
      <c r="B9">
        <v>19.32</v>
      </c>
    </row>
    <row r="10" spans="1:10">
      <c r="A10" s="37">
        <v>34150</v>
      </c>
      <c r="B10">
        <v>17.010000000000002</v>
      </c>
    </row>
    <row r="11" spans="1:10">
      <c r="A11" s="37">
        <v>34515</v>
      </c>
      <c r="B11">
        <v>15.86</v>
      </c>
    </row>
    <row r="12" spans="1:10">
      <c r="A12" s="37">
        <v>34880</v>
      </c>
      <c r="B12">
        <v>17.02</v>
      </c>
    </row>
    <row r="13" spans="1:10">
      <c r="A13" s="37">
        <v>35246</v>
      </c>
      <c r="B13">
        <v>20.64</v>
      </c>
    </row>
    <row r="14" spans="1:10">
      <c r="A14" s="37">
        <v>35611</v>
      </c>
      <c r="B14">
        <v>19.11</v>
      </c>
    </row>
    <row r="15" spans="1:10">
      <c r="A15" s="37">
        <v>35976</v>
      </c>
      <c r="B15">
        <v>12.76</v>
      </c>
    </row>
    <row r="16" spans="1:10">
      <c r="A16" s="37">
        <v>36341</v>
      </c>
      <c r="B16">
        <v>17.899999999999999</v>
      </c>
    </row>
    <row r="17" spans="1:2">
      <c r="A17" s="37">
        <v>36707</v>
      </c>
      <c r="B17">
        <v>28.66</v>
      </c>
    </row>
    <row r="18" spans="1:2">
      <c r="A18" s="37">
        <v>37072</v>
      </c>
      <c r="B18">
        <v>24.46</v>
      </c>
    </row>
    <row r="19" spans="1:2">
      <c r="A19" s="37">
        <v>37437</v>
      </c>
      <c r="B19">
        <v>24.99</v>
      </c>
    </row>
    <row r="20" spans="1:2">
      <c r="A20" s="37">
        <v>37802</v>
      </c>
      <c r="B20">
        <v>28.85</v>
      </c>
    </row>
    <row r="21" spans="1:2">
      <c r="A21" s="37">
        <v>38168</v>
      </c>
      <c r="B21">
        <v>38.26</v>
      </c>
    </row>
    <row r="22" spans="1:2">
      <c r="A22" s="37">
        <v>38533</v>
      </c>
      <c r="B22">
        <v>54.57</v>
      </c>
    </row>
    <row r="23" spans="1:2">
      <c r="A23" s="37">
        <v>38898</v>
      </c>
      <c r="B23">
        <v>65.16</v>
      </c>
    </row>
    <row r="24" spans="1:2">
      <c r="A24" s="37">
        <v>39263</v>
      </c>
      <c r="B24">
        <v>72.44</v>
      </c>
    </row>
    <row r="25" spans="1:2">
      <c r="A25" s="37">
        <v>39629</v>
      </c>
      <c r="B25">
        <v>96.94</v>
      </c>
    </row>
    <row r="26" spans="1:2">
      <c r="A26" s="37">
        <v>39994</v>
      </c>
      <c r="B26">
        <v>61.74</v>
      </c>
    </row>
    <row r="27" spans="1:2">
      <c r="A27" s="37">
        <v>40359</v>
      </c>
      <c r="B27">
        <v>79.61</v>
      </c>
    </row>
    <row r="28" spans="1:2">
      <c r="A28" s="37">
        <v>40724</v>
      </c>
      <c r="B28">
        <v>111.26</v>
      </c>
    </row>
    <row r="29" spans="1:2">
      <c r="A29" s="37">
        <v>41090</v>
      </c>
      <c r="B29">
        <v>111.63</v>
      </c>
    </row>
    <row r="30" spans="1:2">
      <c r="A30" s="37">
        <v>41455</v>
      </c>
      <c r="B30">
        <v>108.56</v>
      </c>
    </row>
    <row r="31" spans="1:2">
      <c r="A31" s="37">
        <v>41820</v>
      </c>
      <c r="B31">
        <v>98.97</v>
      </c>
    </row>
    <row r="32" spans="1:2">
      <c r="A32" s="37">
        <v>42185</v>
      </c>
      <c r="B32">
        <v>52.32</v>
      </c>
    </row>
    <row r="33" spans="1:2">
      <c r="A33" s="37">
        <v>42551</v>
      </c>
      <c r="B33">
        <v>43.64</v>
      </c>
    </row>
    <row r="34" spans="1:2">
      <c r="A34" s="37">
        <v>42916</v>
      </c>
      <c r="B34">
        <v>54.13</v>
      </c>
    </row>
    <row r="35" spans="1:2">
      <c r="A35" s="37">
        <v>43281</v>
      </c>
      <c r="B35">
        <v>71.34</v>
      </c>
    </row>
    <row r="36" spans="1:2">
      <c r="A36" s="37">
        <v>43646</v>
      </c>
      <c r="B36">
        <v>64.36</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O23"/>
  <sheetViews>
    <sheetView workbookViewId="0">
      <selection activeCell="A14" sqref="A14:O23"/>
    </sheetView>
  </sheetViews>
  <sheetFormatPr baseColWidth="10" defaultRowHeight="16"/>
  <sheetData>
    <row r="1" spans="1:15">
      <c r="A1" t="s">
        <v>210</v>
      </c>
    </row>
    <row r="2" spans="1:15">
      <c r="A2" t="s">
        <v>211</v>
      </c>
    </row>
    <row r="3" spans="1:15">
      <c r="A3" t="s">
        <v>247</v>
      </c>
    </row>
    <row r="4" spans="1:15">
      <c r="A4" t="s">
        <v>86</v>
      </c>
    </row>
    <row r="5" spans="1:15">
      <c r="A5" t="s">
        <v>212</v>
      </c>
      <c r="B5" t="s">
        <v>89</v>
      </c>
      <c r="C5" t="s">
        <v>213</v>
      </c>
      <c r="D5">
        <v>2008</v>
      </c>
      <c r="E5">
        <v>2009</v>
      </c>
      <c r="F5">
        <v>2010</v>
      </c>
      <c r="G5">
        <v>2011</v>
      </c>
      <c r="H5">
        <v>2012</v>
      </c>
      <c r="I5">
        <v>2013</v>
      </c>
      <c r="J5">
        <v>2014</v>
      </c>
      <c r="K5">
        <v>2015</v>
      </c>
      <c r="L5">
        <v>2016</v>
      </c>
      <c r="M5">
        <v>2017</v>
      </c>
      <c r="N5">
        <v>2018</v>
      </c>
      <c r="O5">
        <v>2019</v>
      </c>
    </row>
    <row r="6" spans="1:15">
      <c r="A6" t="s">
        <v>210</v>
      </c>
      <c r="B6" t="s">
        <v>214</v>
      </c>
    </row>
    <row r="7" spans="1:15">
      <c r="A7" t="s">
        <v>215</v>
      </c>
      <c r="B7" t="s">
        <v>214</v>
      </c>
      <c r="C7" t="s">
        <v>216</v>
      </c>
    </row>
    <row r="8" spans="1:15">
      <c r="A8" t="s">
        <v>217</v>
      </c>
      <c r="B8" t="s">
        <v>214</v>
      </c>
      <c r="C8" t="s">
        <v>216</v>
      </c>
      <c r="D8">
        <v>9918</v>
      </c>
      <c r="E8">
        <v>9878</v>
      </c>
      <c r="F8">
        <v>9817</v>
      </c>
      <c r="G8">
        <v>9738</v>
      </c>
      <c r="H8">
        <v>9650</v>
      </c>
      <c r="I8">
        <v>9643</v>
      </c>
      <c r="J8">
        <v>9693</v>
      </c>
      <c r="K8">
        <v>9615</v>
      </c>
      <c r="L8">
        <v>9641</v>
      </c>
      <c r="M8">
        <v>9532</v>
      </c>
      <c r="N8">
        <v>9527</v>
      </c>
      <c r="O8">
        <v>9605</v>
      </c>
    </row>
    <row r="9" spans="1:15">
      <c r="A9" t="s">
        <v>218</v>
      </c>
      <c r="C9" t="s">
        <v>219</v>
      </c>
    </row>
    <row r="10" spans="1:15">
      <c r="A10" t="s">
        <v>220</v>
      </c>
      <c r="B10" t="s">
        <v>214</v>
      </c>
      <c r="C10" t="s">
        <v>221</v>
      </c>
      <c r="D10">
        <v>10669</v>
      </c>
      <c r="E10">
        <v>10640</v>
      </c>
      <c r="F10">
        <v>10562</v>
      </c>
      <c r="G10">
        <v>10183</v>
      </c>
      <c r="H10">
        <v>10327</v>
      </c>
      <c r="I10">
        <v>10098</v>
      </c>
      <c r="J10">
        <v>10298</v>
      </c>
      <c r="K10">
        <v>10417</v>
      </c>
      <c r="L10">
        <v>10291</v>
      </c>
      <c r="M10">
        <v>9867</v>
      </c>
      <c r="N10">
        <v>9778</v>
      </c>
      <c r="O10">
        <v>9927</v>
      </c>
    </row>
    <row r="14" spans="1:15">
      <c r="A14" t="s">
        <v>222</v>
      </c>
    </row>
    <row r="15" spans="1:15">
      <c r="A15" t="s">
        <v>223</v>
      </c>
    </row>
    <row r="16" spans="1:15">
      <c r="A16" t="s">
        <v>248</v>
      </c>
    </row>
    <row r="17" spans="1:15">
      <c r="A17" t="s">
        <v>86</v>
      </c>
    </row>
    <row r="18" spans="1:15">
      <c r="A18" t="s">
        <v>212</v>
      </c>
      <c r="B18" t="s">
        <v>89</v>
      </c>
      <c r="C18" t="s">
        <v>213</v>
      </c>
      <c r="D18">
        <v>2008</v>
      </c>
      <c r="E18">
        <v>2009</v>
      </c>
      <c r="F18">
        <v>2010</v>
      </c>
      <c r="G18">
        <v>2011</v>
      </c>
      <c r="H18">
        <v>2012</v>
      </c>
      <c r="I18">
        <v>2013</v>
      </c>
      <c r="J18">
        <v>2014</v>
      </c>
      <c r="K18">
        <v>2015</v>
      </c>
      <c r="L18">
        <v>2016</v>
      </c>
      <c r="M18">
        <v>2017</v>
      </c>
      <c r="N18">
        <v>2018</v>
      </c>
      <c r="O18">
        <v>2019</v>
      </c>
    </row>
    <row r="19" spans="1:15">
      <c r="A19" t="s">
        <v>222</v>
      </c>
      <c r="B19" t="s">
        <v>224</v>
      </c>
    </row>
    <row r="20" spans="1:15">
      <c r="A20" t="s">
        <v>215</v>
      </c>
      <c r="B20" t="s">
        <v>224</v>
      </c>
      <c r="C20" t="s">
        <v>225</v>
      </c>
    </row>
    <row r="21" spans="1:15">
      <c r="A21" t="s">
        <v>217</v>
      </c>
      <c r="B21" t="s">
        <v>224</v>
      </c>
      <c r="C21" t="s">
        <v>225</v>
      </c>
      <c r="D21">
        <v>40.69</v>
      </c>
      <c r="E21">
        <v>43.33</v>
      </c>
      <c r="F21">
        <v>44.27</v>
      </c>
      <c r="G21">
        <v>46.24</v>
      </c>
      <c r="H21">
        <v>45.77</v>
      </c>
      <c r="I21">
        <v>45.02</v>
      </c>
      <c r="J21">
        <v>45.67</v>
      </c>
      <c r="K21">
        <v>42.6</v>
      </c>
      <c r="L21">
        <v>40.64</v>
      </c>
      <c r="M21">
        <v>39.18</v>
      </c>
      <c r="N21">
        <v>39.159999999999997</v>
      </c>
      <c r="O21">
        <v>38.799999999999997</v>
      </c>
    </row>
    <row r="22" spans="1:15">
      <c r="A22" t="s">
        <v>218</v>
      </c>
      <c r="C22" t="s">
        <v>226</v>
      </c>
    </row>
    <row r="23" spans="1:15">
      <c r="A23" t="s">
        <v>220</v>
      </c>
      <c r="B23" t="s">
        <v>224</v>
      </c>
      <c r="C23" t="s">
        <v>227</v>
      </c>
      <c r="D23">
        <v>76.42</v>
      </c>
      <c r="E23">
        <v>63.26</v>
      </c>
      <c r="F23">
        <v>58.34</v>
      </c>
      <c r="G23">
        <v>68.930000000000007</v>
      </c>
      <c r="H23">
        <v>78.069999999999993</v>
      </c>
      <c r="I23">
        <v>79.05</v>
      </c>
      <c r="J23">
        <v>80.5</v>
      </c>
      <c r="K23">
        <v>77.03</v>
      </c>
      <c r="L23">
        <v>70.13</v>
      </c>
      <c r="M23">
        <v>76.739999999999995</v>
      </c>
      <c r="N23">
        <v>93.53</v>
      </c>
      <c r="O23">
        <v>76.760000000000005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hub and local prices</vt:lpstr>
      <vt:lpstr>AEO</vt:lpstr>
      <vt:lpstr>regressions</vt:lpstr>
      <vt:lpstr>DBEDT Oahu</vt:lpstr>
      <vt:lpstr>Brent History</vt:lpstr>
      <vt:lpstr>Coal History</vt:lpstr>
      <vt:lpstr>base_year</vt:lpstr>
      <vt:lpstr>brent_crude_mmbtu_per_bbl</vt:lpstr>
      <vt:lpstr>fuel_price_offsets</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2020-06-05T00:35:59Z</dcterms:modified>
</cp:coreProperties>
</file>