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showInkAnnotation="0" autoCompressPictures="0"/>
  <mc:AlternateContent xmlns:mc="http://schemas.openxmlformats.org/markup-compatibility/2006">
    <mc:Choice Requires="x15">
      <x15ac:absPath xmlns:x15ac="http://schemas.microsoft.com/office/spreadsheetml/2010/11/ac" url="/Users/matthias/Dropbox/Research/shared/Switch-Hawaii/data/Generator Info/"/>
    </mc:Choice>
  </mc:AlternateContent>
  <xr:revisionPtr revIDLastSave="0" documentId="13_ncr:1_{5AC12215-35A6-6D48-84A0-1997405C4368}" xr6:coauthVersionLast="45" xr6:coauthVersionMax="45" xr10:uidLastSave="{00000000-0000-0000-0000-000000000000}"/>
  <bookViews>
    <workbookView xWindow="22320" yWindow="1020" windowWidth="16700" windowHeight="19560" tabRatio="500" xr2:uid="{00000000-000D-0000-FFFF-FFFF00000000}"/>
  </bookViews>
  <sheets>
    <sheet name="technologies and projects" sheetId="2" r:id="rId1"/>
    <sheet name="HECO non-plant O&amp;M" sheetId="3" r:id="rId2"/>
  </sheets>
  <definedNames>
    <definedName name="_xlnm._FilterDatabase" localSheetId="0" hidden="1">'technologies and projects'!$A$37:$AD$93</definedName>
    <definedName name="base_year">'technologies and projects'!$A$2</definedName>
    <definedName name="build_info">'technologies and projects'!$A$37:$L$93</definedName>
    <definedName name="heat_rate_info">'technologies and projects'!$B$6:$W$32</definedName>
    <definedName name="inflator_1987">'technologies and projects'!$C$2</definedName>
    <definedName name="inflator_2007">'technologies and projects'!$E$2</definedName>
    <definedName name="inflator_2011">'technologies and projects'!$D$2</definedName>
    <definedName name="inflator_2018">'technologies and projects'!$F$2</definedName>
    <definedName name="technology_info">'technologies and projects'!$A$37:$AD$62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107" i="2" l="1"/>
  <c r="E106" i="2"/>
  <c r="E105" i="2"/>
  <c r="E104" i="2"/>
  <c r="E103" i="2"/>
  <c r="E102" i="2"/>
  <c r="E101" i="2"/>
  <c r="E108" i="2"/>
  <c r="A102" i="2"/>
  <c r="A103" i="2"/>
  <c r="A104" i="2"/>
  <c r="A105" i="2"/>
  <c r="A106" i="2"/>
  <c r="A107" i="2"/>
  <c r="A108" i="2"/>
  <c r="A101" i="2"/>
  <c r="R58" i="2" l="1"/>
  <c r="R57" i="2"/>
  <c r="J72" i="2" l="1"/>
  <c r="M66" i="2" l="1"/>
  <c r="M67" i="2"/>
  <c r="J70" i="2"/>
  <c r="J69" i="2"/>
  <c r="AL72" i="2"/>
  <c r="AF72" i="2"/>
  <c r="M72" i="2"/>
  <c r="AL70" i="2"/>
  <c r="AF70" i="2"/>
  <c r="M70" i="2"/>
  <c r="AL69" i="2"/>
  <c r="AF69" i="2"/>
  <c r="M69" i="2"/>
  <c r="M71" i="2"/>
  <c r="AF71" i="2"/>
  <c r="AL71" i="2"/>
  <c r="J66" i="2"/>
  <c r="G87" i="2" l="1"/>
  <c r="G88" i="2"/>
  <c r="G89" i="2"/>
  <c r="G90" i="2"/>
  <c r="G91" i="2"/>
  <c r="G92" i="2"/>
  <c r="G93" i="2"/>
  <c r="G86" i="2"/>
  <c r="G79" i="2"/>
  <c r="G80" i="2"/>
  <c r="G81" i="2"/>
  <c r="G82" i="2"/>
  <c r="G83" i="2"/>
  <c r="G84" i="2"/>
  <c r="G85" i="2"/>
  <c r="G78" i="2"/>
  <c r="G103" i="2"/>
  <c r="H88" i="2" s="1"/>
  <c r="G104" i="2"/>
  <c r="H89" i="2" s="1"/>
  <c r="G105" i="2"/>
  <c r="H90" i="2" s="1"/>
  <c r="G106" i="2"/>
  <c r="H91" i="2" s="1"/>
  <c r="G107" i="2"/>
  <c r="H92" i="2" s="1"/>
  <c r="G108" i="2"/>
  <c r="H93" i="2" s="1"/>
  <c r="G102" i="2"/>
  <c r="H87" i="2" s="1"/>
  <c r="F103" i="2"/>
  <c r="H80" i="2" s="1"/>
  <c r="F104" i="2"/>
  <c r="H81" i="2" s="1"/>
  <c r="F105" i="2"/>
  <c r="H82" i="2" s="1"/>
  <c r="F106" i="2"/>
  <c r="H83" i="2" s="1"/>
  <c r="F107" i="2"/>
  <c r="H84" i="2" s="1"/>
  <c r="F108" i="2"/>
  <c r="H85" i="2" s="1"/>
  <c r="F102" i="2"/>
  <c r="H79" i="2" s="1"/>
  <c r="G101" i="2"/>
  <c r="H86" i="2" s="1"/>
  <c r="F101" i="2"/>
  <c r="H78" i="2" s="1"/>
  <c r="F32" i="2" l="1"/>
  <c r="F31" i="2"/>
  <c r="M75" i="2" l="1"/>
  <c r="AM73" i="2" l="1"/>
  <c r="AL73" i="2"/>
  <c r="AM60" i="2"/>
  <c r="Z30" i="2" s="1"/>
  <c r="AM58" i="2"/>
  <c r="Z28" i="2" s="1"/>
  <c r="AH59" i="2"/>
  <c r="AI59" i="2"/>
  <c r="AM46" i="2"/>
  <c r="AM47" i="2" s="1"/>
  <c r="Z17" i="2" s="1"/>
  <c r="AM40" i="2"/>
  <c r="AM41" i="2" s="1"/>
  <c r="AM42" i="2" s="1"/>
  <c r="AM43" i="2" s="1"/>
  <c r="AM44" i="2" s="1"/>
  <c r="AM45" i="2" s="1"/>
  <c r="Z15" i="2" s="1"/>
  <c r="AM59" i="2" l="1"/>
  <c r="Z29" i="2" s="1"/>
  <c r="Z10" i="2"/>
  <c r="Z16" i="2"/>
  <c r="Z14" i="2"/>
  <c r="Z13" i="2"/>
  <c r="Z12" i="2"/>
  <c r="Z11" i="2"/>
  <c r="AM48" i="2"/>
  <c r="Z18" i="2" s="1"/>
  <c r="AF59" i="2"/>
  <c r="AF60" i="2"/>
  <c r="AM49" i="2" l="1"/>
  <c r="Q60" i="2"/>
  <c r="Q61" i="2"/>
  <c r="Q62" i="2"/>
  <c r="N60" i="2"/>
  <c r="H60" i="2" s="1"/>
  <c r="AL60" i="2" s="1"/>
  <c r="S61" i="2"/>
  <c r="S62" i="2"/>
  <c r="S60" i="2"/>
  <c r="T60" i="2"/>
  <c r="B29" i="2"/>
  <c r="B30" i="2"/>
  <c r="B31" i="2"/>
  <c r="C31" i="2" s="1"/>
  <c r="B32" i="2"/>
  <c r="C32" i="2" s="1"/>
  <c r="E30" i="2"/>
  <c r="S30" i="2" s="1"/>
  <c r="T30" i="2" s="1"/>
  <c r="U30" i="2" s="1"/>
  <c r="V30" i="2" s="1"/>
  <c r="W30" i="2" s="1"/>
  <c r="AF63" i="2"/>
  <c r="AF64" i="2"/>
  <c r="AF67" i="2"/>
  <c r="AF65" i="2"/>
  <c r="AF68" i="2"/>
  <c r="N61" i="2"/>
  <c r="N62" i="2"/>
  <c r="Z19" i="2" l="1"/>
  <c r="AM50" i="2"/>
  <c r="M65" i="2"/>
  <c r="M68" i="2"/>
  <c r="AI62" i="2"/>
  <c r="AG62" i="2"/>
  <c r="AG61" i="2"/>
  <c r="AH62" i="2"/>
  <c r="R62" i="2" s="1"/>
  <c r="AH61" i="2"/>
  <c r="R61" i="2" s="1"/>
  <c r="AI61" i="2"/>
  <c r="AM51" i="2" l="1"/>
  <c r="Z20" i="2"/>
  <c r="AL62" i="2"/>
  <c r="AM62" i="2"/>
  <c r="E32" i="2" s="1"/>
  <c r="S32" i="2" s="1"/>
  <c r="AM61" i="2"/>
  <c r="E31" i="2" s="1"/>
  <c r="S31" i="2" s="1"/>
  <c r="AL61" i="2"/>
  <c r="T32" i="2" l="1"/>
  <c r="U32" i="2" s="1"/>
  <c r="V32" i="2" s="1"/>
  <c r="W32" i="2" s="1"/>
  <c r="X32" i="2" s="1"/>
  <c r="Z32" i="2"/>
  <c r="T31" i="2"/>
  <c r="U31" i="2" s="1"/>
  <c r="V31" i="2" s="1"/>
  <c r="W31" i="2" s="1"/>
  <c r="X31" i="2" s="1"/>
  <c r="Z31" i="2"/>
  <c r="Z21" i="2"/>
  <c r="AM52" i="2"/>
  <c r="Y62" i="2"/>
  <c r="Y61" i="2"/>
  <c r="D62" i="2"/>
  <c r="AF62" i="2" s="1"/>
  <c r="D61" i="2"/>
  <c r="AF61" i="2" s="1"/>
  <c r="AM53" i="2" l="1"/>
  <c r="Z23" i="2" s="1"/>
  <c r="Z22" i="2"/>
  <c r="AA31" i="2"/>
  <c r="O31" i="2"/>
  <c r="T61" i="2" s="1"/>
  <c r="AA32" i="2"/>
  <c r="O32" i="2"/>
  <c r="T62" i="2" s="1"/>
  <c r="AG58" i="2"/>
  <c r="D57" i="2"/>
  <c r="D58" i="2"/>
  <c r="D59" i="2"/>
  <c r="D60" i="2"/>
  <c r="D73" i="2"/>
  <c r="AF73" i="2" s="1"/>
  <c r="B29" i="3"/>
  <c r="B28" i="3"/>
  <c r="F22" i="3" a="1"/>
  <c r="F22" i="3"/>
  <c r="M64" i="2"/>
  <c r="M73" i="2"/>
  <c r="M77" i="2"/>
  <c r="M74" i="2"/>
  <c r="M76" i="2"/>
  <c r="M63" i="2"/>
  <c r="AM57" i="2"/>
  <c r="AF57" i="2"/>
  <c r="AF58" i="2"/>
  <c r="AL65" i="2"/>
  <c r="AL68" i="2"/>
  <c r="F2" i="2"/>
  <c r="AL64" i="2"/>
  <c r="AL67" i="2"/>
  <c r="AL63" i="2"/>
  <c r="G25" i="3"/>
  <c r="E2" i="2"/>
  <c r="J59" i="2" s="1" a="1"/>
  <c r="J59" i="2" s="1"/>
  <c r="D2" i="2"/>
  <c r="P60" i="2" s="1"/>
  <c r="C2" i="2"/>
  <c r="J53" i="2" s="1"/>
  <c r="A132" i="2"/>
  <c r="A133" i="2"/>
  <c r="A134" i="2"/>
  <c r="A136" i="2"/>
  <c r="A137" i="2"/>
  <c r="A138" i="2"/>
  <c r="A139" i="2"/>
  <c r="A140" i="2"/>
  <c r="A131" i="2"/>
  <c r="D123" i="2"/>
  <c r="D122" i="2"/>
  <c r="D124" i="2"/>
  <c r="D125" i="2"/>
  <c r="D126" i="2"/>
  <c r="D127" i="2"/>
  <c r="D128" i="2"/>
  <c r="N38" i="2"/>
  <c r="H38" i="2" s="1"/>
  <c r="N39" i="2"/>
  <c r="H39" i="2" s="1"/>
  <c r="N40" i="2"/>
  <c r="H40" i="2" s="1"/>
  <c r="AL40" i="2" s="1"/>
  <c r="N41" i="2"/>
  <c r="H41" i="2" s="1"/>
  <c r="N42" i="2"/>
  <c r="H42" i="2" s="1"/>
  <c r="N43" i="2"/>
  <c r="H43" i="2" s="1"/>
  <c r="N44" i="2"/>
  <c r="H44" i="2" s="1"/>
  <c r="N45" i="2"/>
  <c r="H45" i="2" s="1"/>
  <c r="N46" i="2"/>
  <c r="H46" i="2" s="1"/>
  <c r="AL46" i="2" s="1"/>
  <c r="N47" i="2"/>
  <c r="H47" i="2" s="1"/>
  <c r="N48" i="2"/>
  <c r="H48" i="2" s="1"/>
  <c r="AL48" i="2" s="1"/>
  <c r="N49" i="2"/>
  <c r="H49" i="2" s="1"/>
  <c r="N50" i="2"/>
  <c r="H50" i="2" s="1"/>
  <c r="N51" i="2"/>
  <c r="H51" i="2" s="1"/>
  <c r="N52" i="2"/>
  <c r="H52" i="2" s="1"/>
  <c r="N53" i="2"/>
  <c r="H53" i="2" s="1"/>
  <c r="N59" i="2"/>
  <c r="H59" i="2" s="1"/>
  <c r="S39" i="2"/>
  <c r="S40" i="2"/>
  <c r="S41" i="2"/>
  <c r="S42" i="2"/>
  <c r="S43" i="2"/>
  <c r="S44" i="2"/>
  <c r="S45" i="2"/>
  <c r="S46" i="2"/>
  <c r="S47" i="2"/>
  <c r="S48" i="2"/>
  <c r="S49" i="2"/>
  <c r="S50" i="2"/>
  <c r="S51" i="2"/>
  <c r="S52" i="2"/>
  <c r="S53" i="2"/>
  <c r="S54" i="2"/>
  <c r="S55" i="2"/>
  <c r="S56" i="2"/>
  <c r="S57" i="2"/>
  <c r="S58" i="2"/>
  <c r="S59" i="2"/>
  <c r="S38" i="2"/>
  <c r="C39" i="2"/>
  <c r="C40" i="2"/>
  <c r="C41" i="2"/>
  <c r="C42" i="2"/>
  <c r="C43" i="2"/>
  <c r="C44" i="2"/>
  <c r="B14" i="2" s="1"/>
  <c r="C45" i="2"/>
  <c r="C46" i="2"/>
  <c r="C47" i="2"/>
  <c r="C48" i="2"/>
  <c r="C49" i="2"/>
  <c r="C50" i="2"/>
  <c r="C51" i="2"/>
  <c r="B21" i="2" s="1"/>
  <c r="C52" i="2"/>
  <c r="C53" i="2"/>
  <c r="C54" i="2"/>
  <c r="D54" i="2" s="1"/>
  <c r="C55" i="2"/>
  <c r="D55" i="2" s="1"/>
  <c r="C56" i="2"/>
  <c r="D56" i="2" s="1"/>
  <c r="B27" i="2"/>
  <c r="B28" i="2"/>
  <c r="C38" i="2"/>
  <c r="AF38" i="2" s="1"/>
  <c r="T39" i="2"/>
  <c r="T40" i="2"/>
  <c r="T41" i="2"/>
  <c r="T42" i="2"/>
  <c r="T43" i="2"/>
  <c r="T44" i="2"/>
  <c r="T45" i="2"/>
  <c r="T46" i="2"/>
  <c r="T47" i="2"/>
  <c r="T48" i="2"/>
  <c r="T49" i="2"/>
  <c r="T50" i="2"/>
  <c r="T51" i="2"/>
  <c r="T52" i="2"/>
  <c r="T53" i="2"/>
  <c r="T54" i="2"/>
  <c r="T55" i="2"/>
  <c r="T56" i="2"/>
  <c r="T58" i="2"/>
  <c r="T59" i="2"/>
  <c r="T38" i="2"/>
  <c r="P16" i="2"/>
  <c r="P17" i="2"/>
  <c r="Q39" i="2"/>
  <c r="Q40" i="2"/>
  <c r="Q41" i="2"/>
  <c r="Q42" i="2"/>
  <c r="Q43" i="2"/>
  <c r="Q44" i="2"/>
  <c r="Q45" i="2"/>
  <c r="Q46" i="2"/>
  <c r="Q47" i="2"/>
  <c r="Q48" i="2"/>
  <c r="Q49" i="2"/>
  <c r="Q50" i="2"/>
  <c r="Q51" i="2"/>
  <c r="Q52" i="2"/>
  <c r="Q53" i="2"/>
  <c r="Q54" i="2"/>
  <c r="Q55" i="2"/>
  <c r="Q56" i="2"/>
  <c r="Q57" i="2"/>
  <c r="Q58" i="2"/>
  <c r="Q59" i="2"/>
  <c r="Q38" i="2"/>
  <c r="Y39" i="2"/>
  <c r="Y40" i="2"/>
  <c r="Y41" i="2"/>
  <c r="Y42" i="2"/>
  <c r="Y43" i="2"/>
  <c r="Y44" i="2"/>
  <c r="Y45" i="2"/>
  <c r="Y46" i="2"/>
  <c r="Y47" i="2"/>
  <c r="Y48" i="2"/>
  <c r="Y49" i="2"/>
  <c r="Y50" i="2"/>
  <c r="Y51" i="2"/>
  <c r="Y52" i="2"/>
  <c r="Y53" i="2"/>
  <c r="Y54" i="2"/>
  <c r="Y55" i="2"/>
  <c r="Y56" i="2"/>
  <c r="Y57" i="2"/>
  <c r="Y58" i="2"/>
  <c r="Y59" i="2"/>
  <c r="Y60" i="2"/>
  <c r="Y38" i="2"/>
  <c r="K29" i="2"/>
  <c r="N54" i="2"/>
  <c r="H54" i="2" s="1"/>
  <c r="N55" i="2"/>
  <c r="H55" i="2" s="1"/>
  <c r="N56" i="2"/>
  <c r="H56" i="2" s="1"/>
  <c r="N57" i="2"/>
  <c r="H57" i="2" s="1"/>
  <c r="H58" i="2"/>
  <c r="AL58" i="2" s="1"/>
  <c r="S9" i="2"/>
  <c r="T9" i="2" s="1"/>
  <c r="U9" i="2" s="1"/>
  <c r="V9" i="2" s="1"/>
  <c r="W9" i="2" s="1"/>
  <c r="S10" i="2"/>
  <c r="T10" i="2" s="1"/>
  <c r="U10" i="2" s="1"/>
  <c r="V10" i="2" s="1"/>
  <c r="W10" i="2" s="1"/>
  <c r="S11" i="2"/>
  <c r="T11" i="2" s="1"/>
  <c r="U11" i="2" s="1"/>
  <c r="V11" i="2" s="1"/>
  <c r="W11" i="2" s="1"/>
  <c r="S12" i="2"/>
  <c r="T12" i="2" s="1"/>
  <c r="U12" i="2" s="1"/>
  <c r="V12" i="2" s="1"/>
  <c r="W12" i="2" s="1"/>
  <c r="S13" i="2"/>
  <c r="T13" i="2" s="1"/>
  <c r="U13" i="2" s="1"/>
  <c r="V13" i="2" s="1"/>
  <c r="W13" i="2" s="1"/>
  <c r="S14" i="2"/>
  <c r="T14" i="2" s="1"/>
  <c r="U14" i="2" s="1"/>
  <c r="V14" i="2" s="1"/>
  <c r="W14" i="2" s="1"/>
  <c r="S15" i="2"/>
  <c r="T15" i="2" s="1"/>
  <c r="U15" i="2" s="1"/>
  <c r="V15" i="2" s="1"/>
  <c r="W15" i="2" s="1"/>
  <c r="S16" i="2"/>
  <c r="T16" i="2" s="1"/>
  <c r="U16" i="2" s="1"/>
  <c r="V16" i="2" s="1"/>
  <c r="W16" i="2" s="1"/>
  <c r="S17" i="2"/>
  <c r="T17" i="2" s="1"/>
  <c r="U17" i="2" s="1"/>
  <c r="V17" i="2" s="1"/>
  <c r="W17" i="2" s="1"/>
  <c r="S18" i="2"/>
  <c r="T18" i="2" s="1"/>
  <c r="U18" i="2" s="1"/>
  <c r="V18" i="2" s="1"/>
  <c r="W18" i="2" s="1"/>
  <c r="S19" i="2"/>
  <c r="T19" i="2" s="1"/>
  <c r="U19" i="2" s="1"/>
  <c r="V19" i="2" s="1"/>
  <c r="W19" i="2" s="1"/>
  <c r="S20" i="2"/>
  <c r="T20" i="2" s="1"/>
  <c r="U20" i="2" s="1"/>
  <c r="V20" i="2" s="1"/>
  <c r="W20" i="2" s="1"/>
  <c r="S21" i="2"/>
  <c r="T21" i="2" s="1"/>
  <c r="U21" i="2" s="1"/>
  <c r="V21" i="2" s="1"/>
  <c r="W21" i="2" s="1"/>
  <c r="S22" i="2"/>
  <c r="T22" i="2" s="1"/>
  <c r="U22" i="2" s="1"/>
  <c r="V22" i="2" s="1"/>
  <c r="W22" i="2" s="1"/>
  <c r="S23" i="2"/>
  <c r="T23" i="2" s="1"/>
  <c r="U23" i="2" s="1"/>
  <c r="V23" i="2" s="1"/>
  <c r="W23" i="2" s="1"/>
  <c r="S24" i="2"/>
  <c r="T24" i="2" s="1"/>
  <c r="U24" i="2" s="1"/>
  <c r="V24" i="2" s="1"/>
  <c r="W24" i="2" s="1"/>
  <c r="S25" i="2"/>
  <c r="T25" i="2" s="1"/>
  <c r="U25" i="2" s="1"/>
  <c r="V25" i="2" s="1"/>
  <c r="W25" i="2" s="1"/>
  <c r="S26" i="2"/>
  <c r="T26" i="2" s="1"/>
  <c r="U26" i="2" s="1"/>
  <c r="V26" i="2" s="1"/>
  <c r="W26" i="2" s="1"/>
  <c r="S27" i="2"/>
  <c r="S28" i="2"/>
  <c r="T28" i="2" s="1"/>
  <c r="U28" i="2" s="1"/>
  <c r="V28" i="2" s="1"/>
  <c r="W28" i="2" s="1"/>
  <c r="X28" i="2" s="1"/>
  <c r="S29" i="2"/>
  <c r="S8" i="2"/>
  <c r="T8" i="2" s="1"/>
  <c r="U8" i="2" s="1"/>
  <c r="V8" i="2" s="1"/>
  <c r="W8" i="2" s="1"/>
  <c r="M60" i="2"/>
  <c r="M59" i="2"/>
  <c r="M58" i="2"/>
  <c r="AF56" i="2"/>
  <c r="AK71" i="2" l="1"/>
  <c r="I71" i="2" s="1"/>
  <c r="I72" i="2" s="1"/>
  <c r="AK69" i="2"/>
  <c r="AN69" i="2" s="1"/>
  <c r="AK70" i="2"/>
  <c r="AN70" i="2" s="1"/>
  <c r="AK72" i="2"/>
  <c r="AN72" i="2" s="1"/>
  <c r="X23" i="2"/>
  <c r="AA23" i="2" s="1"/>
  <c r="X9" i="2"/>
  <c r="Y9" i="2" s="1"/>
  <c r="X8" i="2"/>
  <c r="Y8" i="2" s="1"/>
  <c r="Z27" i="2"/>
  <c r="K27" i="2" s="1"/>
  <c r="T27" i="2" s="1"/>
  <c r="U27" i="2" s="1"/>
  <c r="V27" i="2" s="1"/>
  <c r="W27" i="2" s="1"/>
  <c r="X27" i="2" s="1"/>
  <c r="O27" i="2"/>
  <c r="T57" i="2" s="1"/>
  <c r="X17" i="2"/>
  <c r="Y17" i="2" s="1"/>
  <c r="P59" i="2" a="1"/>
  <c r="P59" i="2" s="1"/>
  <c r="B26" i="2"/>
  <c r="X12" i="2"/>
  <c r="Y12" i="2" s="1"/>
  <c r="X21" i="2"/>
  <c r="Y21" i="2" s="1"/>
  <c r="X16" i="2"/>
  <c r="Y16" i="2" s="1"/>
  <c r="P52" i="2"/>
  <c r="F126" i="2"/>
  <c r="K126" i="2" s="1"/>
  <c r="J42" i="2"/>
  <c r="X18" i="2"/>
  <c r="Y18" i="2" s="1"/>
  <c r="X11" i="2"/>
  <c r="Y11" i="2" s="1"/>
  <c r="D38" i="2"/>
  <c r="B8" i="2"/>
  <c r="T29" i="2"/>
  <c r="U29" i="2" s="1"/>
  <c r="V29" i="2" s="1"/>
  <c r="W29" i="2" s="1"/>
  <c r="X29" i="2" s="1"/>
  <c r="Y29" i="2" s="1"/>
  <c r="J60" i="2"/>
  <c r="F124" i="2"/>
  <c r="K124" i="2" s="1"/>
  <c r="Y31" i="2"/>
  <c r="Y32" i="2"/>
  <c r="F123" i="2"/>
  <c r="AK68" i="2"/>
  <c r="AN68" i="2" s="1"/>
  <c r="AK65" i="2"/>
  <c r="AN65" i="2" s="1"/>
  <c r="D39" i="2"/>
  <c r="AF39" i="2"/>
  <c r="X26" i="2"/>
  <c r="Y26" i="2" s="1"/>
  <c r="Y28" i="2"/>
  <c r="AA28" i="2"/>
  <c r="D51" i="2"/>
  <c r="AF51" i="2"/>
  <c r="D43" i="2"/>
  <c r="AF43" i="2"/>
  <c r="D45" i="2"/>
  <c r="AF45" i="2"/>
  <c r="D50" i="2"/>
  <c r="AF50" i="2"/>
  <c r="B12" i="2"/>
  <c r="AF42" i="2"/>
  <c r="B11" i="2"/>
  <c r="AF41" i="2"/>
  <c r="X25" i="2"/>
  <c r="Y25" i="2" s="1"/>
  <c r="D48" i="2"/>
  <c r="AF48" i="2"/>
  <c r="B10" i="2"/>
  <c r="AF40" i="2"/>
  <c r="E24" i="3"/>
  <c r="G24" i="3" s="1"/>
  <c r="AL59" i="2"/>
  <c r="D44" i="2"/>
  <c r="AF44" i="2"/>
  <c r="B20" i="2"/>
  <c r="X15" i="2"/>
  <c r="D47" i="2"/>
  <c r="AF47" i="2"/>
  <c r="B23" i="2"/>
  <c r="AF53" i="2"/>
  <c r="D52" i="2"/>
  <c r="AF52" i="2"/>
  <c r="B19" i="2"/>
  <c r="AF49" i="2"/>
  <c r="B13" i="2"/>
  <c r="X22" i="2"/>
  <c r="D53" i="2"/>
  <c r="B16" i="2"/>
  <c r="AF46" i="2"/>
  <c r="X30" i="2"/>
  <c r="X14" i="2"/>
  <c r="P57" i="2"/>
  <c r="J40" i="2"/>
  <c r="P49" i="2"/>
  <c r="P58" i="2"/>
  <c r="B18" i="2"/>
  <c r="B24" i="2"/>
  <c r="X13" i="2"/>
  <c r="J50" i="2"/>
  <c r="X19" i="2"/>
  <c r="P45" i="2"/>
  <c r="AF54" i="2"/>
  <c r="B9" i="2"/>
  <c r="D49" i="2"/>
  <c r="AK63" i="2"/>
  <c r="I63" i="2" s="1"/>
  <c r="AO63" i="2" s="1"/>
  <c r="I57" i="2"/>
  <c r="P62" i="2"/>
  <c r="P61" i="2"/>
  <c r="I61" i="2"/>
  <c r="I62" i="2"/>
  <c r="J61" i="2"/>
  <c r="J62" i="2"/>
  <c r="AF55" i="2"/>
  <c r="J38" i="2"/>
  <c r="B22" i="3" s="1"/>
  <c r="J54" i="2"/>
  <c r="J47" i="2"/>
  <c r="J43" i="2"/>
  <c r="P38" i="2"/>
  <c r="C22" i="3" s="1"/>
  <c r="P41" i="2"/>
  <c r="X24" i="2"/>
  <c r="Y24" i="2" s="1"/>
  <c r="J49" i="2"/>
  <c r="J57" i="2"/>
  <c r="J58" i="2" s="1"/>
  <c r="P50" i="2"/>
  <c r="P42" i="2"/>
  <c r="P46" i="2"/>
  <c r="C23" i="3" s="1"/>
  <c r="B25" i="2"/>
  <c r="P51" i="2"/>
  <c r="J45" i="2"/>
  <c r="P44" i="2"/>
  <c r="J55" i="2"/>
  <c r="B22" i="2"/>
  <c r="J39" i="2"/>
  <c r="J44" i="2"/>
  <c r="J46" i="2"/>
  <c r="B23" i="3" s="1"/>
  <c r="P43" i="2"/>
  <c r="J52" i="2"/>
  <c r="I54" i="2"/>
  <c r="I55" i="2" s="1"/>
  <c r="I56" i="2" s="1"/>
  <c r="J56" i="2"/>
  <c r="B15" i="2"/>
  <c r="P40" i="2"/>
  <c r="P48" i="2"/>
  <c r="P55" i="2"/>
  <c r="P54" i="2"/>
  <c r="P56" i="2"/>
  <c r="AK64" i="2"/>
  <c r="AN64" i="2" s="1"/>
  <c r="AI54" i="2"/>
  <c r="X20" i="2"/>
  <c r="J48" i="2"/>
  <c r="J41" i="2"/>
  <c r="J51" i="2"/>
  <c r="P53" i="2"/>
  <c r="P47" i="2"/>
  <c r="AK67" i="2"/>
  <c r="AN67" i="2" s="1"/>
  <c r="E22" i="3"/>
  <c r="K123" i="2"/>
  <c r="B17" i="2"/>
  <c r="D46" i="2"/>
  <c r="D40" i="2"/>
  <c r="P39" i="2"/>
  <c r="E23" i="3"/>
  <c r="A135" i="2"/>
  <c r="B121" i="2"/>
  <c r="D121" i="2" s="1"/>
  <c r="F122" i="2" s="1"/>
  <c r="F125" i="2"/>
  <c r="K125" i="2" s="1"/>
  <c r="X10" i="2"/>
  <c r="AI55" i="2"/>
  <c r="D41" i="2"/>
  <c r="I40" i="2"/>
  <c r="I45" i="2"/>
  <c r="I38" i="2"/>
  <c r="I44" i="2"/>
  <c r="I46" i="2"/>
  <c r="I47" i="2"/>
  <c r="I60" i="2"/>
  <c r="I42" i="2"/>
  <c r="I59" i="2"/>
  <c r="I43" i="2"/>
  <c r="I51" i="2"/>
  <c r="I49" i="2"/>
  <c r="I53" i="2"/>
  <c r="I50" i="2"/>
  <c r="I39" i="2"/>
  <c r="I52" i="2"/>
  <c r="I41" i="2"/>
  <c r="I48" i="2"/>
  <c r="AL57" i="2"/>
  <c r="AH56" i="2"/>
  <c r="AL56" i="2" s="1"/>
  <c r="AH54" i="2"/>
  <c r="AH55" i="2"/>
  <c r="AL55" i="2" s="1"/>
  <c r="AI56" i="2"/>
  <c r="D42" i="2"/>
  <c r="AN71" i="2" l="1"/>
  <c r="Y23" i="2"/>
  <c r="AO71" i="2"/>
  <c r="AO72" i="2"/>
  <c r="I70" i="2"/>
  <c r="AO70" i="2" s="1"/>
  <c r="I69" i="2"/>
  <c r="AO69" i="2" s="1"/>
  <c r="AA17" i="2"/>
  <c r="AA12" i="2"/>
  <c r="AA16" i="2"/>
  <c r="AA21" i="2"/>
  <c r="E128" i="2"/>
  <c r="F128" i="2" s="1"/>
  <c r="K128" i="2" s="1"/>
  <c r="AA11" i="2"/>
  <c r="AA29" i="2"/>
  <c r="AA18" i="2"/>
  <c r="AK61" i="2"/>
  <c r="AO61" i="2" s="1"/>
  <c r="I65" i="2"/>
  <c r="I68" i="2"/>
  <c r="AO68" i="2" s="1"/>
  <c r="Y30" i="2"/>
  <c r="AA30" i="2"/>
  <c r="Y14" i="2"/>
  <c r="AA14" i="2"/>
  <c r="Y22" i="2"/>
  <c r="AA22" i="2"/>
  <c r="Y15" i="2"/>
  <c r="AA15" i="2"/>
  <c r="Y20" i="2"/>
  <c r="AA20" i="2"/>
  <c r="Y19" i="2"/>
  <c r="AA19" i="2"/>
  <c r="Y10" i="2"/>
  <c r="AA10" i="2"/>
  <c r="AK58" i="2"/>
  <c r="AN58" i="2" s="1"/>
  <c r="Y13" i="2"/>
  <c r="AA13" i="2"/>
  <c r="Y27" i="2"/>
  <c r="AA27" i="2"/>
  <c r="AK57" i="2"/>
  <c r="AN57" i="2" s="1"/>
  <c r="AN63" i="2"/>
  <c r="G23" i="3"/>
  <c r="G22" i="3"/>
  <c r="AK55" i="2"/>
  <c r="AN55" i="2" s="1"/>
  <c r="I64" i="2"/>
  <c r="AO64" i="2" s="1"/>
  <c r="AM55" i="2"/>
  <c r="Z25" i="2" s="1"/>
  <c r="AA25" i="2" s="1"/>
  <c r="AK62" i="2"/>
  <c r="AN62" i="2" s="1"/>
  <c r="I67" i="2"/>
  <c r="AO67" i="2" s="1"/>
  <c r="E127" i="2"/>
  <c r="F127" i="2" s="1"/>
  <c r="K127" i="2" s="1"/>
  <c r="K122" i="2"/>
  <c r="AK54" i="2"/>
  <c r="AL54" i="2"/>
  <c r="AM56" i="2"/>
  <c r="Z26" i="2" s="1"/>
  <c r="AA26" i="2" s="1"/>
  <c r="AK56" i="2"/>
  <c r="AN56" i="2" s="1"/>
  <c r="AM54" i="2"/>
  <c r="Z24" i="2" s="1"/>
  <c r="AA24" i="2" s="1"/>
  <c r="AO65" i="2" l="1"/>
  <c r="I66" i="2"/>
  <c r="AN61" i="2"/>
  <c r="I58" i="2"/>
  <c r="AO58" i="2" s="1"/>
  <c r="AO57" i="2"/>
  <c r="AO55" i="2"/>
  <c r="B31" i="3"/>
  <c r="AO62" i="2"/>
  <c r="AO56" i="2"/>
  <c r="AO54" i="2"/>
  <c r="AN5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C2" authorId="0" shapeId="0" xr:uid="{B427684F-2A4E-3843-9534-27CA9F5E0034}">
      <text>
        <r>
          <rPr>
            <sz val="10"/>
            <color rgb="FF000000"/>
            <rFont val="Tahoma"/>
            <family val="2"/>
          </rPr>
          <t xml:space="preserve">converts O&amp;M costs in 1987$ to 2016$, based on Q1 values of GDP deflator shown at </t>
        </r>
        <r>
          <rPr>
            <sz val="10"/>
            <color rgb="FF000000"/>
            <rFont val="Calibri"/>
            <family val="2"/>
          </rPr>
          <t xml:space="preserve">https://fred.stlouisfed.org/series/GDPDEF
</t>
        </r>
        <r>
          <rPr>
            <sz val="10"/>
            <color rgb="FF000000"/>
            <rFont val="Tahoma"/>
            <family val="2"/>
          </rPr>
          <t xml:space="preserve">
</t>
        </r>
      </text>
    </comment>
    <comment ref="D2" authorId="0" shapeId="0" xr:uid="{0C295B35-C85F-554D-8F00-4C61CB44BA77}">
      <text>
        <r>
          <rPr>
            <sz val="10"/>
            <color rgb="FF000000"/>
            <rFont val="Tahoma"/>
            <family val="2"/>
          </rPr>
          <t xml:space="preserve">converts O&amp;M costs in 1987$ to 2016$, based on Q1 values of GDP deflator shown at </t>
        </r>
        <r>
          <rPr>
            <sz val="10"/>
            <color rgb="FF000000"/>
            <rFont val="Calibri"/>
            <family val="2"/>
          </rPr>
          <t xml:space="preserve">https://fred.stlouisfed.org/series/GDPDEF
</t>
        </r>
        <r>
          <rPr>
            <sz val="10"/>
            <color rgb="FF000000"/>
            <rFont val="Tahoma"/>
            <family val="2"/>
          </rPr>
          <t xml:space="preserve">
</t>
        </r>
      </text>
    </comment>
    <comment ref="E2" authorId="0" shapeId="0" xr:uid="{407080B2-DA75-894E-A950-0186EA751350}">
      <text>
        <r>
          <rPr>
            <sz val="10"/>
            <color rgb="FF000000"/>
            <rFont val="Tahoma"/>
            <family val="2"/>
          </rPr>
          <t xml:space="preserve">converts O&amp;M costs in 1987$ to 2016$, based on Q1 values of GDP deflator shown at </t>
        </r>
        <r>
          <rPr>
            <sz val="10"/>
            <color rgb="FF000000"/>
            <rFont val="Calibri"/>
            <family val="2"/>
          </rPr>
          <t xml:space="preserve">https://fred.stlouisfed.org/series/GDPDEF
</t>
        </r>
        <r>
          <rPr>
            <sz val="10"/>
            <color rgb="FF000000"/>
            <rFont val="Tahoma"/>
            <family val="2"/>
          </rPr>
          <t xml:space="preserve">
</t>
        </r>
      </text>
    </comment>
    <comment ref="F2" authorId="0" shapeId="0" xr:uid="{B5874F9E-8F4B-124A-AE3D-156876395C29}">
      <text>
        <r>
          <rPr>
            <sz val="10"/>
            <color rgb="FF000000"/>
            <rFont val="Tahoma"/>
            <family val="2"/>
          </rPr>
          <t xml:space="preserve">converts O&amp;M costs in 1987$ to 2016$, based on Q1 values of GDP deflator shown at </t>
        </r>
        <r>
          <rPr>
            <sz val="10"/>
            <color rgb="FF000000"/>
            <rFont val="Calibri"/>
            <family val="2"/>
          </rPr>
          <t xml:space="preserve">https://fred.stlouisfed.org/series/GDPDEF
</t>
        </r>
        <r>
          <rPr>
            <sz val="10"/>
            <color rgb="FF000000"/>
            <rFont val="Tahoma"/>
            <family val="2"/>
          </rPr>
          <t xml:space="preserve">
</t>
        </r>
      </text>
    </comment>
    <comment ref="P16" authorId="0" shapeId="0" xr:uid="{00000000-0006-0000-0000-000001000000}">
      <text>
        <r>
          <rPr>
            <sz val="9"/>
            <color rgb="FF000000"/>
            <rFont val="Calibri"/>
            <family val="2"/>
          </rPr>
          <t>converted hourly cost to cost per MWh, assuming operation in middle of range</t>
        </r>
      </text>
    </comment>
    <comment ref="Z16" authorId="0" shapeId="0" xr:uid="{188B4713-72F8-EB42-A933-E88572DA3A65}">
      <text>
        <r>
          <rPr>
            <sz val="10"/>
            <color rgb="FF000000"/>
            <rFont val="Tahoma"/>
            <family val="2"/>
          </rPr>
          <t>Actual heat rate in 2018 was much higher than HSIS but cap factor was very low, so HSIS remains (more) plausible. So we stick with HSIS.</t>
        </r>
      </text>
    </comment>
    <comment ref="P17" authorId="0" shapeId="0" xr:uid="{00000000-0006-0000-0000-000002000000}">
      <text>
        <r>
          <rPr>
            <sz val="9"/>
            <color rgb="FF000000"/>
            <rFont val="Calibri"/>
            <family val="2"/>
          </rPr>
          <t>converted hourly cost to cost per MWh, assuming operation in middle of range</t>
        </r>
      </text>
    </comment>
    <comment ref="Z17" authorId="0" shapeId="0" xr:uid="{30F9B2E1-7536-E14D-AE3B-6B1074FF660B}">
      <text>
        <r>
          <rPr>
            <sz val="10"/>
            <color rgb="FF000000"/>
            <rFont val="Tahoma"/>
            <family val="2"/>
          </rPr>
          <t>Actual heat rate in 2018 was much higher than HSIS but cap factor was very low, so HSIS remains (more) plausible. So we stick with HSIS.</t>
        </r>
      </text>
    </comment>
    <comment ref="P24" authorId="0" shapeId="0" xr:uid="{00000000-0006-0000-0000-000003000000}">
      <text>
        <r>
          <rPr>
            <sz val="9"/>
            <color rgb="FF000000"/>
            <rFont val="Calibri"/>
            <family val="2"/>
          </rPr>
          <t>From p. 18 of Coffman UHERO report at http://uhero.hawaii.edu/assets/WP_2014-5.pdf</t>
        </r>
      </text>
    </comment>
    <comment ref="G27" authorId="0" shapeId="0" xr:uid="{1D570096-6499-6B4B-945C-A5355F949DA9}">
      <text>
        <r>
          <rPr>
            <sz val="10"/>
            <color rgb="FF000000"/>
            <rFont val="Tahoma"/>
            <family val="2"/>
          </rPr>
          <t>Changed from 185 to 180 to match GE RPS Study (http://www.hnei.hawaii.edu/projects/hawaii-rps-study) and EIA form 860 data for 2017.</t>
        </r>
      </text>
    </comment>
    <comment ref="K27" authorId="0" shapeId="0" xr:uid="{7011366D-D3C9-4943-8BF3-8B8252063245}">
      <text>
        <r>
          <rPr>
            <sz val="10"/>
            <color rgb="FF000000"/>
            <rFont val="Tahoma"/>
            <family val="2"/>
          </rPr>
          <t>In May 2020, we switched from GE HSIS heat rate (shown in table to right) to this value, to match actual average heat rate reported for 2018, since actual heat rate is much lower than GE and matches PPA better. Also switched to single-step heat rate curve since we don't know the shape well (keeping min load and min-load power from HSIS).</t>
        </r>
      </text>
    </comment>
    <comment ref="O27" authorId="0" shapeId="0" xr:uid="{AECB75FC-A914-2346-A209-56375193A443}">
      <text>
        <r>
          <rPr>
            <sz val="10"/>
            <color rgb="FF000000"/>
            <rFont val="Tahoma"/>
            <family val="2"/>
          </rPr>
          <t>In May 2020, we switched from GE HSIS heat rate (shown in table to right) to this value, to match actual average heat rate reported for 2018, since actual heat rate is much lower than GE and matches PPA better. Also switched to single-step heat rate curve since we don't know the shape well (keeping min load and min-load power from HSIS).</t>
        </r>
      </text>
    </comment>
    <comment ref="P27" authorId="0" shapeId="0" xr:uid="{00000000-0006-0000-0000-000004000000}">
      <text>
        <r>
          <rPr>
            <sz val="9"/>
            <color rgb="FF000000"/>
            <rFont val="Calibri"/>
            <family val="2"/>
          </rPr>
          <t>From p. 18 of Coffman UHERO report at http://uhero.hawaii.edu/assets/WP_2014-5.pdf</t>
        </r>
      </text>
    </comment>
    <comment ref="E28" authorId="0" shapeId="0" xr:uid="{00000000-0006-0000-0000-000005000000}">
      <text>
        <r>
          <rPr>
            <sz val="9"/>
            <color rgb="FF000000"/>
            <rFont val="Calibri"/>
            <family val="2"/>
          </rPr>
          <t>Removed heat rate (74014!) because it runs on waste, which is a non-fuel in SWITCH-Hawaii.</t>
        </r>
      </text>
    </comment>
    <comment ref="G28" authorId="0" shapeId="0" xr:uid="{00000000-0006-0000-0000-000006000000}">
      <text>
        <r>
          <rPr>
            <sz val="9"/>
            <color rgb="FF000000"/>
            <rFont val="Calibri"/>
            <family val="2"/>
          </rPr>
          <t>removed 73 MW operating point because we don't use a heat rate curve for MSW (treat as non-fuel energy source)</t>
        </r>
      </text>
    </comment>
    <comment ref="P28" authorId="0" shapeId="0" xr:uid="{00000000-0006-0000-0000-000007000000}">
      <text>
        <r>
          <rPr>
            <sz val="9"/>
            <color rgb="FF000000"/>
            <rFont val="Calibri"/>
            <family val="2"/>
          </rPr>
          <t>From p. 18 of Coffman UHERO report at http://uhero.hawaii.edu/assets/WP_2014-5.pdf</t>
        </r>
      </text>
    </comment>
    <comment ref="C29" authorId="0" shapeId="0" xr:uid="{00000000-0006-0000-0000-000008000000}">
      <text>
        <r>
          <rPr>
            <sz val="9"/>
            <color rgb="FF000000"/>
            <rFont val="Calibri"/>
            <family val="2"/>
          </rPr>
          <t>This is Siemens SGT6-3000E per final order in docket 2005-0145</t>
        </r>
      </text>
    </comment>
    <comment ref="D29" authorId="0" shapeId="0" xr:uid="{83F06EFA-5D72-BF41-A14F-3F6180AA2E03}">
      <text>
        <r>
          <rPr>
            <sz val="10"/>
            <color rgb="FF000000"/>
            <rFont val="Tahoma"/>
            <family val="2"/>
          </rPr>
          <t xml:space="preserve">We switched from Biodiesel to Diesel May 2020 (but Switch was allowing diesel before then anyway).
</t>
        </r>
        <r>
          <rPr>
            <sz val="10"/>
            <color rgb="FF000000"/>
            <rFont val="Tahoma"/>
            <family val="2"/>
          </rPr>
          <t xml:space="preserve">
</t>
        </r>
        <r>
          <rPr>
            <sz val="10"/>
            <color rgb="FF000000"/>
            <rFont val="Tahoma"/>
            <family val="2"/>
          </rPr>
          <t xml:space="preserve">Labeled as biodiesel-only in HSIS and https://www.hawaiianelectric.com/clean-energy-hawaii/our-clean-energy-portfolio/renewable-energy-sources/biofuels
</t>
        </r>
        <r>
          <rPr>
            <sz val="10"/>
            <color rgb="FF000000"/>
            <rFont val="Tahoma"/>
            <family val="2"/>
          </rPr>
          <t xml:space="preserve">
</t>
        </r>
        <r>
          <rPr>
            <sz val="10"/>
            <color rgb="FF000000"/>
            <rFont val="Tahoma"/>
            <family val="2"/>
          </rPr>
          <t xml:space="preserve">But in RESOLVE modeling for 2016 PSIP, HECO modeled it as diesel until 2045 then biodiesel. 
</t>
        </r>
        <r>
          <rPr>
            <sz val="10"/>
            <color rgb="FF000000"/>
            <rFont val="Tahoma"/>
            <family val="2"/>
          </rPr>
          <t xml:space="preserve">
</t>
        </r>
        <r>
          <rPr>
            <sz val="10"/>
            <color rgb="FF000000"/>
            <rFont val="Tahoma"/>
            <family val="2"/>
          </rPr>
          <t xml:space="preserve">EIA form 923 says it ran on biodiesel before Nov. 2018, then diesel after (at least till the start of 2020, maybe longer).
</t>
        </r>
      </text>
    </comment>
    <comment ref="K29" authorId="0" shapeId="0" xr:uid="{00000000-0006-0000-0000-000009000000}">
      <text>
        <r>
          <rPr>
            <sz val="9"/>
            <color rgb="FF000000"/>
            <rFont val="Calibri"/>
            <family val="2"/>
          </rPr>
          <t>Assigned a value to make consistent with full-load heat rate</t>
        </r>
      </text>
    </comment>
    <comment ref="Z29" authorId="0" shapeId="0" xr:uid="{9B4BDF3E-A555-C043-91E4-725BDD1B049E}">
      <text>
        <r>
          <rPr>
            <sz val="10"/>
            <color rgb="FF000000"/>
            <rFont val="Tahoma"/>
            <family val="2"/>
          </rPr>
          <t>Actual heat rate in 2018 was much higher than HSIS but cap factor was very low, so HSIS remains (more) plausible. So we stick with HSIS.</t>
        </r>
      </text>
    </comment>
    <comment ref="E30" authorId="0" shapeId="0" xr:uid="{A99B5C6C-7BF2-A54A-BEF8-ADC5F87BAA2E}">
      <text>
        <r>
          <rPr>
            <sz val="9"/>
            <color rgb="FF000000"/>
            <rFont val="Calibri"/>
            <family val="2"/>
          </rPr>
          <t>Changed from 40.8 to be consistent with 8 MW min/max load and 10,205 full load heat rate</t>
        </r>
      </text>
    </comment>
    <comment ref="F30" authorId="0" shapeId="0" xr:uid="{AC32C38A-3FC3-3A4B-8678-472CB79B7084}">
      <text>
        <r>
          <rPr>
            <sz val="9"/>
            <color rgb="FF000000"/>
            <rFont val="Calibri"/>
            <family val="2"/>
          </rPr>
          <t>Changed from  0 because HECO can only run gen at 8 MW (and only 1500 h/y) per application (p. 23) in docket 2008-0329</t>
        </r>
      </text>
    </comment>
    <comment ref="K30" authorId="0" shapeId="0" xr:uid="{9964E136-D518-484C-A0E4-62790B381E23}">
      <text>
        <r>
          <rPr>
            <sz val="9"/>
            <color rgb="FF000000"/>
            <rFont val="Calibri"/>
            <family val="2"/>
          </rPr>
          <t>removed 10,205 from here because it has no corresponding power point</t>
        </r>
      </text>
    </comment>
    <comment ref="D31" authorId="0" shapeId="0" xr:uid="{3456A0BB-9264-DF45-9C78-66D4CD280E66}">
      <text>
        <r>
          <rPr>
            <sz val="10"/>
            <color rgb="FF000000"/>
            <rFont val="Tahoma"/>
            <family val="2"/>
          </rPr>
          <t>Mainly burns "other gases" and waste oil, but we represent it as LSFO</t>
        </r>
      </text>
    </comment>
    <comment ref="E31" authorId="0" shapeId="0" xr:uid="{568ABB3B-7195-0040-9659-12BCCF32C0AA}">
      <text>
        <r>
          <rPr>
            <sz val="10"/>
            <color rgb="FF000000"/>
            <rFont val="Tahoma"/>
            <family val="2"/>
          </rPr>
          <t>Based on total fuel used for electricity production in 2018 EIA Form 923</t>
        </r>
      </text>
    </comment>
    <comment ref="F31" authorId="0" shapeId="0" xr:uid="{9F16423F-4A23-D84F-A81C-F49AE1AD9478}">
      <text>
        <r>
          <rPr>
            <sz val="10"/>
            <color rgb="FF000000"/>
            <rFont val="Tahoma"/>
            <family val="2"/>
          </rPr>
          <t xml:space="preserve">3 x 3.0 MW and 1 x 3.2 MW according to EIA form 860, but we model as a single unit
</t>
        </r>
        <r>
          <rPr>
            <sz val="10"/>
            <color rgb="FF000000"/>
            <rFont val="Tahoma"/>
            <family val="2"/>
          </rPr>
          <t xml:space="preserve">
</t>
        </r>
        <r>
          <rPr>
            <sz val="10"/>
            <color rgb="FF000000"/>
            <rFont val="Tahoma"/>
            <family val="2"/>
          </rPr>
          <t xml:space="preserve">Modeled as running only at full capacity (derated by outage rate) to force baseload operation (otherwise, with baseload flag, Switch forces commitment but allows free dispatch within allowed range)
</t>
        </r>
      </text>
    </comment>
    <comment ref="D32" authorId="0" shapeId="0" xr:uid="{DEE5315B-0FBB-954D-A1D4-02B38CA838F4}">
      <text>
        <r>
          <rPr>
            <sz val="10"/>
            <color rgb="FF000000"/>
            <rFont val="Tahoma"/>
            <family val="2"/>
          </rPr>
          <t>Mainly burns waste oil, but we represent it as LSFO</t>
        </r>
      </text>
    </comment>
    <comment ref="E32" authorId="0" shapeId="0" xr:uid="{88F73AF0-3CA7-3D46-9CA1-B4D1CDCA0EEE}">
      <text>
        <r>
          <rPr>
            <sz val="10"/>
            <color rgb="FF000000"/>
            <rFont val="Tahoma"/>
            <family val="2"/>
          </rPr>
          <t>Based on total fuel used for electricity production in 2018 EIA Form 923</t>
        </r>
      </text>
    </comment>
    <comment ref="F32" authorId="0" shapeId="0" xr:uid="{FE9FAD04-B0D7-B845-A63A-F5D9906CB445}">
      <text>
        <r>
          <rPr>
            <sz val="10"/>
            <color rgb="FF000000"/>
            <rFont val="Tahoma"/>
            <family val="2"/>
          </rPr>
          <t xml:space="preserve">Modeled as running only at full capacity (derated by outage rate) to force baseload operation (otherwise, with baseload flag, Switch forces commitment but allows free dispatch within allowed range)
</t>
        </r>
      </text>
    </comment>
    <comment ref="D37" authorId="0" shapeId="0" xr:uid="{116F1F33-7301-8D42-98C3-385F3CD775FF}">
      <text>
        <r>
          <rPr>
            <sz val="10"/>
            <color rgb="FF000000"/>
            <rFont val="Tahoma"/>
            <family val="2"/>
          </rPr>
          <t>Not used in Switch but useful for documentation.</t>
        </r>
      </text>
    </comment>
    <comment ref="E37" authorId="0" shapeId="0" xr:uid="{E011CE7B-D4D2-0044-87C7-44CA2EE0FF88}">
      <text>
        <r>
          <rPr>
            <sz val="9"/>
            <color rgb="FF000000"/>
            <rFont val="Calibri"/>
            <family val="2"/>
          </rPr>
          <t>site and orientation for existing renewable projects will be looked up in import_data.py</t>
        </r>
      </text>
    </comment>
    <comment ref="F37" authorId="0" shapeId="0" xr:uid="{F3D07CC3-65D9-F44F-9B3A-D9C25A7AEAF0}">
      <text>
        <r>
          <rPr>
            <sz val="9"/>
            <color rgb="FF000000"/>
            <rFont val="Calibri"/>
            <family val="2"/>
          </rPr>
          <t>site and orientation for existing renewable projects will be looked up in import_data.py</t>
        </r>
      </text>
    </comment>
    <comment ref="G37" authorId="0" shapeId="0" xr:uid="{00000000-0006-0000-0000-00000D000000}">
      <text>
        <r>
          <rPr>
            <sz val="9"/>
            <color rgb="FF000000"/>
            <rFont val="Calibri"/>
            <family val="2"/>
          </rPr>
          <t>from EIA 860 or 923 database unless otherwise noted</t>
        </r>
      </text>
    </comment>
    <comment ref="H37" authorId="0" shapeId="0" xr:uid="{00000000-0006-0000-0000-00000E000000}">
      <text>
        <r>
          <rPr>
            <sz val="9"/>
            <color rgb="FF000000"/>
            <rFont val="Calibri"/>
            <family val="2"/>
          </rPr>
          <t>Despite the name, this is actually the amount of capacity added in each project in the specified year.</t>
        </r>
      </text>
    </comment>
    <comment ref="I37" authorId="0" shapeId="0" xr:uid="{00000000-0006-0000-0000-00000F000000}">
      <text>
        <r>
          <rPr>
            <sz val="9"/>
            <color rgb="FF000000"/>
            <rFont val="Calibri"/>
            <family val="2"/>
          </rPr>
          <t>$/kW, can be omitted if technology and build_year are covered by the new generator costs workbook</t>
        </r>
      </text>
    </comment>
    <comment ref="J37" authorId="0" shapeId="0" xr:uid="{00000000-0006-0000-0000-000010000000}">
      <text>
        <r>
          <rPr>
            <sz val="9"/>
            <color rgb="FF000000"/>
            <rFont val="Calibri"/>
            <family val="2"/>
          </rPr>
          <t xml:space="preserve">$/kW-year
</t>
        </r>
        <r>
          <rPr>
            <sz val="9"/>
            <color rgb="FF000000"/>
            <rFont val="Calibri"/>
            <family val="2"/>
          </rPr>
          <t xml:space="preserve">Can be omitted if technology and build_year are covered by the new generator costs workbook
</t>
        </r>
        <r>
          <rPr>
            <sz val="9"/>
            <color rgb="FF000000"/>
            <rFont val="Calibri"/>
            <family val="2"/>
          </rPr>
          <t xml:space="preserve">
</t>
        </r>
        <r>
          <rPr>
            <sz val="9"/>
            <color rgb="FF000000"/>
            <rFont val="Calibri"/>
            <family val="2"/>
          </rPr>
          <t xml:space="preserve">For pre-2000 plants, this is taken from Assumptions to AEO 1996 (earliest available) and converted from 1987$ to 2016$.
</t>
        </r>
        <r>
          <rPr>
            <sz val="9"/>
            <color rgb="FF000000"/>
            <rFont val="Calibri"/>
            <family val="2"/>
          </rPr>
          <t xml:space="preserve">
</t>
        </r>
        <r>
          <rPr>
            <sz val="9"/>
            <color rgb="FF000000"/>
            <rFont val="Calibri"/>
            <family val="2"/>
          </rPr>
          <t xml:space="preserve">For newer plants, we use values from matching year of Assumptions to AEO.
</t>
        </r>
        <r>
          <rPr>
            <sz val="9"/>
            <color rgb="FF000000"/>
            <rFont val="Calibri"/>
            <family val="2"/>
          </rPr>
          <t xml:space="preserve">
</t>
        </r>
        <r>
          <rPr>
            <sz val="9"/>
            <color rgb="FF000000"/>
            <rFont val="Calibri"/>
            <family val="2"/>
          </rPr>
          <t xml:space="preserve">Before November 2019 we used $0 for fixed O&amp;M (unrealistic).
</t>
        </r>
      </text>
    </comment>
    <comment ref="K37" authorId="0" shapeId="0" xr:uid="{F0173A32-3B7B-0E48-A352-47CC9E5FE7BC}">
      <text>
        <r>
          <rPr>
            <sz val="10"/>
            <color rgb="FF000000"/>
            <rFont val="Tahoma"/>
            <family val="2"/>
          </rPr>
          <t>If latitude and longitude are specified, they are used to match existing renewable projects to available resources and/or to calculate spur line cost to interconnect; if omitted, spur line cost will be assumed 0.</t>
        </r>
      </text>
    </comment>
    <comment ref="M37" authorId="0" shapeId="0" xr:uid="{00000000-0006-0000-0000-000011000000}">
      <text>
        <r>
          <rPr>
            <sz val="9"/>
            <color rgb="FF000000"/>
            <rFont val="Calibri"/>
            <family val="2"/>
          </rPr>
          <t xml:space="preserve">assumed unavailable in retirement year
</t>
        </r>
        <r>
          <rPr>
            <sz val="9"/>
            <color rgb="FF000000"/>
            <rFont val="Calibri"/>
            <family val="2"/>
          </rPr>
          <t xml:space="preserve">
</t>
        </r>
        <r>
          <rPr>
            <sz val="9"/>
            <color rgb="FF000000"/>
            <rFont val="Calibri"/>
            <family val="2"/>
          </rPr>
          <t xml:space="preserve">Unless otherwise noted, these are the latest dates in either the "E3 Plan" or "E3 Plan with Generation Modernization" from the 2016-12-31 PSIP. Effectively that means the Gen Mod dates except Kahe 5 &amp; 6, which are from the base plan. 
</t>
        </r>
        <r>
          <rPr>
            <sz val="9"/>
            <color rgb="FF000000"/>
            <rFont val="Calibri"/>
            <family val="2"/>
          </rPr>
          <t xml:space="preserve">
</t>
        </r>
        <r>
          <rPr>
            <sz val="9"/>
            <color rgb="FF000000"/>
            <rFont val="Calibri"/>
            <family val="2"/>
          </rPr>
          <t>Note that "HECO construction plan 2020-03-17.docx" is the same as the Gen Mod plan.</t>
        </r>
      </text>
    </comment>
    <comment ref="P37" authorId="0" shapeId="0" xr:uid="{F3D58DC9-6A4E-C844-A906-268EFD646FBD}">
      <text>
        <r>
          <rPr>
            <sz val="10"/>
            <color rgb="FF000000"/>
            <rFont val="Tahoma"/>
            <family val="2"/>
          </rPr>
          <t xml:space="preserve">$/MWh
</t>
        </r>
        <r>
          <rPr>
            <sz val="10"/>
            <color rgb="FF000000"/>
            <rFont val="Tahoma"/>
            <family val="2"/>
          </rPr>
          <t xml:space="preserve">
</t>
        </r>
        <r>
          <rPr>
            <sz val="10"/>
            <color rgb="FF000000"/>
            <rFont val="Tahoma"/>
            <family val="2"/>
          </rPr>
          <t xml:space="preserve">For pre-2000 plants, this is taken from Assumptions to AEO 1996 (earliest available) and converted from 1987$ to 2016$.
</t>
        </r>
        <r>
          <rPr>
            <sz val="10"/>
            <color rgb="FF000000"/>
            <rFont val="Tahoma"/>
            <family val="2"/>
          </rPr>
          <t xml:space="preserve">
</t>
        </r>
        <r>
          <rPr>
            <sz val="10"/>
            <color rgb="FF000000"/>
            <rFont val="Tahoma"/>
            <family val="2"/>
          </rPr>
          <t xml:space="preserve">For newer plants, we use values from matching year of Assumptions to AEO.
</t>
        </r>
        <r>
          <rPr>
            <sz val="10"/>
            <color rgb="FF000000"/>
            <rFont val="Tahoma"/>
            <family val="2"/>
          </rPr>
          <t xml:space="preserve">
</t>
        </r>
        <r>
          <rPr>
            <sz val="10"/>
            <color rgb="FF000000"/>
            <rFont val="Tahoma"/>
            <family val="2"/>
          </rPr>
          <t>Before November 2019 we used the unrealistically low numbers from HSIS (and $0 for fixed O&amp;M).</t>
        </r>
      </text>
    </comment>
    <comment ref="Q37" authorId="0" shapeId="0" xr:uid="{1F758CF4-8849-B142-B389-918A1A8B5D25}">
      <text>
        <r>
          <rPr>
            <sz val="10"/>
            <color rgb="FF000000"/>
            <rFont val="Tahoma"/>
            <family val="2"/>
          </rPr>
          <t>Currently ignored in switch_model.hawaii.scenario_data, so we just use scheduled_outage_rate to adjust output of baseload generators.</t>
        </r>
      </text>
    </comment>
    <comment ref="T37" authorId="0" shapeId="0" xr:uid="{00000000-0006-0000-0000-000012000000}">
      <text>
        <r>
          <rPr>
            <sz val="9"/>
            <color rgb="FF000000"/>
            <rFont val="Calibri"/>
            <family val="2"/>
          </rPr>
          <t>full load heat rate, Btu/kWh</t>
        </r>
      </text>
    </comment>
    <comment ref="X37" authorId="0" shapeId="0" xr:uid="{00000000-0006-0000-0000-000013000000}">
      <text>
        <r>
          <rPr>
            <sz val="9"/>
            <color rgb="FF000000"/>
            <rFont val="Calibri"/>
            <family val="2"/>
          </rPr>
          <t xml:space="preserve">closest match to HECO's definition of "baseload" -- must be committed, but level can be adjusted. This can be enabled or ignored in hawaii.scenario_data
</t>
        </r>
        <r>
          <rPr>
            <sz val="9"/>
            <color rgb="FF000000"/>
            <rFont val="Calibri"/>
            <family val="2"/>
          </rPr>
          <t xml:space="preserve">
</t>
        </r>
        <r>
          <rPr>
            <sz val="9"/>
            <color rgb="FF000000"/>
            <rFont val="Calibri"/>
            <family val="2"/>
          </rPr>
          <t>from Hawaii RPS Study, GE Energy Management Energy Consulting. 8.2 Thermal Generating Characteristics, Table 7: Thermal Generating Unit Properties</t>
        </r>
      </text>
    </comment>
    <comment ref="Y37" authorId="0" shapeId="0" xr:uid="{00000000-0006-0000-0000-000014000000}">
      <text>
        <r>
          <rPr>
            <sz val="9"/>
            <color rgb="FF000000"/>
            <rFont val="Calibri"/>
            <family val="2"/>
          </rPr>
          <t>Must be fully committed or fully non-committed during each timeseries (day). This is not currently implemented.</t>
        </r>
      </text>
    </comment>
    <comment ref="Z37" authorId="0" shapeId="0" xr:uid="{00000000-0006-0000-0000-000015000000}">
      <text>
        <r>
          <rPr>
            <sz val="9"/>
            <color rgb="FF000000"/>
            <rFont val="Calibri"/>
            <family val="2"/>
          </rPr>
          <t>forces dispatch at 100% unless otherwise specified</t>
        </r>
      </text>
    </comment>
    <comment ref="AB37" authorId="0" shapeId="0" xr:uid="{00000000-0006-0000-0000-000016000000}">
      <text>
        <r>
          <rPr>
            <sz val="9"/>
            <color indexed="81"/>
            <rFont val="Calibri"/>
            <family val="2"/>
          </rPr>
          <t>From GE Hawaii RPS Study for HNEI, 2015, https://www.hnei.hawaii.edu/projects/hawaii-rps-study</t>
        </r>
      </text>
    </comment>
    <comment ref="AC37" authorId="0" shapeId="0" xr:uid="{00000000-0006-0000-0000-000017000000}">
      <text>
        <r>
          <rPr>
            <sz val="9"/>
            <color indexed="81"/>
            <rFont val="Calibri"/>
            <family val="2"/>
          </rPr>
          <t>From GE Hawaii RPS Study for HNEI, 2015, https://www.hnei.hawaii.edu/projects/hawaii-rps-study</t>
        </r>
      </text>
    </comment>
    <comment ref="AD37" authorId="0" shapeId="0" xr:uid="{00000000-0006-0000-0000-000018000000}">
      <text>
        <r>
          <rPr>
            <sz val="9"/>
            <color rgb="FF000000"/>
            <rFont val="Calibri"/>
            <family val="2"/>
          </rPr>
          <t xml:space="preserve">MMBtu, for whole unit
</t>
        </r>
        <r>
          <rPr>
            <sz val="9"/>
            <color rgb="FF000000"/>
            <rFont val="Calibri"/>
            <family val="2"/>
          </rPr>
          <t>Used hot values from Hawaii RPS Study</t>
        </r>
      </text>
    </comment>
    <comment ref="AG37" authorId="0" shapeId="0" xr:uid="{1AC89052-DAB4-FF4B-A408-9D706DF5677F}">
      <text>
        <r>
          <rPr>
            <sz val="10"/>
            <color rgb="FF000000"/>
            <rFont val="Tahoma"/>
            <family val="2"/>
          </rPr>
          <t>from p. 66 of https://puc.hawaii.gov/wp-content/uploads/2018/12/FY18-PUC-Annual-Report_FINAL.pdf</t>
        </r>
      </text>
    </comment>
    <comment ref="AH37" authorId="0" shapeId="0" xr:uid="{0ABE13D5-DFBF-5042-8D8E-1BAA8DA02108}">
      <text>
        <r>
          <rPr>
            <sz val="10"/>
            <color rgb="FF000000"/>
            <rFont val="Tahoma"/>
            <family val="2"/>
          </rPr>
          <t>From EIA form 923 for 2018</t>
        </r>
      </text>
    </comment>
    <comment ref="AI37" authorId="0" shapeId="0" xr:uid="{5FD77176-95BE-5642-AE4A-17234585831A}">
      <text>
        <r>
          <rPr>
            <sz val="10"/>
            <color rgb="FF000000"/>
            <rFont val="Tahoma"/>
            <family val="2"/>
          </rPr>
          <t>From EIA form 923 for 2018</t>
        </r>
      </text>
    </comment>
    <comment ref="AJ37" authorId="0" shapeId="0" xr:uid="{B302BD9E-A347-2543-8ABE-A67DCA5EE4F6}">
      <text>
        <r>
          <rPr>
            <sz val="10"/>
            <color rgb="FF000000"/>
            <rFont val="Tahoma"/>
            <family val="2"/>
          </rPr>
          <t>From AEO_2019_Reference scenario in back-end database for most common fuel reported by EIA (coal/LSFO)</t>
        </r>
      </text>
    </comment>
    <comment ref="I38" authorId="0" shapeId="0" xr:uid="{00000000-0006-0000-0000-000019000000}">
      <text>
        <r>
          <rPr>
            <sz val="9"/>
            <color rgb="FF000000"/>
            <rFont val="Calibri"/>
            <family val="2"/>
          </rPr>
          <t xml:space="preserve">$/kW; 2016 annual report says total ratebase is $1386000000, which is about half generation, so we set value per kW accordingly
</t>
        </r>
        <r>
          <rPr>
            <sz val="9"/>
            <color rgb="FF000000"/>
            <rFont val="Calibri"/>
            <family val="2"/>
          </rPr>
          <t xml:space="preserve">
</t>
        </r>
        <r>
          <rPr>
            <sz val="9"/>
            <color rgb="FF000000"/>
            <rFont val="Calibri"/>
            <family val="2"/>
          </rPr>
          <t>This is probably a terrible idea, because we should amortize the first-year book value, not the mid-life book value. But we never use existing-plant capital costs for anything so it's OK for now.</t>
        </r>
      </text>
    </comment>
    <comment ref="M38" authorId="0" shapeId="0" xr:uid="{0AB58EAF-6D1E-934D-8A27-094A182129C4}">
      <text>
        <r>
          <rPr>
            <sz val="10"/>
            <color rgb="FF000000"/>
            <rFont val="Tahoma"/>
            <family val="2"/>
          </rPr>
          <t>deactivated 1/31/14 according to p. 2 of AOC reportsfor 2014-2019 at https://puc.hawaii.gov/reports/energy-reports/adequacy-of-supply/</t>
        </r>
      </text>
    </comment>
    <comment ref="M39" authorId="0" shapeId="0" xr:uid="{41E33585-94F5-4546-97ED-E1FC0B1C92C1}">
      <text>
        <r>
          <rPr>
            <sz val="10"/>
            <color rgb="FF000000"/>
            <rFont val="Tahoma"/>
            <family val="2"/>
          </rPr>
          <t>deactivated 1/31/14 according to p. 2 of AOC reportsfor 2014-2019 at https://puc.hawaii.gov/reports/energy-reports/adequacy-of-supply/</t>
        </r>
      </text>
    </comment>
    <comment ref="M40" authorId="0" shapeId="0" xr:uid="{422681C9-1B25-B34A-B328-1FB09B271E45}">
      <text>
        <r>
          <rPr>
            <sz val="10"/>
            <color rgb="FF000000"/>
            <rFont val="Tahoma"/>
            <family val="2"/>
          </rPr>
          <t xml:space="preserve">Was slated for deactivation at end of 2016 according to 2014 and 2015 AOC reports and end of 2017 according to 2016 AOC report, but then isn't mentioned in 2017-2019 AOC reports. No retiremnet date shown in EIA form 860 for 2018. 
</t>
        </r>
        <r>
          <rPr>
            <sz val="10"/>
            <color rgb="FF000000"/>
            <rFont val="Tahoma"/>
            <family val="2"/>
          </rPr>
          <t xml:space="preserve">
</t>
        </r>
        <r>
          <rPr>
            <sz val="10"/>
            <color rgb="FF000000"/>
            <rFont val="Tahoma"/>
            <family val="2"/>
          </rPr>
          <t xml:space="preserve">We assume it stays in service through 2023 per "HECO construction plan 2020-03-17.docx".
</t>
        </r>
        <r>
          <rPr>
            <sz val="10"/>
            <color rgb="FF000000"/>
            <rFont val="Tahoma"/>
            <family val="2"/>
          </rPr>
          <t xml:space="preserve">
</t>
        </r>
        <r>
          <rPr>
            <sz val="10"/>
            <color rgb="FF000000"/>
            <rFont val="Tahoma"/>
            <family val="2"/>
          </rPr>
          <t>See AOC reports at https://puc.hawaii.gov/reports/energy-reports/adequacy-of-supply/</t>
        </r>
      </text>
    </comment>
    <comment ref="M41" authorId="0" shapeId="0" xr:uid="{3FA34330-F41B-4949-BA50-1113FF03513D}">
      <text>
        <r>
          <rPr>
            <sz val="10"/>
            <color rgb="FF000000"/>
            <rFont val="Tahoma"/>
            <family val="2"/>
          </rPr>
          <t xml:space="preserve">Was slated for deactivation at end of 2016 according to 2014 and 2015 AOC reports and end of 2017 according to 2016 AOC report, but then isn't mentioned in 2017-2019 AOC reports. No retiremnet date shown in EIA form 860 for 2018. 
</t>
        </r>
        <r>
          <rPr>
            <sz val="10"/>
            <color rgb="FF000000"/>
            <rFont val="Tahoma"/>
            <family val="2"/>
          </rPr>
          <t xml:space="preserve">
</t>
        </r>
        <r>
          <rPr>
            <sz val="10"/>
            <color rgb="FF000000"/>
            <rFont val="Tahoma"/>
            <family val="2"/>
          </rPr>
          <t xml:space="preserve">We assume it stays in service through 2023 per "HECO construction plan 2020-03-17.docx".
</t>
        </r>
        <r>
          <rPr>
            <sz val="10"/>
            <color rgb="FF000000"/>
            <rFont val="Tahoma"/>
            <family val="2"/>
          </rPr>
          <t xml:space="preserve">
</t>
        </r>
        <r>
          <rPr>
            <sz val="10"/>
            <color rgb="FF000000"/>
            <rFont val="Tahoma"/>
            <family val="2"/>
          </rPr>
          <t>See AOC reports at https://puc.hawaii.gov/reports/energy-reports/adequacy-of-supply/</t>
        </r>
      </text>
    </comment>
    <comment ref="M46" authorId="0" shapeId="0" xr:uid="{00000000-0006-0000-0000-00001A000000}">
      <text>
        <r>
          <rPr>
            <sz val="9"/>
            <color rgb="FF000000"/>
            <rFont val="Calibri"/>
            <family val="2"/>
          </rPr>
          <t>set to 2050 since the plan says it will switch to biodiesel in 2045</t>
        </r>
      </text>
    </comment>
    <comment ref="M47" authorId="0" shapeId="0" xr:uid="{00000000-0006-0000-0000-00001B000000}">
      <text>
        <r>
          <rPr>
            <sz val="9"/>
            <color rgb="FF000000"/>
            <rFont val="Calibri"/>
            <family val="2"/>
          </rPr>
          <t>set to 2050 since the plan says it will switch to biodiesel in 2045</t>
        </r>
      </text>
    </comment>
    <comment ref="I54" authorId="0" shapeId="0" xr:uid="{2F37F507-9CAD-2544-9BE7-75A88F98CA31}">
      <text>
        <r>
          <rPr>
            <sz val="9"/>
            <color rgb="FF000000"/>
            <rFont val="Calibri"/>
            <family val="2"/>
          </rPr>
          <t xml:space="preserve">From Assumptions to the Annual Energy Outlook 1996 (earliest available), converted from 1987$ to 2016$.
</t>
        </r>
        <r>
          <rPr>
            <sz val="9"/>
            <color rgb="FF000000"/>
            <rFont val="Calibri"/>
            <family val="2"/>
          </rPr>
          <t xml:space="preserve">
</t>
        </r>
        <r>
          <rPr>
            <sz val="9"/>
            <color rgb="FF000000"/>
            <rFont val="Calibri"/>
            <family val="2"/>
          </rPr>
          <t>Note that the 2018 PPA reported by PUC (which excludes capacity payments) almost exactly covers O&amp;M and fuel, so we assume this is an appropriate proxy for the capacity payment.</t>
        </r>
      </text>
    </comment>
    <comment ref="M54" authorId="0" shapeId="0" xr:uid="{00000000-0006-0000-0000-00001D000000}">
      <text>
        <r>
          <rPr>
            <sz val="9"/>
            <color rgb="FF000000"/>
            <rFont val="Calibri"/>
            <family val="2"/>
          </rPr>
          <t>set to 2055 (slightly longer than 61-year age of existing units) so it is available in 2045 or 2050 scenarios.</t>
        </r>
      </text>
    </comment>
    <comment ref="X54" authorId="0" shapeId="0" xr:uid="{52BDA2A0-720F-4E43-987B-30D088AF0795}">
      <text>
        <r>
          <rPr>
            <sz val="10"/>
            <color rgb="FF000000"/>
            <rFont val="Tahoma"/>
            <family val="2"/>
          </rPr>
          <t>This is handled by hawaii.oahu_plants</t>
        </r>
      </text>
    </comment>
    <comment ref="I55" authorId="0" shapeId="0" xr:uid="{8DE6D4CB-8C75-6747-9EA1-6C2DF07C2589}">
      <text>
        <r>
          <rPr>
            <sz val="9"/>
            <color rgb="FF000000"/>
            <rFont val="Calibri"/>
            <family val="2"/>
          </rPr>
          <t xml:space="preserve">From Assumptions to the Annual Energy Outlook 1996 (earliest available), converted from 1987$ to 2016$.
</t>
        </r>
        <r>
          <rPr>
            <sz val="9"/>
            <color rgb="FF000000"/>
            <rFont val="Calibri"/>
            <family val="2"/>
          </rPr>
          <t xml:space="preserve">
</t>
        </r>
        <r>
          <rPr>
            <sz val="9"/>
            <color rgb="FF000000"/>
            <rFont val="Calibri"/>
            <family val="2"/>
          </rPr>
          <t>Note that the 2018 PPA reported by PUC (which excludes capacity payments) almost exactly covers O&amp;M and fuel, so we assume this is an appropriate proxy for the capacity payment.</t>
        </r>
      </text>
    </comment>
    <comment ref="M55" authorId="0" shapeId="0" xr:uid="{00000000-0006-0000-0000-00001E000000}">
      <text>
        <r>
          <rPr>
            <sz val="9"/>
            <color rgb="FF000000"/>
            <rFont val="Calibri"/>
            <family val="2"/>
          </rPr>
          <t>set to 61 years, based on average age of already-scheduled retirements</t>
        </r>
      </text>
    </comment>
    <comment ref="I56" authorId="0" shapeId="0" xr:uid="{6340A4BB-736B-A740-AE38-61D97D3E86FF}">
      <text>
        <r>
          <rPr>
            <sz val="9"/>
            <color rgb="FF000000"/>
            <rFont val="Calibri"/>
            <family val="2"/>
          </rPr>
          <t xml:space="preserve">From Assumptions to the Annual Energy Outlook 1996 (earliest available), converted from 1987$ to 2016$.
</t>
        </r>
        <r>
          <rPr>
            <sz val="9"/>
            <color rgb="FF000000"/>
            <rFont val="Calibri"/>
            <family val="2"/>
          </rPr>
          <t xml:space="preserve">
</t>
        </r>
        <r>
          <rPr>
            <sz val="9"/>
            <color rgb="FF000000"/>
            <rFont val="Calibri"/>
            <family val="2"/>
          </rPr>
          <t>Note that the 2018 PPA reported by PUC (which excludes capacity payments) almost exactly covers O&amp;M and fuel, so we assume this is an appropriate proxy for the capacity payment.</t>
        </r>
      </text>
    </comment>
    <comment ref="M56" authorId="0" shapeId="0" xr:uid="{00000000-0006-0000-0000-00001F000000}">
      <text>
        <r>
          <rPr>
            <sz val="9"/>
            <color rgb="FF000000"/>
            <rFont val="Calibri"/>
            <family val="2"/>
          </rPr>
          <t>set to 61 years, based on average age of already-scheduled retirements</t>
        </r>
      </text>
    </comment>
    <comment ref="G57" authorId="0" shapeId="0" xr:uid="{672D78AB-9CEA-2E4A-8537-7F72741F2E56}">
      <text>
        <r>
          <rPr>
            <sz val="10"/>
            <color rgb="FF000000"/>
            <rFont val="Tahoma"/>
            <family val="2"/>
          </rPr>
          <t>Started 10/10/92, so we count it as the start of 1993, so it continues to end of 2022.</t>
        </r>
      </text>
    </comment>
    <comment ref="I57" authorId="0" shapeId="0" xr:uid="{6FDFB5CB-7169-204E-A4BE-B67266F497C6}">
      <text>
        <r>
          <rPr>
            <sz val="9"/>
            <color rgb="FF000000"/>
            <rFont val="Calibri"/>
            <family val="2"/>
          </rPr>
          <t xml:space="preserve">From Assumptions to the Annual Energy Outlook 1996 (earliest available), converted from 1987$ to 2016$.
</t>
        </r>
        <r>
          <rPr>
            <sz val="9"/>
            <color rgb="FF000000"/>
            <rFont val="Calibri"/>
            <family val="2"/>
          </rPr>
          <t xml:space="preserve">
</t>
        </r>
        <r>
          <rPr>
            <sz val="9"/>
            <color rgb="FF000000"/>
            <rFont val="Calibri"/>
            <family val="2"/>
          </rPr>
          <t>Note that the 2018 PPA reported by PUC (which excludes capacity payments) almost exactly covers O&amp;M and fuel, so we assume this is an appropriate proxy for the capacity payment.</t>
        </r>
      </text>
    </comment>
    <comment ref="M57" authorId="0" shapeId="0" xr:uid="{00000000-0006-0000-0000-000020000000}">
      <text>
        <r>
          <rPr>
            <sz val="9"/>
            <color rgb="FF000000"/>
            <rFont val="Calibri"/>
            <family val="2"/>
          </rPr>
          <t>set to 30 years (expiry of initial PPA) starting 2019-10-01 because there is no support from PUC, HECO or stakeholders for continuing with coal and continuing with biomass is economically marginal (biomass could burn as well in HECO plants and that's probably easier politically, but we don't generally consider that option).  "HECO construction plan 2020-03-17.docx"  also says it will be retired in 9/2022.</t>
        </r>
      </text>
    </comment>
    <comment ref="R57" authorId="0" shapeId="0" xr:uid="{E8C3285B-5A71-5745-BDAE-60890CF78E9A}">
      <text>
        <r>
          <rPr>
            <sz val="10"/>
            <color rgb="FF000000"/>
            <rFont val="Tahoma"/>
            <family val="2"/>
          </rPr>
          <t>Derated to match average capacity factor in 2012-16 from EIA form 923</t>
        </r>
      </text>
    </comment>
    <comment ref="Z57" authorId="0" shapeId="0" xr:uid="{500ABB66-81B1-9A4C-9F20-023E39751439}">
      <text>
        <r>
          <rPr>
            <sz val="10"/>
            <color rgb="FF000000"/>
            <rFont val="Tahoma"/>
            <family val="2"/>
          </rPr>
          <t xml:space="preserve">Treated as baseload starting June 2020 to enforce upper limit on production, matching historical capacity factor. This may give better match to HECO's historical usage patterns. </t>
        </r>
      </text>
    </comment>
    <comment ref="AB57" authorId="0" shapeId="0" xr:uid="{00000000-0006-0000-0000-000021000000}">
      <text>
        <r>
          <rPr>
            <sz val="9"/>
            <color rgb="FF000000"/>
            <rFont val="Calibri"/>
            <family val="2"/>
          </rPr>
          <t>AES PPA states that HECO must reimburse resetart costs if plant operation is suspended more than 5 times in a year. Implied plant must run for long periods at a atime, so we set it to 24 hours.</t>
        </r>
      </text>
    </comment>
    <comment ref="AC57" authorId="0" shapeId="0" xr:uid="{00000000-0006-0000-0000-000022000000}">
      <text>
        <r>
          <rPr>
            <sz val="9"/>
            <color indexed="81"/>
            <rFont val="Calibri"/>
            <family val="2"/>
          </rPr>
          <t>AES PPA states that HECO must reimburse resetart costs if plant operation is suspended more than 5 times in a year. Implied plant must run for long periods at a atime, so we set it to 24 hours.</t>
        </r>
      </text>
    </comment>
    <comment ref="C58" authorId="0" shapeId="0" xr:uid="{00000000-0006-0000-0000-000023000000}">
      <text>
        <r>
          <rPr>
            <sz val="9"/>
            <color rgb="FF000000"/>
            <rFont val="Calibri"/>
            <family val="2"/>
          </rPr>
          <t>note: nameplate capacity is 97.3 MW and winter/summer capacity are 86.0 MW per EIA form 860M for September 2016</t>
        </r>
      </text>
    </comment>
    <comment ref="H58" authorId="0" shapeId="0" xr:uid="{00000000-0006-0000-0000-000024000000}">
      <text>
        <r>
          <rPr>
            <sz val="9"/>
            <color rgb="FF000000"/>
            <rFont val="Calibri"/>
            <family val="2"/>
          </rPr>
          <t>note: nameplate capacity is 97.3 MW and winter/summer capacity are 86.0 MW per EIA form 860M for September 2016</t>
        </r>
      </text>
    </comment>
    <comment ref="I58" authorId="0" shapeId="0" xr:uid="{D192153B-B00B-DB4A-8220-DFEBAD1C8077}">
      <text>
        <r>
          <rPr>
            <sz val="9"/>
            <color rgb="FF000000"/>
            <rFont val="Calibri"/>
            <family val="2"/>
          </rPr>
          <t xml:space="preserve">set to get correct PPA price in 2018 when using standard finance assumptions applied in Switch (6% over project life). 
</t>
        </r>
        <r>
          <rPr>
            <sz val="9"/>
            <color rgb="FF000000"/>
            <rFont val="Calibri"/>
            <family val="2"/>
          </rPr>
          <t xml:space="preserve">
</t>
        </r>
        <r>
          <rPr>
            <sz val="9"/>
            <color rgb="FF000000"/>
            <rFont val="Calibri"/>
            <family val="2"/>
          </rPr>
          <t>Previously was set based on 2016 NREL ATB (2190.18 for wind, 2915.91 for solar) or PSIP thermal plants (~$1750/kW), but these PPAs  don't match that.</t>
        </r>
      </text>
    </comment>
    <comment ref="J58" authorId="0" shapeId="0" xr:uid="{58110972-DF6C-534B-A939-C0F2FD6FE7D8}">
      <text>
        <r>
          <rPr>
            <sz val="10"/>
            <color rgb="FF000000"/>
            <rFont val="Tahoma"/>
            <family val="2"/>
          </rPr>
          <t xml:space="preserve">HECO reported 12/12/2019 that this has a capacity cost of up to </t>
        </r>
        <r>
          <rPr>
            <sz val="10"/>
            <color rgb="FF000000"/>
            <rFont val="Calibri"/>
            <family val="2"/>
          </rPr>
          <t>17685360</t>
        </r>
        <r>
          <rPr>
            <sz val="10"/>
            <color rgb="FF000000"/>
            <rFont val="Tahoma"/>
            <family val="2"/>
          </rPr>
          <t>/year, so we just divide that by capacity and adjust for inflation.</t>
        </r>
      </text>
    </comment>
    <comment ref="M58" authorId="0" shapeId="0" xr:uid="{00000000-0006-0000-0000-000025000000}">
      <text>
        <r>
          <rPr>
            <sz val="9"/>
            <color rgb="FF000000"/>
            <rFont val="Calibri"/>
            <family val="2"/>
          </rPr>
          <t>set to 61 years, based on average age of already-scheduled retirements</t>
        </r>
      </text>
    </comment>
    <comment ref="R58" authorId="0" shapeId="0" xr:uid="{00000000-0006-0000-0000-000026000000}">
      <text>
        <r>
          <rPr>
            <sz val="9"/>
            <color rgb="FF000000"/>
            <rFont val="Calibri"/>
            <family val="2"/>
          </rPr>
          <t>42.8 MW baseload operation per monthly and annual avg production in EIA form 923 for 2015</t>
        </r>
      </text>
    </comment>
    <comment ref="AB58" authorId="0" shapeId="0" xr:uid="{00000000-0006-0000-0000-000027000000}">
      <text>
        <r>
          <rPr>
            <sz val="9"/>
            <color rgb="FF000000"/>
            <rFont val="Calibri"/>
            <family val="2"/>
          </rPr>
          <t>Treated as zero, since it runs all the time.</t>
        </r>
      </text>
    </comment>
    <comment ref="AC58" authorId="0" shapeId="0" xr:uid="{00000000-0006-0000-0000-000028000000}">
      <text>
        <r>
          <rPr>
            <sz val="9"/>
            <color rgb="FF000000"/>
            <rFont val="Calibri"/>
            <family val="2"/>
          </rPr>
          <t>Treated as zero, since it runs all the time.</t>
        </r>
      </text>
    </comment>
    <comment ref="AD58" authorId="0" shapeId="0" xr:uid="{00000000-0006-0000-0000-000029000000}">
      <text>
        <r>
          <rPr>
            <sz val="9"/>
            <color rgb="FF000000"/>
            <rFont val="Calibri"/>
            <family val="2"/>
          </rPr>
          <t>Treated as variable plant instead of fuel-based gen, so startup fuel must be omitted.</t>
        </r>
      </text>
    </comment>
    <comment ref="M59" authorId="0" shapeId="0" xr:uid="{00000000-0006-0000-0000-00002A000000}">
      <text>
        <r>
          <rPr>
            <sz val="9"/>
            <color rgb="FF000000"/>
            <rFont val="Calibri"/>
            <family val="2"/>
          </rPr>
          <t>set to 61 years, based on average age of already-scheduled retirements</t>
        </r>
      </text>
    </comment>
    <comment ref="C60" authorId="0" shapeId="0" xr:uid="{00000000-0006-0000-0000-00002B000000}">
      <text>
        <r>
          <rPr>
            <sz val="9"/>
            <color rgb="FF000000"/>
            <rFont val="Calibri"/>
            <family val="2"/>
          </rPr>
          <t>"Airport Dispatchable Standby Generation" (docket 2008-0329)</t>
        </r>
      </text>
    </comment>
    <comment ref="G60" authorId="0" shapeId="0" xr:uid="{00000000-0006-0000-0000-00002C000000}">
      <text>
        <r>
          <rPr>
            <sz val="9"/>
            <color rgb="FF000000"/>
            <rFont val="Calibri"/>
            <family val="2"/>
          </rPr>
          <t>planned for late 2013 according to https://puc.hawaii.gov/wp-content/uploads/2015/04/Adequacy-of-Supply-HECO-2013.pdf</t>
        </r>
      </text>
    </comment>
    <comment ref="J60" authorId="0" shapeId="0" xr:uid="{A919150D-76AA-AD48-AD08-CED3A9A65D30}">
      <text>
        <r>
          <rPr>
            <sz val="10"/>
            <color rgb="FF000000"/>
            <rFont val="Tahoma"/>
            <family val="2"/>
          </rPr>
          <t>Assumed same as conventional combustion turbine in assumptions to AEO 2013</t>
        </r>
      </text>
    </comment>
    <comment ref="M60" authorId="0" shapeId="0" xr:uid="{00000000-0006-0000-0000-00002D000000}">
      <text>
        <r>
          <rPr>
            <sz val="9"/>
            <color rgb="FF000000"/>
            <rFont val="Calibri"/>
            <family val="2"/>
          </rPr>
          <t>set to 61 years, based on average age of already-scheduled retirements</t>
        </r>
      </text>
    </comment>
    <comment ref="P60" authorId="0" shapeId="0" xr:uid="{EBBE8826-9993-4646-96B0-1B6C8A4203FC}">
      <text>
        <r>
          <rPr>
            <sz val="10"/>
            <color rgb="FF000000"/>
            <rFont val="Tahoma"/>
            <family val="2"/>
          </rPr>
          <t>Assumed same as conventional combustion turbine in assumptions to AEO 2013</t>
        </r>
      </text>
    </comment>
    <comment ref="AD60" authorId="0" shapeId="0" xr:uid="{AD782C84-13C4-0342-861D-FBED517FC7C7}">
      <text>
        <r>
          <rPr>
            <sz val="10"/>
            <color rgb="FF000000"/>
            <rFont val="Tahoma"/>
            <family val="2"/>
          </rPr>
          <t>RPS Study says 126, same as CIP CT, but that seems like a typo, since this is much smaller and an IC. It is 6x smaller than Schofield IC, so we use 1/6 of Schofield value from RPS Study.</t>
        </r>
      </text>
    </comment>
    <comment ref="C61" authorId="0" shapeId="0" xr:uid="{FF62107A-6BD0-454D-A2E3-62311F4BE02E}">
      <text>
        <r>
          <rPr>
            <sz val="10"/>
            <color rgb="FF000000"/>
            <rFont val="Tahoma"/>
            <family val="2"/>
          </rPr>
          <t>AKA Island Energy Services; omitted until May 2020</t>
        </r>
      </text>
    </comment>
    <comment ref="H61" authorId="0" shapeId="0" xr:uid="{0EFC1738-76E2-BB4D-9C9B-0BB093D11BC9}">
      <text>
        <r>
          <rPr>
            <sz val="10"/>
            <color rgb="FF000000"/>
            <rFont val="Tahoma"/>
            <family val="2"/>
          </rPr>
          <t xml:space="preserve">from p. 66 of https://puc.hawaii.gov/wp-content/uploads/2018/12/FY18-PUC-Annual-Report_FINAL.pdf
</t>
        </r>
        <r>
          <rPr>
            <sz val="10"/>
            <color rgb="FF000000"/>
            <rFont val="Tahoma"/>
            <family val="2"/>
          </rPr>
          <t xml:space="preserve">
</t>
        </r>
        <r>
          <rPr>
            <sz val="10"/>
            <color rgb="FF000000"/>
            <rFont val="Tahoma"/>
            <family val="2"/>
          </rPr>
          <t>EIA Form 860 says 12.2 MW</t>
        </r>
      </text>
    </comment>
    <comment ref="I61" authorId="0" shapeId="0" xr:uid="{140128EC-8FC0-E848-B21A-56D13C1033BE}">
      <text>
        <r>
          <rPr>
            <sz val="10"/>
            <color rgb="FF000000"/>
            <rFont val="Tahoma"/>
            <family val="2"/>
          </rPr>
          <t>Assumed same as conventional combustion turbine in assumptions to AEO 1996</t>
        </r>
      </text>
    </comment>
    <comment ref="J61" authorId="0" shapeId="0" xr:uid="{567F317D-0EE8-2343-A659-7E447B4BB357}">
      <text>
        <r>
          <rPr>
            <sz val="10"/>
            <color rgb="FF000000"/>
            <rFont val="Tahoma"/>
            <family val="2"/>
          </rPr>
          <t>Assumed same as conventional combustion turbine in assumptions to AEO 1996</t>
        </r>
      </text>
    </comment>
    <comment ref="M61" authorId="0" shapeId="0" xr:uid="{0D2D2CBA-A409-D64D-A126-B3E629C9DBB4}">
      <text>
        <r>
          <rPr>
            <sz val="10"/>
            <color rgb="FF000000"/>
            <rFont val="Tahoma"/>
            <family val="2"/>
          </rPr>
          <t>Assumed unviable after 2045.</t>
        </r>
      </text>
    </comment>
    <comment ref="P61" authorId="0" shapeId="0" xr:uid="{A6205743-BF4C-3140-B10A-3EB220889FE4}">
      <text>
        <r>
          <rPr>
            <sz val="10"/>
            <color rgb="FF000000"/>
            <rFont val="Tahoma"/>
            <family val="2"/>
          </rPr>
          <t>Adjusted to get 2018 energy cost to match PPA report to PUC</t>
        </r>
      </text>
    </comment>
    <comment ref="R61" authorId="0" shapeId="0" xr:uid="{132849A0-668B-6B4D-A369-BA66B76D3DF4}">
      <text>
        <r>
          <rPr>
            <sz val="10"/>
            <color rgb="FF000000"/>
            <rFont val="Tahoma"/>
            <family val="2"/>
          </rPr>
          <t>Set to give same output as in 2018 (assumed to operate in baseload mode)</t>
        </r>
      </text>
    </comment>
    <comment ref="AB61" authorId="0" shapeId="0" xr:uid="{E848B911-8F1F-F949-B605-E70530C3AE9F}">
      <text>
        <r>
          <rPr>
            <sz val="9"/>
            <color rgb="FF000000"/>
            <rFont val="Calibri"/>
            <family val="2"/>
          </rPr>
          <t>Treated as zero, since it runs all the time.</t>
        </r>
      </text>
    </comment>
    <comment ref="AC61" authorId="0" shapeId="0" xr:uid="{041D7197-C580-654F-8F47-179661AF1E2C}">
      <text>
        <r>
          <rPr>
            <sz val="9"/>
            <color rgb="FF000000"/>
            <rFont val="Calibri"/>
            <family val="2"/>
          </rPr>
          <t>Treated as zero, since it runs all the time.</t>
        </r>
      </text>
    </comment>
    <comment ref="C62" authorId="0" shapeId="0" xr:uid="{2E67A560-A3FF-4E4F-B2FE-633C0210FBAE}">
      <text>
        <r>
          <rPr>
            <sz val="10"/>
            <color rgb="FF000000"/>
            <rFont val="Tahoma"/>
            <family val="2"/>
          </rPr>
          <t>AKA PAR; omitted until May 2020</t>
        </r>
      </text>
    </comment>
    <comment ref="G62" authorId="0" shapeId="0" xr:uid="{16A77B8A-6339-1442-98CC-A29E7A571EB9}">
      <text>
        <r>
          <rPr>
            <sz val="10"/>
            <color rgb="FF000000"/>
            <rFont val="Tahoma"/>
            <family val="2"/>
          </rPr>
          <t>3 3 MW units installed in 1990; 1 3.2 MW unit installed in 2011</t>
        </r>
      </text>
    </comment>
    <comment ref="H62" authorId="0" shapeId="0" xr:uid="{882A102A-699B-164B-B70B-2C5E15EA4120}">
      <text>
        <r>
          <rPr>
            <sz val="10"/>
            <color rgb="FF000000"/>
            <rFont val="Tahoma"/>
            <family val="2"/>
          </rPr>
          <t xml:space="preserve">from p. 66 of https://puc.hawaii.gov/wp-content/uploads/2018/12/FY18-PUC-Annual-Report_FINAL.pdf
</t>
        </r>
        <r>
          <rPr>
            <sz val="10"/>
            <color rgb="FF000000"/>
            <rFont val="Tahoma"/>
            <family val="2"/>
          </rPr>
          <t xml:space="preserve">
</t>
        </r>
        <r>
          <rPr>
            <sz val="10"/>
            <color rgb="FF000000"/>
            <rFont val="Tahoma"/>
            <family val="2"/>
          </rPr>
          <t>EIA form 860 says 20 MW</t>
        </r>
      </text>
    </comment>
    <comment ref="I62" authorId="0" shapeId="0" xr:uid="{4C35BE3E-8B33-DE41-91C1-BB57270ED9D8}">
      <text>
        <r>
          <rPr>
            <sz val="10"/>
            <color rgb="FF000000"/>
            <rFont val="Tahoma"/>
            <family val="2"/>
          </rPr>
          <t>Assumed same as conventional combustion turbine in assumptions to AEO 1996</t>
        </r>
      </text>
    </comment>
    <comment ref="J62" authorId="0" shapeId="0" xr:uid="{735D190F-1F8D-BB44-B7EE-15A1A6F65B3F}">
      <text>
        <r>
          <rPr>
            <sz val="10"/>
            <color rgb="FF000000"/>
            <rFont val="Tahoma"/>
            <family val="2"/>
          </rPr>
          <t>Assumed same as conventional combustion turbine in assumptions to AEO 1996</t>
        </r>
      </text>
    </comment>
    <comment ref="M62" authorId="0" shapeId="0" xr:uid="{7C486342-E3FF-DE45-BC22-8B7E8B0A99E0}">
      <text>
        <r>
          <rPr>
            <sz val="10"/>
            <color rgb="FF000000"/>
            <rFont val="Tahoma"/>
            <family val="2"/>
          </rPr>
          <t>Assumed unviable after 2045.</t>
        </r>
      </text>
    </comment>
    <comment ref="P62" authorId="0" shapeId="0" xr:uid="{EB2ABA30-18B1-D74F-8F07-E3EEBD49B7A2}">
      <text>
        <r>
          <rPr>
            <sz val="10"/>
            <color rgb="FF000000"/>
            <rFont val="Tahoma"/>
            <family val="2"/>
          </rPr>
          <t>Adjusted to get 2018 energy cost to match PPA report to PUC</t>
        </r>
      </text>
    </comment>
    <comment ref="R62" authorId="0" shapeId="0" xr:uid="{8759AF21-05BD-A544-B4CF-87D4E50134DC}">
      <text>
        <r>
          <rPr>
            <sz val="10"/>
            <color rgb="FF000000"/>
            <rFont val="Tahoma"/>
            <family val="2"/>
          </rPr>
          <t>Set to give same output as in 2018 (assumed to operate in baseload mode)</t>
        </r>
      </text>
    </comment>
    <comment ref="AB62" authorId="0" shapeId="0" xr:uid="{68527191-778C-7244-85CA-D4B08A9A79B0}">
      <text>
        <r>
          <rPr>
            <sz val="9"/>
            <color rgb="FF000000"/>
            <rFont val="Calibri"/>
            <family val="2"/>
          </rPr>
          <t>Treated as zero, since it runs all the time.</t>
        </r>
      </text>
    </comment>
    <comment ref="AC62" authorId="0" shapeId="0" xr:uid="{6F7853FF-869B-F54E-A2F5-7B20AA06EF0F}">
      <text>
        <r>
          <rPr>
            <sz val="9"/>
            <color rgb="FF000000"/>
            <rFont val="Calibri"/>
            <family val="2"/>
          </rPr>
          <t>Treated as zero, since it runs all the time.</t>
        </r>
      </text>
    </comment>
    <comment ref="C63" authorId="0" shapeId="0" xr:uid="{00000000-0006-0000-0000-00002E000000}">
      <text>
        <r>
          <rPr>
            <sz val="9"/>
            <color rgb="FF000000"/>
            <rFont val="Calibri"/>
            <family val="2"/>
          </rPr>
          <t>Kahuku wind farm</t>
        </r>
      </text>
    </comment>
    <comment ref="I63" authorId="0" shapeId="0" xr:uid="{938B6E11-EC6C-744E-BCC2-79576527110A}">
      <text>
        <r>
          <rPr>
            <sz val="9"/>
            <color rgb="FF000000"/>
            <rFont val="Calibri"/>
            <family val="2"/>
          </rPr>
          <t xml:space="preserve">set to get correct PPA price in 2018 when using standard finance assumptions applied in Switch (6% over project life). 
</t>
        </r>
        <r>
          <rPr>
            <sz val="9"/>
            <color rgb="FF000000"/>
            <rFont val="Calibri"/>
            <family val="2"/>
          </rPr>
          <t xml:space="preserve">
</t>
        </r>
        <r>
          <rPr>
            <sz val="9"/>
            <color rgb="FF000000"/>
            <rFont val="Calibri"/>
            <family val="2"/>
          </rPr>
          <t>Previously was set based on 2016 NREL ATB (2190.18 for wind, 2915.91 for solar) or PSIP thermal plants (~$1750/kW), but these PPAs  don't match that.</t>
        </r>
      </text>
    </comment>
    <comment ref="J63" authorId="0" shapeId="0" xr:uid="{B92AB0B0-DA63-6040-87D4-D15857438097}">
      <text>
        <r>
          <rPr>
            <sz val="10"/>
            <color rgb="FF000000"/>
            <rFont val="Tahoma"/>
            <family val="2"/>
          </rPr>
          <t>From Assumptions to AEO 2019</t>
        </r>
      </text>
    </comment>
    <comment ref="K63" authorId="0" shapeId="0" xr:uid="{00000000-0006-0000-0000-000032000000}">
      <text>
        <r>
          <rPr>
            <sz val="9"/>
            <color rgb="FF000000"/>
            <rFont val="Calibri"/>
            <family val="2"/>
          </rPr>
          <t>found via Google Maps search</t>
        </r>
      </text>
    </comment>
    <comment ref="M63" authorId="0" shapeId="0" xr:uid="{FAEE123A-1E7C-B242-ACB5-8B928A971455}">
      <text>
        <r>
          <rPr>
            <sz val="10"/>
            <color rgb="FF000000"/>
            <rFont val="Tahoma"/>
            <family val="2"/>
          </rPr>
          <t>Not used by Switch, but inserted here to get financing right; must match new-generation workbook.</t>
        </r>
      </text>
    </comment>
    <comment ref="C64" authorId="0" shapeId="0" xr:uid="{00000000-0006-0000-0000-000033000000}">
      <text>
        <r>
          <rPr>
            <sz val="9"/>
            <color rgb="FF000000"/>
            <rFont val="Calibri"/>
            <family val="2"/>
          </rPr>
          <t>Kawailoa Wind Farm</t>
        </r>
      </text>
    </comment>
    <comment ref="I64" authorId="0" shapeId="0" xr:uid="{6E4C3D6A-A518-974D-9048-2BC97D811097}">
      <text>
        <r>
          <rPr>
            <sz val="9"/>
            <color rgb="FF000000"/>
            <rFont val="Calibri"/>
            <family val="2"/>
          </rPr>
          <t xml:space="preserve">set to get correct PPA price in 2018 when using standard finance assumptions applied in Switch (6% over project life). 
</t>
        </r>
        <r>
          <rPr>
            <sz val="9"/>
            <color rgb="FF000000"/>
            <rFont val="Calibri"/>
            <family val="2"/>
          </rPr>
          <t xml:space="preserve">
</t>
        </r>
        <r>
          <rPr>
            <sz val="9"/>
            <color rgb="FF000000"/>
            <rFont val="Calibri"/>
            <family val="2"/>
          </rPr>
          <t>Previously was set based on 2016 NREL ATB (2190.18 for wind, 2915.91 for solar) or PSIP thermal plants (~$1750/kW), but these PPAs  don't match that.</t>
        </r>
      </text>
    </comment>
    <comment ref="J64" authorId="0" shapeId="0" xr:uid="{1BF4248B-07B1-C444-8725-FD2E75E2AD4A}">
      <text>
        <r>
          <rPr>
            <sz val="10"/>
            <color rgb="FF000000"/>
            <rFont val="Tahoma"/>
            <family val="2"/>
          </rPr>
          <t>From Assumptions to AEO 2019</t>
        </r>
      </text>
    </comment>
    <comment ref="K64" authorId="0" shapeId="0" xr:uid="{00000000-0006-0000-0000-000037000000}">
      <text>
        <r>
          <rPr>
            <sz val="9"/>
            <color rgb="FF000000"/>
            <rFont val="Calibri"/>
            <family val="2"/>
          </rPr>
          <t>found via Google Maps search</t>
        </r>
      </text>
    </comment>
    <comment ref="C65" authorId="0" shapeId="0" xr:uid="{84188AC4-5581-3B4B-98DC-B0B790795455}">
      <text>
        <r>
          <rPr>
            <sz val="9"/>
            <color rgb="FF000000"/>
            <rFont val="Calibri"/>
            <family val="2"/>
          </rPr>
          <t>actually fixed-tilt, but we don't generally model that, so we treat as tracking</t>
        </r>
      </text>
    </comment>
    <comment ref="D65" authorId="0" shapeId="0" xr:uid="{873D7A3A-16FC-9540-997A-E8FE796FE3AB}">
      <text>
        <r>
          <rPr>
            <sz val="10"/>
            <color rgb="FF000000"/>
            <rFont val="Tahoma"/>
            <family val="2"/>
          </rPr>
          <t>AKA Kapolei Sustainable Energy Park</t>
        </r>
      </text>
    </comment>
    <comment ref="I65" authorId="0" shapeId="0" xr:uid="{108FC836-42B9-7648-9842-BCCD7FFA51E0}">
      <text>
        <r>
          <rPr>
            <sz val="9"/>
            <color rgb="FF000000"/>
            <rFont val="Calibri"/>
            <family val="2"/>
          </rPr>
          <t xml:space="preserve">set to get correct PPA price in 2018 when using standard finance assumptions applied in Switch (6% over project life). 
</t>
        </r>
        <r>
          <rPr>
            <sz val="9"/>
            <color rgb="FF000000"/>
            <rFont val="Calibri"/>
            <family val="2"/>
          </rPr>
          <t xml:space="preserve">
</t>
        </r>
        <r>
          <rPr>
            <sz val="9"/>
            <color rgb="FF000000"/>
            <rFont val="Calibri"/>
            <family val="2"/>
          </rPr>
          <t>Previously was set based on 2016 NREL ATB (2190.18 for wind, 2915.91 for solar) or PSIP thermal plants (~$1750/kW), but these PPAs  don't match that.</t>
        </r>
      </text>
    </comment>
    <comment ref="J65" authorId="0" shapeId="0" xr:uid="{9B27DD58-4A2B-F44E-9FB7-E9018C3726F7}">
      <text>
        <r>
          <rPr>
            <sz val="10"/>
            <color rgb="FF000000"/>
            <rFont val="Tahoma"/>
            <family val="2"/>
          </rPr>
          <t>From Assumptions to AEO 2019</t>
        </r>
      </text>
    </comment>
    <comment ref="K65" authorId="0" shapeId="0" xr:uid="{88208AFC-7752-E548-8BA8-25DFCC397D88}">
      <text>
        <r>
          <rPr>
            <sz val="10"/>
            <color rgb="FF000000"/>
            <rFont val="Tahoma"/>
            <family val="2"/>
          </rPr>
          <t>Based on address on EIA form 860 (</t>
        </r>
        <r>
          <rPr>
            <sz val="10"/>
            <color rgb="FF000000"/>
            <rFont val="Calibri"/>
            <family val="2"/>
          </rPr>
          <t>91-290 Malakole Street), confirmed on Google Maps satellite view.</t>
        </r>
        <r>
          <rPr>
            <sz val="10"/>
            <color rgb="FF000000"/>
            <rFont val="Tahoma"/>
            <family val="2"/>
          </rPr>
          <t xml:space="preserve">
</t>
        </r>
      </text>
    </comment>
    <comment ref="C66" authorId="0" shapeId="0" xr:uid="{566AF0A3-7730-E54F-B42A-70DC946DF4AC}">
      <text>
        <r>
          <rPr>
            <sz val="9"/>
            <color rgb="FF000000"/>
            <rFont val="Calibri"/>
            <family val="2"/>
          </rPr>
          <t>actually fixed-tilt, but we don't generally model that, so we treat as tracking</t>
        </r>
      </text>
    </comment>
    <comment ref="K66" authorId="0" shapeId="0" xr:uid="{95D761E3-2C80-6341-A67C-CEDF37942888}">
      <text>
        <r>
          <rPr>
            <sz val="10"/>
            <color rgb="FF000000"/>
            <rFont val="Tahoma"/>
            <family val="2"/>
          </rPr>
          <t>based on lat/lon in EIA Form 860, adjusted slightly by inspection of Google Maps satellite view</t>
        </r>
      </text>
    </comment>
    <comment ref="I67" authorId="0" shapeId="0" xr:uid="{3F124DC3-4C47-E04C-B947-3E97CFC13AC1}">
      <text>
        <r>
          <rPr>
            <sz val="9"/>
            <color rgb="FF000000"/>
            <rFont val="Calibri"/>
            <family val="2"/>
          </rPr>
          <t xml:space="preserve">set to get correct PPA price in 2018 when using standard finance assumptions applied in Switch (6% over project life). 
</t>
        </r>
        <r>
          <rPr>
            <sz val="9"/>
            <color rgb="FF000000"/>
            <rFont val="Calibri"/>
            <family val="2"/>
          </rPr>
          <t xml:space="preserve">
</t>
        </r>
        <r>
          <rPr>
            <sz val="9"/>
            <color rgb="FF000000"/>
            <rFont val="Calibri"/>
            <family val="2"/>
          </rPr>
          <t>Previously was set based on 2016 NREL ATB (2190.18 for wind, 2915.91 for solar) or PSIP thermal plants (~$1750/kW), but these PPAs  don't match that.</t>
        </r>
      </text>
    </comment>
    <comment ref="J67" authorId="0" shapeId="0" xr:uid="{6758F485-B157-FB48-BD75-E37FC4E08E89}">
      <text>
        <r>
          <rPr>
            <sz val="10"/>
            <color rgb="FF000000"/>
            <rFont val="Tahoma"/>
            <family val="2"/>
          </rPr>
          <t>From Assumptions to AEO 2019</t>
        </r>
      </text>
    </comment>
    <comment ref="K67" authorId="0" shapeId="0" xr:uid="{00000000-0006-0000-0000-00003C000000}">
      <text>
        <r>
          <rPr>
            <sz val="9"/>
            <color rgb="FF000000"/>
            <rFont val="Calibri"/>
            <family val="2"/>
          </rPr>
          <t>location from EIA form 860M database (September 2016)</t>
        </r>
      </text>
    </comment>
    <comment ref="C68" authorId="0" shapeId="0" xr:uid="{46E530F1-66D9-374A-B077-0DD81C33B9E4}">
      <text>
        <r>
          <rPr>
            <sz val="9"/>
            <color rgb="FF000000"/>
            <rFont val="Calibri"/>
            <family val="2"/>
          </rPr>
          <t>actually fixed-tilt, but we don't generally model that, so we treat as tracking</t>
        </r>
      </text>
    </comment>
    <comment ref="I68" authorId="0" shapeId="0" xr:uid="{6AA16A20-13A6-4347-B580-D7841E681E1A}">
      <text>
        <r>
          <rPr>
            <sz val="9"/>
            <color rgb="FF000000"/>
            <rFont val="Calibri"/>
            <family val="2"/>
          </rPr>
          <t xml:space="preserve">set to get correct PPA price in 2018 when using standard finance assumptions applied in Switch (6% over project life). 
</t>
        </r>
        <r>
          <rPr>
            <sz val="9"/>
            <color rgb="FF000000"/>
            <rFont val="Calibri"/>
            <family val="2"/>
          </rPr>
          <t xml:space="preserve">
</t>
        </r>
        <r>
          <rPr>
            <sz val="9"/>
            <color rgb="FF000000"/>
            <rFont val="Calibri"/>
            <family val="2"/>
          </rPr>
          <t>Previously was set based on 2016 NREL ATB (2190.18 for wind, 2915.91 for solar) or PSIP thermal plants (~$1750/kW), but these PPAs  don't match that.</t>
        </r>
      </text>
    </comment>
    <comment ref="J68" authorId="0" shapeId="0" xr:uid="{37A23240-5933-D94F-ACAA-AC571257E6B3}">
      <text>
        <r>
          <rPr>
            <sz val="10"/>
            <color rgb="FF000000"/>
            <rFont val="Tahoma"/>
            <family val="2"/>
          </rPr>
          <t>From Assumptions to AEO 2019</t>
        </r>
      </text>
    </comment>
    <comment ref="K68" authorId="0" shapeId="0" xr:uid="{3D2E17EA-1DA3-D64D-B15E-9D4B7EC1A290}">
      <text>
        <r>
          <rPr>
            <sz val="10"/>
            <color rgb="FF000000"/>
            <rFont val="Tahoma"/>
            <family val="2"/>
          </rPr>
          <t xml:space="preserve">Found by searching on Google Maps near address in EIA Form 860 (Roosevelt Ave &amp; Essex Road) for land that looked like photos from https://bchdesign.com/portfolio/kalaeloa-renewable-energy/
</t>
        </r>
      </text>
    </comment>
    <comment ref="C69" authorId="0" shapeId="0" xr:uid="{4398AA78-6916-194C-9ABD-A5A4D6EF013A}">
      <text>
        <r>
          <rPr>
            <sz val="9"/>
            <color rgb="FF000000"/>
            <rFont val="Calibri"/>
            <family val="2"/>
          </rPr>
          <t>actually fixed-tilt, but we don't generally model that, so we treat as tracking</t>
        </r>
      </text>
    </comment>
    <comment ref="K69" authorId="0" shapeId="0" xr:uid="{EE5DEDE0-2617-DE44-A5C6-B04782D5638F}">
      <text>
        <r>
          <rPr>
            <sz val="10"/>
            <color rgb="FF000000"/>
            <rFont val="Tahoma"/>
            <family val="2"/>
          </rPr>
          <t>From EIA Form 860; not on Google Maps images by June 2020.</t>
        </r>
      </text>
    </comment>
    <comment ref="C70" authorId="0" shapeId="0" xr:uid="{23EFF23D-2A8F-614A-B3A2-5918E3CDAB18}">
      <text>
        <r>
          <rPr>
            <sz val="9"/>
            <color rgb="FF000000"/>
            <rFont val="Calibri"/>
            <family val="2"/>
          </rPr>
          <t>actually fixed-tilt, but we don't generally model that, so we treat as tracking</t>
        </r>
      </text>
    </comment>
    <comment ref="K70" authorId="0" shapeId="0" xr:uid="{45692664-9843-794F-8E19-2443DF06C53C}">
      <text>
        <r>
          <rPr>
            <sz val="10"/>
            <color rgb="FF000000"/>
            <rFont val="Calibri"/>
            <family val="2"/>
            <scheme val="minor"/>
          </rPr>
          <t>From EIA Form 860; not on Google Maps images by June 2020.</t>
        </r>
      </text>
    </comment>
    <comment ref="I71" authorId="0" shapeId="0" xr:uid="{D6F63BC6-C668-FF4F-98DD-62F18E92C6FE}">
      <text>
        <r>
          <rPr>
            <sz val="9"/>
            <color rgb="FF000000"/>
            <rFont val="Calibri"/>
            <family val="2"/>
          </rPr>
          <t xml:space="preserve">set to get correct PPA price in 2018 when using standard finance assumptions applied in Switch (6% over project life). 
</t>
        </r>
        <r>
          <rPr>
            <sz val="9"/>
            <color rgb="FF000000"/>
            <rFont val="Calibri"/>
            <family val="2"/>
          </rPr>
          <t xml:space="preserve">
</t>
        </r>
        <r>
          <rPr>
            <sz val="9"/>
            <color rgb="FF000000"/>
            <rFont val="Calibri"/>
            <family val="2"/>
          </rPr>
          <t>Previously was set based on 2016 NREL ATB (2190.18 for wind, 2915.91 for solar) or PSIP thermal plants (~$1750/kW), but these PPAs  don't match that.</t>
        </r>
      </text>
    </comment>
    <comment ref="J71" authorId="0" shapeId="0" xr:uid="{129F1A0D-09DE-774C-93C1-A2CDD96020C0}">
      <text>
        <r>
          <rPr>
            <sz val="10"/>
            <color rgb="FF000000"/>
            <rFont val="Tahoma"/>
            <family val="2"/>
          </rPr>
          <t>From Assumptions to AEO 2019</t>
        </r>
      </text>
    </comment>
    <comment ref="K71" authorId="0" shapeId="0" xr:uid="{00000000-0006-0000-0000-000040000000}">
      <text>
        <r>
          <rPr>
            <sz val="9"/>
            <color rgb="FF000000"/>
            <rFont val="Calibri"/>
            <family val="2"/>
          </rPr>
          <t>Mauka of Kamaile academy according to http://eurusenergy.com/news/press-releases/eurus-energy-america/waianae-solar-project-construction-financing/</t>
        </r>
      </text>
    </comment>
    <comment ref="C72" authorId="0" shapeId="0" xr:uid="{ABBD035B-FC53-944D-AC91-5A2AB8488533}">
      <text>
        <r>
          <rPr>
            <sz val="9"/>
            <color rgb="FF000000"/>
            <rFont val="Calibri"/>
            <family val="2"/>
          </rPr>
          <t>actually fixed-tilt, but we don't generally model that, so we treat as tracking</t>
        </r>
      </text>
    </comment>
    <comment ref="K72" authorId="0" shapeId="0" xr:uid="{82076FE8-4246-1F40-99CD-F2E8CFA7D4F6}">
      <text>
        <r>
          <rPr>
            <sz val="10"/>
            <color rgb="FF000000"/>
            <rFont val="Tahoma"/>
            <family val="2"/>
          </rPr>
          <t>From EIA Form 860; not on Google Maps images by June 2020.</t>
        </r>
      </text>
    </comment>
    <comment ref="C73" authorId="0" shapeId="0" xr:uid="{00000000-0006-0000-0000-000042000000}">
      <text>
        <r>
          <rPr>
            <sz val="9"/>
            <color rgb="FF000000"/>
            <rFont val="Calibri"/>
            <family val="2"/>
          </rPr>
          <t>profile copied from PSIP 2016-12 generator and storage data.xlsx</t>
        </r>
      </text>
    </comment>
    <comment ref="C74" authorId="0" shapeId="0" xr:uid="{00000000-0006-0000-0000-000045000000}">
      <text>
        <r>
          <rPr>
            <sz val="9"/>
            <color rgb="FF000000"/>
            <rFont val="Calibri"/>
            <family val="2"/>
          </rPr>
          <t>Lanikuhana Solar (Mililani Solar), formerly SunEdison</t>
        </r>
      </text>
    </comment>
    <comment ref="G74" authorId="0" shapeId="0" xr:uid="{8DB67E3A-51EC-834C-B191-32ACDD48BC49}">
      <text>
        <r>
          <rPr>
            <sz val="10"/>
            <color rgb="FF000000"/>
            <rFont val="Tahoma"/>
            <family val="2"/>
          </rPr>
          <t xml:space="preserve">from https://www.hawaiianelectric.com/clean-energy-hawaii/our-clean-energy-portfolio/renewable-project-status-board </t>
        </r>
      </text>
    </comment>
    <comment ref="K74" authorId="0" shapeId="0" xr:uid="{00000000-0006-0000-0000-000046000000}">
      <text>
        <r>
          <rPr>
            <sz val="9"/>
            <color rgb="FF000000"/>
            <rFont val="Calibri"/>
            <family val="2"/>
          </rPr>
          <t>from page source of http://energy.ehawaii.gov/epd/public/energy-project-details.html?rid=f1-3b2df53a54d8c6d3</t>
        </r>
      </text>
    </comment>
    <comment ref="C75" authorId="0" shapeId="0" xr:uid="{0783363A-F90C-6942-B111-9AA3D30E6CD8}">
      <text>
        <r>
          <rPr>
            <sz val="9"/>
            <color rgb="FF000000"/>
            <rFont val="Calibri"/>
            <family val="2"/>
          </rPr>
          <t>West Loch PV</t>
        </r>
      </text>
    </comment>
    <comment ref="G75" authorId="0" shapeId="0" xr:uid="{25F9840F-C1F1-6844-88D4-4723F90E8B35}">
      <text>
        <r>
          <rPr>
            <sz val="9"/>
            <color rgb="FF000000"/>
            <rFont val="Calibri"/>
            <family val="2"/>
          </rPr>
          <t xml:space="preserve">Seems like half of it came online in 2017 (or maybe it was some other project at JBPHH?), and all of it was expected to be online in 2018. See https://www.bizjournals.com/pacific/news/2017/04/28/navy-launches-operations-of-pearl-harbor-solar.html and https://dailyenergyinsider.com/news/10294-hawaiian-electric-companies-reports-100-megawatts-solar-installed-across-service-territories-2017/
</t>
        </r>
        <r>
          <rPr>
            <sz val="9"/>
            <color rgb="FF000000"/>
            <rFont val="Calibri"/>
            <family val="2"/>
          </rPr>
          <t xml:space="preserve">
</t>
        </r>
        <r>
          <rPr>
            <sz val="9"/>
            <color rgb="FF000000"/>
            <rFont val="Calibri"/>
            <family val="2"/>
          </rPr>
          <t>But according to https://www.hawaiianelectric.com/clean-energy-hawaii/our-clean-energy-portfolio/renewable-project-status-board (accessed 10/22/19) it will be online in 2019.</t>
        </r>
      </text>
    </comment>
    <comment ref="H75" authorId="0" shapeId="0" xr:uid="{B852340B-DA8E-4741-947A-709529ECCB0E}">
      <text>
        <r>
          <rPr>
            <sz val="9"/>
            <color rgb="FF000000"/>
            <rFont val="Calibri"/>
            <family val="2"/>
          </rPr>
          <t xml:space="preserve">This is 28 MW DC, 20 MW AC. See PSIP 2016-12-23 and these links: 
</t>
        </r>
        <r>
          <rPr>
            <sz val="9"/>
            <color rgb="FF000000"/>
            <rFont val="Calibri"/>
            <family val="2"/>
          </rPr>
          <t xml:space="preserve">https://www.hawaiianelectric.com/navy-hawaiian-electric-plan-large-solar-project-on-joint-base-pearl-harbor-hickam (most authoritative)
</t>
        </r>
        <r>
          <rPr>
            <sz val="9"/>
            <color rgb="FF000000"/>
            <rFont val="Calibri"/>
            <family val="2"/>
          </rPr>
          <t xml:space="preserve">https://dailyenergyinsider.com/news/10294-hawaiian-electric-companies-reports-100-megawatts-solar-installed-across-service-territories-2017/
</t>
        </r>
        <r>
          <rPr>
            <sz val="9"/>
            <color rgb="FF000000"/>
            <rFont val="Calibri"/>
            <family val="2"/>
          </rPr>
          <t xml:space="preserve">http://greenfleet.dodlive.mil/files/2016/09/JB-Pearl-Harbor-Hickam-Factsheet.pdf
</t>
        </r>
        <r>
          <rPr>
            <sz val="9"/>
            <color rgb="FF000000"/>
            <rFont val="Calibri"/>
            <family val="2"/>
          </rPr>
          <t xml:space="preserve">https://www.bizjournals.com/pacific/news/2017/04/28/navy-launches-operations-of-pearl-harbor-solar.html
</t>
        </r>
      </text>
    </comment>
    <comment ref="K75" authorId="0" shapeId="0" xr:uid="{5225B422-9C6E-7D40-A3B7-389480060131}">
      <text>
        <r>
          <rPr>
            <sz val="9"/>
            <color rgb="FF000000"/>
            <rFont val="Calibri"/>
            <family val="2"/>
          </rPr>
          <t>from Pearl Harbor Hickam Solar Project fact sheet at http://greenfleet.dodlive.mil/files/2016/09/JB-Pearl-Harbor-Hickam-Factsheet.pdf</t>
        </r>
      </text>
    </comment>
    <comment ref="C76" authorId="0" shapeId="0" xr:uid="{00000000-0006-0000-0000-000047000000}">
      <text>
        <r>
          <rPr>
            <sz val="9"/>
            <color rgb="FF000000"/>
            <rFont val="Calibri"/>
            <family val="2"/>
          </rPr>
          <t>Waipio (Waiawa) PV, formerly SunEdison</t>
        </r>
      </text>
    </comment>
    <comment ref="G76" authorId="0" shapeId="0" xr:uid="{E8279636-6FAF-1D4F-974B-FA48298F4FA3}">
      <text>
        <r>
          <rPr>
            <sz val="10"/>
            <color rgb="FF000000"/>
            <rFont val="Tahoma"/>
            <family val="2"/>
          </rPr>
          <t xml:space="preserve">from https://www.hawaiianelectric.com/clean-energy-hawaii/our-clean-energy-portfolio/renewable-project-status-board </t>
        </r>
      </text>
    </comment>
    <comment ref="K76" authorId="0" shapeId="0" xr:uid="{00000000-0006-0000-0000-000048000000}">
      <text>
        <r>
          <rPr>
            <sz val="9"/>
            <color rgb="FF000000"/>
            <rFont val="Calibri"/>
            <family val="2"/>
          </rPr>
          <t>from page source of http://energy.ehawaii.gov/epd/public/energy-project-details.html?rid=f7-3f29f31d354cf91d</t>
        </r>
      </text>
    </comment>
    <comment ref="C77" authorId="0" shapeId="0" xr:uid="{00000000-0006-0000-0000-000043000000}">
      <text>
        <r>
          <rPr>
            <sz val="9"/>
            <color rgb="FF000000"/>
            <rFont val="Calibri"/>
            <family val="2"/>
          </rPr>
          <t>Kawailoa Solar, formerly SunEdison project</t>
        </r>
      </text>
    </comment>
    <comment ref="G77" authorId="0" shapeId="0" xr:uid="{1C1E80B6-F104-9344-8D1C-388BFBD24221}">
      <text>
        <r>
          <rPr>
            <sz val="10"/>
            <color rgb="FF000000"/>
            <rFont val="Tahoma"/>
            <family val="2"/>
          </rPr>
          <t xml:space="preserve">from https://www.hawaiianelectric.com/clean-energy-hawaii/our-clean-energy-portfolio/renewable-project-status-board </t>
        </r>
      </text>
    </comment>
    <comment ref="K77" authorId="0" shapeId="0" xr:uid="{00000000-0006-0000-0000-000044000000}">
      <text>
        <r>
          <rPr>
            <sz val="9"/>
            <color rgb="FF000000"/>
            <rFont val="Calibri"/>
            <family val="2"/>
          </rPr>
          <t>From xx (view source for map marker)</t>
        </r>
      </text>
    </comment>
    <comment ref="I78" authorId="0" shapeId="0" xr:uid="{5BA0A1BB-5ACA-D346-821E-B1CA8508F469}">
      <text>
        <r>
          <rPr>
            <sz val="9"/>
            <color rgb="FF000000"/>
            <rFont val="Calibri"/>
            <family val="2"/>
          </rPr>
          <t>set equal to 2016 cost in NREL Advanced Technology Baseline (see "PSIP 2016-12 and ATB 2018 generator data.xlsx")</t>
        </r>
      </text>
    </comment>
    <comment ref="I86" authorId="0" shapeId="0" xr:uid="{22189597-D8F8-A746-9F12-47EEACF12405}">
      <text>
        <r>
          <rPr>
            <sz val="9"/>
            <color rgb="FF000000"/>
            <rFont val="Calibri"/>
            <family val="2"/>
          </rPr>
          <t>set equal to 2016 cost in NREL Advanced Technology Baseline (see "PSIP 2016-12 and ATB 2018 generator data.xlsx")</t>
        </r>
      </text>
    </comment>
    <comment ref="G116" authorId="0" shapeId="0" xr:uid="{548CD232-CD3A-E542-92BD-3C8393349FCA}">
      <text>
        <r>
          <rPr>
            <sz val="9"/>
            <color rgb="FF000000"/>
            <rFont val="Calibri"/>
            <family val="2"/>
          </rPr>
          <t>Online 4/2/20 according to https://www.hawaiianelectric.com/clean-energy-hawaii/our-clean-energy-portfolio/renewable-project-status-board (accessed 5/25/20).</t>
        </r>
      </text>
    </comment>
    <comment ref="K116" authorId="0" shapeId="0" xr:uid="{F0DD4284-3201-8640-961D-C23DEB05CF27}">
      <text>
        <r>
          <rPr>
            <sz val="9"/>
            <color rgb="FF000000"/>
            <rFont val="Calibri"/>
            <family val="2"/>
          </rPr>
          <t>TMK (1) 9-1-013-070-0000 from KAL 17-007 permit application at https://dbedt.hawaii.gov/hcda/aloha-solar/, location looked up on https://qpublic.schneidercorp.com/Application.aspx?App=HonoluluCountyHI&amp;PageType=Search</t>
        </r>
      </text>
    </comment>
    <comment ref="C121" authorId="0" shapeId="0" xr:uid="{00000000-0006-0000-0000-00004D000000}">
      <text>
        <r>
          <rPr>
            <sz val="9"/>
            <color rgb="FF000000"/>
            <rFont val="Calibri"/>
            <family val="2"/>
          </rPr>
          <t>from data/HECO Plans/PSIP-WebDAV/2017-01-31 Response to Parties IRs/CA-IR-1/Input and Output Files by Case/E3 and Company Defined Cases/Market DGPV (Reference)/OA_NOLNG/planned_installed_capacities.tab</t>
        </r>
      </text>
    </comment>
    <comment ref="B122" authorId="0" shapeId="0" xr:uid="{00000000-0006-0000-0000-00004E000000}">
      <text>
        <r>
          <rPr>
            <sz val="9"/>
            <color rgb="FF000000"/>
            <rFont val="Calibri"/>
            <family val="2"/>
          </rPr>
          <t>from data/HECO Plans/PSIP-WebDAV/2017-01-31 Response to Parties IRs/CA-IR-1/Input and Output Files by Case/E3 and Company Defined Cases/Market DGPV (Reference)/OA_NOLNG/planned_installed_capacities.tab</t>
        </r>
      </text>
    </comment>
    <comment ref="C122" authorId="0" shapeId="0" xr:uid="{00000000-0006-0000-0000-00004F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B123" authorId="0" shapeId="0" xr:uid="{00000000-0006-0000-0000-000050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C123" authorId="0" shapeId="0" xr:uid="{00000000-0006-0000-0000-000051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B124" authorId="0" shapeId="0" xr:uid="{00000000-0006-0000-0000-000052000000}">
      <text>
        <r>
          <rPr>
            <sz val="9"/>
            <color rgb="FF000000"/>
            <rFont val="Calibri"/>
            <family val="2"/>
          </rPr>
          <t>from data/HECO Plans/PSIP-WebDAV/2017-01-31 Response to Parties IRs/CA-IR-1/Input and Output Files by Case/E3 and Company Defined Cases/Market DGPV (Reference)/OA_NOLNG/planned_installed_capacities.tab</t>
        </r>
      </text>
    </comment>
    <comment ref="C124" authorId="0" shapeId="0" xr:uid="{00000000-0006-0000-0000-000053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B125" authorId="0" shapeId="0" xr:uid="{00000000-0006-0000-0000-000054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C125" authorId="0" shapeId="0" xr:uid="{00000000-0006-0000-0000-000055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B126" authorId="0" shapeId="0" xr:uid="{00000000-0006-0000-0000-000056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C126" authorId="0" shapeId="0" xr:uid="{00000000-0006-0000-0000-000057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B127" authorId="0" shapeId="0" xr:uid="{00000000-0006-0000-0000-000058000000}">
      <text>
        <r>
          <rPr>
            <sz val="9"/>
            <color rgb="FF000000"/>
            <rFont val="Calibri"/>
            <family val="2"/>
          </rPr>
          <t>from data/HECO Plans/PSIP-WebDAV/2017-01-31 Response to Parties IRs/CA-IR-1/Input and Output Files by Case/E3 and Company Defined Cases/Market DGPV (Reference)/OA_NOLNG/planned_installed_capacities.tab</t>
        </r>
      </text>
    </comment>
    <comment ref="C127" authorId="0" shapeId="0" xr:uid="{00000000-0006-0000-0000-000059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B128" authorId="0" shapeId="0" xr:uid="{00000000-0006-0000-0000-00005A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C128" authorId="0" shapeId="0" xr:uid="{00000000-0006-0000-0000-00005B000000}">
      <text>
        <r>
          <rPr>
            <sz val="9"/>
            <color rgb="FF000000"/>
            <rFont val="Calibri"/>
            <family val="2"/>
          </rPr>
          <t>from data/HECO Plans/PSIP-WebDAV/2017-01-31 Response to Parties IRs/CA-IR-1/Input and Output Files by Case/E3 and Company Defined Cases/Market DGPV (Reference)/OA_NOLNG/planned_installed_capacities.tab</t>
        </r>
      </text>
    </comment>
    <comment ref="A191" authorId="0" shapeId="0" xr:uid="{00000000-0006-0000-0000-00005C000000}">
      <text>
        <r>
          <rPr>
            <sz val="9"/>
            <color indexed="81"/>
            <rFont val="Calibri"/>
            <family val="2"/>
          </rPr>
          <t>444 MW DistPV installed by 2016 according to PSIP 2016-04-01 Figure J-19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24" authorId="0" shapeId="0" xr:uid="{A0364F0B-EEA3-8F40-AD87-6972762768CC}">
      <text>
        <r>
          <rPr>
            <sz val="10"/>
            <color rgb="FF000000"/>
            <rFont val="Tahoma"/>
            <family val="2"/>
          </rPr>
          <t>from new generator data workbook (PSIP 2016-12 ATB 2019 generator data.xlsx)</t>
        </r>
      </text>
    </comment>
    <comment ref="C24" authorId="0" shapeId="0" xr:uid="{C28682AA-71AD-9D4B-8CE0-D24410A55FF5}">
      <text>
        <r>
          <rPr>
            <sz val="10"/>
            <color rgb="FF000000"/>
            <rFont val="Tahoma"/>
            <family val="2"/>
          </rPr>
          <t>from new generator data workbook (PSIP 2016-12 ATB 2019 generator data.xlsx)</t>
        </r>
      </text>
    </comment>
    <comment ref="B25" authorId="0" shapeId="0" xr:uid="{4AB201A4-64B6-1648-AE84-DDA9976B8AC2}">
      <text>
        <r>
          <rPr>
            <sz val="10"/>
            <color rgb="FF000000"/>
            <rFont val="Tahoma"/>
            <family val="2"/>
          </rPr>
          <t>from new generator data workbook (PSIP 2016-12 ATB 2019 generator data.xlsx)</t>
        </r>
      </text>
    </comment>
    <comment ref="C25" authorId="0" shapeId="0" xr:uid="{DC5F91BB-14A5-AA43-B15D-C814D7A045C2}">
      <text>
        <r>
          <rPr>
            <sz val="10"/>
            <color rgb="FF000000"/>
            <rFont val="Tahoma"/>
            <family val="2"/>
          </rPr>
          <t>from new generator data workbook (PSIP 2016-12 ATB 2019 generator data.xlsx)</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<sst xmlns="http://schemas.openxmlformats.org/spreadsheetml/2006/main" count="859" uniqueCount="335">
  <si>
    <t>intermittent</t>
  </si>
  <si>
    <t>resource_limited</t>
  </si>
  <si>
    <t>distributed</t>
  </si>
  <si>
    <t>CentralTrackingPV</t>
  </si>
  <si>
    <t>LSFO</t>
  </si>
  <si>
    <t>AES</t>
  </si>
  <si>
    <t>CIP_CT</t>
  </si>
  <si>
    <t>Airport_DSG</t>
  </si>
  <si>
    <t>H-Power</t>
  </si>
  <si>
    <t>proj_overnight_cost</t>
  </si>
  <si>
    <t>proj_fixed_om</t>
  </si>
  <si>
    <t>Power Points (MW)</t>
  </si>
  <si>
    <t>Incremental Heat Rate (Btu/kWh)</t>
  </si>
  <si>
    <t>Variable Cost</t>
  </si>
  <si>
    <t>Outages</t>
  </si>
  <si>
    <t>Fuel</t>
  </si>
  <si>
    <t>Fuel Consumption (MMBTU/hour)</t>
  </si>
  <si>
    <t>Plant</t>
  </si>
  <si>
    <t>Full Load Heat Rate (Btu/kWh)</t>
  </si>
  <si>
    <t>Min</t>
  </si>
  <si>
    <t>Max</t>
  </si>
  <si>
    <t>Variable O&amp;M ($/mwH)</t>
  </si>
  <si>
    <t>Variable Cost ($/Hour)</t>
  </si>
  <si>
    <t>FOR %</t>
  </si>
  <si>
    <t>min-&gt;2</t>
  </si>
  <si>
    <t>2-&gt;3</t>
  </si>
  <si>
    <t>3-&gt;4</t>
  </si>
  <si>
    <t>4-&gt;max</t>
  </si>
  <si>
    <t>H8</t>
  </si>
  <si>
    <t>H9</t>
  </si>
  <si>
    <t>W3</t>
  </si>
  <si>
    <t>W4</t>
  </si>
  <si>
    <t>W5</t>
  </si>
  <si>
    <t>W6</t>
  </si>
  <si>
    <t>W7</t>
  </si>
  <si>
    <t>W8</t>
  </si>
  <si>
    <t>W9</t>
  </si>
  <si>
    <t>Diesel</t>
  </si>
  <si>
    <t>W10</t>
  </si>
  <si>
    <t>K1</t>
  </si>
  <si>
    <t>K2</t>
  </si>
  <si>
    <t>K3</t>
  </si>
  <si>
    <t>K4</t>
  </si>
  <si>
    <t>K5</t>
  </si>
  <si>
    <t>K6</t>
  </si>
  <si>
    <t>Kal1</t>
  </si>
  <si>
    <t>Kal2</t>
  </si>
  <si>
    <t>Kal3</t>
  </si>
  <si>
    <t>Coal</t>
  </si>
  <si>
    <t>HPOWER</t>
  </si>
  <si>
    <t>CIP-CT1</t>
  </si>
  <si>
    <t>Biodiesel</t>
  </si>
  <si>
    <t>AiportDG</t>
  </si>
  <si>
    <t>Data from HSIS Appendix A, http://www.hnei.hawaii.edu/sites/www.hnei.hawaii.edu/files/Hawaii%20Solar%20Integration%20Study%20-%20Oahu.pdf</t>
  </si>
  <si>
    <t>retirement year</t>
  </si>
  <si>
    <t>MSW</t>
  </si>
  <si>
    <t>fill in capital costs for all plants (use original cost, converted to 2016$; this reflects the fact that payments escalate with inflation in switch)</t>
  </si>
  <si>
    <t>Fuel Input @ Min Power (MMBtu)</t>
  </si>
  <si>
    <t>get better fixed and variable O&amp;M for all plants</t>
  </si>
  <si>
    <t>Full load heat rate (calculated)</t>
  </si>
  <si>
    <t>limit Airport DSG to 1500 hours/year</t>
  </si>
  <si>
    <t>Notes:</t>
  </si>
  <si>
    <t>Honua was removed because the company behind it went bankrupt in Feb. 2016 without completing the project. see:</t>
  </si>
  <si>
    <t>Star-Advertiser "Pulling the Plug", 2016-02-08, http://www.pressreader.com/usa/honolulu-star-advertiser/20160208/281848642645296</t>
  </si>
  <si>
    <t>http://www.ct-si.org/events/APCE2011/sld/pdf/9.pdf</t>
  </si>
  <si>
    <t>http://oeqc.doh.hawaii.gov/Shared%20Documents/EA_and_EIS_Online_Library/Oahu/2010s/2010-04-08-OA-FEA-Honua-Power.pdf</t>
  </si>
  <si>
    <t>add Chevron cogen plant (G1-G3 built in 1990, G4 built in 2011; assume 61-year life)</t>
  </si>
  <si>
    <t>add Tesoro cogen plant (built in 1983; assume 61-year life)</t>
  </si>
  <si>
    <t>In Ulupono scenarios, switch wind and solar to 35-year life to avoid retirement and replacement by 2045</t>
  </si>
  <si>
    <t>TODO later:</t>
  </si>
  <si>
    <t>allow specification of O&amp;M per hour (based on commitment), rather than just per MWh (based on dispatch)</t>
  </si>
  <si>
    <t>note: project build data will get stored in one built_project table,but scenario_data.py will extract it into proj_existing_builds.tab and proj_build_costs.tab</t>
  </si>
  <si>
    <t>PP</t>
  </si>
  <si>
    <t>FC</t>
  </si>
  <si>
    <t>IHR</t>
  </si>
  <si>
    <t>latitude</t>
  </si>
  <si>
    <t>longitude</t>
  </si>
  <si>
    <t>technology</t>
  </si>
  <si>
    <t>unit_size</t>
  </si>
  <si>
    <t>load_zone</t>
  </si>
  <si>
    <t>Oahu</t>
  </si>
  <si>
    <t>proj_existing_cap</t>
  </si>
  <si>
    <t>build_year</t>
  </si>
  <si>
    <t>financial base year</t>
  </si>
  <si>
    <t>OnshoreWind</t>
  </si>
  <si>
    <t>convert batteries, hydrogen, evs? and fuel market expansion into projects with side constraints imposed by modules</t>
  </si>
  <si>
    <t>create flag for cost-only projects (not committed/dispatched, just built/retired)</t>
  </si>
  <si>
    <t>baseload</t>
  </si>
  <si>
    <t>cogen</t>
  </si>
  <si>
    <t>must_run</t>
  </si>
  <si>
    <t>non_cycling</t>
  </si>
  <si>
    <t>allow users to specify a "greenfield" model, omitting all previous builds (in scenario_data.py)</t>
  </si>
  <si>
    <t>add code to support non_cycling flag in switch unit commitment</t>
  </si>
  <si>
    <t>scheduled_outage_rate</t>
  </si>
  <si>
    <t>TODO:</t>
  </si>
  <si>
    <t xml:space="preserve"> jdfvbkmnjjjuhjuhnbvcxzp,lmpn/////[</t>
  </si>
  <si>
    <t>.,?"P}o?P&lt;K?"&lt;K?"op]k?"PKOP']/K&lt;"}|OPKPO"}&lt;K?"KL,l?"LK?"K&lt;"&gt;K?"&gt;L</t>
  </si>
  <si>
    <t xml:space="preserve"> </t>
  </si>
  <si>
    <t>site</t>
  </si>
  <si>
    <t>orientation</t>
  </si>
  <si>
    <t>na</t>
  </si>
  <si>
    <t>forced_outage_rate</t>
  </si>
  <si>
    <t>variable_o_m</t>
  </si>
  <si>
    <t>heat_rate</t>
  </si>
  <si>
    <t>fuel</t>
  </si>
  <si>
    <t>define multiple speeds of regulating reserve product, with separate targets at each speed (to account for renewable mis-forecast)</t>
  </si>
  <si>
    <t>(we don't define a contingency reserve product for extreme misforecasts, because it is hard to bound the quantity, and it can be a slow-start product (not instant-start), and most likely it would be addressed by rolling blackouts, not dipping into n-1 reserves)</t>
  </si>
  <si>
    <t>report reserves provided by each source</t>
  </si>
  <si>
    <t>include pumped storage in reserve requirements and provision</t>
  </si>
  <si>
    <t>gen_install_plan</t>
  </si>
  <si>
    <t>existing</t>
  </si>
  <si>
    <t>IC_Schofield</t>
  </si>
  <si>
    <t>TODO: convert LoadShiftBattery to some standard tech (check what HECO assumed)</t>
  </si>
  <si>
    <t>TODO: no reserves from LoadShiftBattery in PSIP?</t>
  </si>
  <si>
    <t>TODO: any contingency or regulation battery in PSIP?</t>
  </si>
  <si>
    <t>TODO: allow central PV and wind without lat lon specified (just require a certain total amount from any appropriate project)</t>
  </si>
  <si>
    <t>TODO: make sure import code can handle multiple batches of the same technology in the same year, with or without different locations (or none at all)</t>
  </si>
  <si>
    <t>TODO: switch to using 4-hour and 6-hour batteries, and fix up LoadShiftBattery</t>
  </si>
  <si>
    <t>TODO: add project size and cap factors for West Loch PV (on Pearl Harbor land) (eventually; can use nearest ag land solar for now)</t>
  </si>
  <si>
    <t>non-controllable</t>
  </si>
  <si>
    <t>controllable</t>
  </si>
  <si>
    <t>total level</t>
  </si>
  <si>
    <t>retirements</t>
  </si>
  <si>
    <t>additions</t>
  </si>
  <si>
    <t>year</t>
  </si>
  <si>
    <t>TODO: re-import HECO generator info with 20 year life for renewables</t>
  </si>
  <si>
    <t>Note: horizontal block (technology_info) describes existing thermal technologies to add to technology and project tables (one-to-one); vertical block (build_info) describes build dates for those projects and others defined in PSIP workbook (costs should be provided if build date is earlier than costs in PSIP workbook)</t>
  </si>
  <si>
    <t>All-islandPV level forecast from H-1 of PSIP 2016-12-23 and xx</t>
  </si>
  <si>
    <t>see p. 3-8 of PSIP 2016-12-23 vol. 1. for 20-year life and discussion of reconstruction at retirement (focused on utility-scale, but we assume it applies to DG; also Resolve applied these as set levels).</t>
  </si>
  <si>
    <t>optional replacements at retirement (pasted into PSIP module)</t>
  </si>
  <si>
    <t>Note: any values specified here set upper and lower bounds on construction in that year; this will lock in a building plan if applied during the study period.</t>
  </si>
  <si>
    <t>Oahu DistPV construction calculations, assuming 20-year life</t>
  </si>
  <si>
    <t>TODO: add gen_install_plan to scenario_data (default is "existing"); then we can include PSIP_DistPV to follow the forecast or exclude it to allow free selection of PV</t>
  </si>
  <si>
    <t>DistPV installations</t>
  </si>
  <si>
    <t>Approx. Oahu PV level from Figure J-10 of 2016-12-23 PSIP (excl FIT(?))</t>
  </si>
  <si>
    <t>Note: the rows below are unused; these were moved back into the PSIP module.</t>
  </si>
  <si>
    <t>startup_energy</t>
  </si>
  <si>
    <t>min_uptime</t>
  </si>
  <si>
    <t>min_downtime</t>
  </si>
  <si>
    <t>SlopedDistPV</t>
  </si>
  <si>
    <t>FlatDistPV</t>
  </si>
  <si>
    <t>substation_cost_per_kw</t>
  </si>
  <si>
    <t>1987 O&amp;M inflator</t>
  </si>
  <si>
    <t>2011 inflator</t>
  </si>
  <si>
    <t>2007 inflator</t>
  </si>
  <si>
    <t>Plant Name</t>
  </si>
  <si>
    <t>Operator Name</t>
  </si>
  <si>
    <t>Operator Id</t>
  </si>
  <si>
    <t>Plant State</t>
  </si>
  <si>
    <t>Census Region</t>
  </si>
  <si>
    <t>NERC Region</t>
  </si>
  <si>
    <t>Reserved</t>
  </si>
  <si>
    <t>NAICS Code</t>
  </si>
  <si>
    <t>EIA Sector Number</t>
  </si>
  <si>
    <t>Sector Name</t>
  </si>
  <si>
    <t>Reported
Prime Mover</t>
  </si>
  <si>
    <t>Reported
Fuel Type Code</t>
  </si>
  <si>
    <t>AER
Fuel Type Code</t>
  </si>
  <si>
    <t>Physical
Unit Label</t>
  </si>
  <si>
    <t>Quantity
January</t>
  </si>
  <si>
    <t>Quantity
February</t>
  </si>
  <si>
    <t>Quantity
March</t>
  </si>
  <si>
    <t>Quantity
April</t>
  </si>
  <si>
    <t>Quantity
May</t>
  </si>
  <si>
    <t>Quantity
June</t>
  </si>
  <si>
    <t>Quantity
July</t>
  </si>
  <si>
    <t>Quantity
August</t>
  </si>
  <si>
    <t>Quantity
September</t>
  </si>
  <si>
    <t>Quantity
October</t>
  </si>
  <si>
    <t>Quantity
November</t>
  </si>
  <si>
    <t>Quantity
December</t>
  </si>
  <si>
    <t>Elec_Quantity
January</t>
  </si>
  <si>
    <t>Elec_Quantity
February</t>
  </si>
  <si>
    <t>Elec_Quantity
March</t>
  </si>
  <si>
    <t>Elec_Quantity
April</t>
  </si>
  <si>
    <t>Elec_Quantity
May</t>
  </si>
  <si>
    <t>Elec_Quantity
June</t>
  </si>
  <si>
    <t>Elec_Quantity
July</t>
  </si>
  <si>
    <t>Elec_Quantity
August</t>
  </si>
  <si>
    <t>Elec_Quantity
September</t>
  </si>
  <si>
    <t>Elec_Quantity
October</t>
  </si>
  <si>
    <t>Elec_Quantity
November</t>
  </si>
  <si>
    <t>Elec_Quantity
December</t>
  </si>
  <si>
    <t>MMBtuPer_Unit
January</t>
  </si>
  <si>
    <t>MMBtuPer_Unit
February</t>
  </si>
  <si>
    <t>MMBtuPer_Unit
March</t>
  </si>
  <si>
    <t>MMBtuPer_Unit
April</t>
  </si>
  <si>
    <t>MMBtuPer_Unit
May</t>
  </si>
  <si>
    <t>MMBtuPer_Unit
June</t>
  </si>
  <si>
    <t>MMBtuPer_Unit
July</t>
  </si>
  <si>
    <t>MMBtuPer_Unit
August</t>
  </si>
  <si>
    <t>MMBtuPer_Unit
September</t>
  </si>
  <si>
    <t>MMBtuPer_Unit
October</t>
  </si>
  <si>
    <t>MMBtuPer_Unit
November</t>
  </si>
  <si>
    <t>MMBtuPer_Unit
December</t>
  </si>
  <si>
    <t>Tot_MMBtu
January</t>
  </si>
  <si>
    <t>Tot_MMBtu
February</t>
  </si>
  <si>
    <t>Tot_MMBtu
March</t>
  </si>
  <si>
    <t>Tot_MMBtu
April</t>
  </si>
  <si>
    <t>Tot_MMBtu
May</t>
  </si>
  <si>
    <t>Tot_MMBtu
June</t>
  </si>
  <si>
    <t>Tot_MMBtu
July</t>
  </si>
  <si>
    <t>Tot_MMBtu
August</t>
  </si>
  <si>
    <t>Tot_MMBtu
September</t>
  </si>
  <si>
    <t>Tot_MMBtu
October</t>
  </si>
  <si>
    <t>Tot_MMBtu
November</t>
  </si>
  <si>
    <t>Tot_MMBtu
December</t>
  </si>
  <si>
    <t>Elec_MMBtu
January</t>
  </si>
  <si>
    <t>Elec_MMBtu
February</t>
  </si>
  <si>
    <t>Elec_MMBtu
March</t>
  </si>
  <si>
    <t>Elec_MMBtu
April</t>
  </si>
  <si>
    <t>Elec_MMBtu
May</t>
  </si>
  <si>
    <t>Elec_MMBtu
June</t>
  </si>
  <si>
    <t>Elec_MMBtu
July</t>
  </si>
  <si>
    <t>Elec_MMBtu
August</t>
  </si>
  <si>
    <t>Elec_MMBtu
September</t>
  </si>
  <si>
    <t>Elec_MMBtu
October</t>
  </si>
  <si>
    <t>Elec_MMBtu
November</t>
  </si>
  <si>
    <t>Elec_MMBtu
December</t>
  </si>
  <si>
    <t>Netgen
January</t>
  </si>
  <si>
    <t>Netgen
February</t>
  </si>
  <si>
    <t>Netgen
March</t>
  </si>
  <si>
    <t>Netgen
April</t>
  </si>
  <si>
    <t>Netgen
May</t>
  </si>
  <si>
    <t>Netgen
June</t>
  </si>
  <si>
    <t>Netgen
July</t>
  </si>
  <si>
    <t>Netgen
August</t>
  </si>
  <si>
    <t>Netgen
September</t>
  </si>
  <si>
    <t>Netgen
October</t>
  </si>
  <si>
    <t>Netgen
November</t>
  </si>
  <si>
    <t>Netgen
December</t>
  </si>
  <si>
    <t>Total Fuel Consumption
Quantity</t>
  </si>
  <si>
    <t>Electric Fuel Consumption
Quantity</t>
  </si>
  <si>
    <t>Total Fuel Consumption
MMBtu</t>
  </si>
  <si>
    <t>Elec Fuel Consumption
MMBtu</t>
  </si>
  <si>
    <t>Net Generation
(Megawatthours)</t>
  </si>
  <si>
    <t>YEAR</t>
  </si>
  <si>
    <t>Kahe</t>
  </si>
  <si>
    <t>Hawaiian Electric Co Inc</t>
  </si>
  <si>
    <t>HI</t>
  </si>
  <si>
    <t>PACN</t>
  </si>
  <si>
    <t>HICC</t>
  </si>
  <si>
    <t/>
  </si>
  <si>
    <t>Electric Utility</t>
  </si>
  <si>
    <t>ST</t>
  </si>
  <si>
    <t>DFO</t>
  </si>
  <si>
    <t>barrels</t>
  </si>
  <si>
    <t>PG</t>
  </si>
  <si>
    <t>WOO</t>
  </si>
  <si>
    <t>mcf</t>
  </si>
  <si>
    <t>RFO</t>
  </si>
  <si>
    <t>Waiau</t>
  </si>
  <si>
    <t>GT</t>
  </si>
  <si>
    <t>Barber's Point Tank Farm</t>
  </si>
  <si>
    <t>Campbell Industrial Park</t>
  </si>
  <si>
    <t>OBL</t>
  </si>
  <si>
    <t>ORW</t>
  </si>
  <si>
    <t>HNL Emergency Power Facility</t>
  </si>
  <si>
    <t>IC</t>
  </si>
  <si>
    <t>.</t>
  </si>
  <si>
    <t>Campbell Industrial Park BESS</t>
  </si>
  <si>
    <t>BA</t>
  </si>
  <si>
    <t>MWH</t>
  </si>
  <si>
    <t>OTH</t>
  </si>
  <si>
    <t>prime mover</t>
  </si>
  <si>
    <t>fixed O&amp;M ($/kW-y)</t>
  </si>
  <si>
    <t>variable O&amp;M ($/MWh)</t>
  </si>
  <si>
    <t>category</t>
  </si>
  <si>
    <t>steam</t>
  </si>
  <si>
    <t>non-steam</t>
  </si>
  <si>
    <t>capacity online 2017</t>
  </si>
  <si>
    <t>project</t>
  </si>
  <si>
    <t>Kawailoa wind</t>
  </si>
  <si>
    <t>Kahuku wind</t>
  </si>
  <si>
    <t>PPA $/kWh</t>
  </si>
  <si>
    <t>cap factor</t>
  </si>
  <si>
    <t>2018 inflator</t>
  </si>
  <si>
    <t>verify</t>
  </si>
  <si>
    <t>MWh output</t>
  </si>
  <si>
    <t>MMBtu input</t>
  </si>
  <si>
    <t>$/MMBtu</t>
  </si>
  <si>
    <t>heat rate</t>
  </si>
  <si>
    <t>total op cost</t>
  </si>
  <si>
    <t>PPA true-ups (2018 data in 2018$)</t>
  </si>
  <si>
    <t>Plant Id</t>
  </si>
  <si>
    <t>Combined Heat And
Power Plant</t>
  </si>
  <si>
    <t>Nuclear Unit Id</t>
  </si>
  <si>
    <t>N</t>
  </si>
  <si>
    <t>Schofield Generating Station</t>
  </si>
  <si>
    <t>2018 production from HECO-owned plants (from EIA form 923)</t>
  </si>
  <si>
    <t>2018 O&amp;M</t>
  </si>
  <si>
    <t>MWh gen 2018</t>
  </si>
  <si>
    <t>**** need to make this come out right using Switch heat rate, not actual heat rate…</t>
  </si>
  <si>
    <t>$/kWh incl cap</t>
  </si>
  <si>
    <t>$/kWh no cap</t>
  </si>
  <si>
    <t>Generation O&amp;M expenses</t>
  </si>
  <si>
    <t>From 2018 FERC Form 1 "Electric Operation and Maintenance Expenses", hard to retrieve in digital form, but also available at https://puc.hawaii.gov/wp-content/uploads/2019/08/AFR-HECO-2018.pdf</t>
  </si>
  <si>
    <t>non-steam power production</t>
  </si>
  <si>
    <t>steam power production</t>
  </si>
  <si>
    <t>O&amp;M not attributable to individual plants</t>
  </si>
  <si>
    <t>project_name</t>
  </si>
  <si>
    <t>Flat DGPV</t>
  </si>
  <si>
    <t>Sloped DGPV</t>
  </si>
  <si>
    <t>Kawailoa Solar</t>
  </si>
  <si>
    <t>Lanikuhana Solar</t>
  </si>
  <si>
    <t>Waipio PV</t>
  </si>
  <si>
    <t>West Loch PV</t>
  </si>
  <si>
    <t>Hawaii_Cogen</t>
  </si>
  <si>
    <t>Tesoro_Hawaii</t>
  </si>
  <si>
    <t>Kalaeloa Renewable Energy Park</t>
  </si>
  <si>
    <t>Kapolei Solar Energy Park</t>
  </si>
  <si>
    <t>2018 full load heat rate</t>
  </si>
  <si>
    <t>Err vs inc curve</t>
  </si>
  <si>
    <t>err vs. reported</t>
  </si>
  <si>
    <t>Aloha Solar Energy Fund II</t>
  </si>
  <si>
    <t>Mauka FIT 1</t>
  </si>
  <si>
    <t>Projects below are feed-in-tariff projects, so seem to be included in DER adoption, not individual projects</t>
  </si>
  <si>
    <t>https://www.hawaiianelectric.com/clean-energy-hawaii/our-clean-energy-portfolio/quarterly-installed-solar-data</t>
  </si>
  <si>
    <t>e.g., https://www.hawaiianelectric.com/documents/clean_energy_hawaii/clean_energy_facts/pv_summary_4Q_2019.pdf</t>
  </si>
  <si>
    <t>MW</t>
  </si>
  <si>
    <t>% commercial</t>
  </si>
  <si>
    <t>% residential</t>
  </si>
  <si>
    <t>residential additions</t>
  </si>
  <si>
    <t>commercial additions</t>
  </si>
  <si>
    <t>Kalaeloa Solar Two</t>
  </si>
  <si>
    <t>Pearl City Peninsula Solar Park</t>
  </si>
  <si>
    <t>Waihonu South Solar</t>
  </si>
  <si>
    <t>Waihonu North Solar</t>
  </si>
  <si>
    <t>Aloha Solar Energy Fund 1 PK1</t>
  </si>
  <si>
    <t>EE Waianae Solar Project</t>
  </si>
  <si>
    <t>End-of-year distributed PV capacity from quarterly HECO reports for Oahu</t>
  </si>
  <si>
    <t>start of year</t>
  </si>
  <si>
    <t>end of year</t>
  </si>
  <si>
    <t>mid-year</t>
  </si>
  <si>
    <t>mid-year values,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</si>
</sst>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
  </numFmts>
  <fonts count="17">
    <font>
      <sz val="12"/>
      <color theme="1"/>
      <name val="Calibri"/>
      <family val="2"/>
      <scheme val="minor"/>
    </font>
    <font>
      <b/>
      <sz val="12"/>
      <color theme="1"/>
      <name val="Calibri"/>
      <family val="2"/>
      <scheme val="minor"/>
    </font>
    <font>
      <sz val="9"/>
      <color indexed="81"/>
      <name val="Calibri"/>
      <family val="2"/>
    </font>
    <font>
      <u/>
      <sz val="12"/>
      <color theme="10"/>
      <name val="Calibri"/>
      <family val="2"/>
      <scheme val="minor"/>
    </font>
    <font>
      <u/>
      <sz val="12"/>
      <color theme="11"/>
      <name val="Calibri"/>
      <family val="2"/>
      <scheme val="minor"/>
    </font>
    <font>
      <sz val="11"/>
      <color theme="1"/>
      <name val="Calibri"/>
      <family val="2"/>
      <scheme val="minor"/>
    </font>
    <font>
      <sz val="12"/>
      <color rgb="FF000000"/>
      <name val="Calibri"/>
      <family val="2"/>
      <scheme val="minor"/>
    </font>
    <font>
      <i/>
      <sz val="12"/>
      <color theme="1"/>
      <name val="Calibri"/>
      <family val="2"/>
      <scheme val="minor"/>
    </font>
    <font>
      <sz val="9"/>
      <color rgb="FF000000"/>
      <name val="Calibri"/>
      <family val="2"/>
    </font>
    <font>
      <sz val="10"/>
      <color rgb="FF000000"/>
      <name val="Tahoma"/>
      <family val="2"/>
    </font>
    <font>
      <sz val="10"/>
      <color rgb="FF000000"/>
      <name val="Calibri"/>
      <family val="2"/>
      <scheme val="minor"/>
    </font>
    <font>
      <sz val="10"/>
      <color rgb="FF000000"/>
      <name val="Calibri"/>
      <family val="2"/>
    </font>
    <font>
      <b/>
      <sz val="10"/>
      <color indexed="8"/>
      <name val="Arial"/>
      <family val="2"/>
    </font>
    <font>
      <sz val="10"/>
      <color indexed="8"/>
      <name val="Arial"/>
      <family val="2"/>
    </font>
    <font>
      <u/>
      <sz val="12"/>
      <color theme="1"/>
      <name val="Calibri"/>
      <family val="2"/>
      <scheme val="minor"/>
    </font>
    <font>
      <sz val="12"/>
      <color rgb="FFFF0000"/>
      <name val="Calibri"/>
      <family val="2"/>
      <scheme val="minor"/>
    </font>
    <font>
      <sz val="12"/>
      <name val="Calibri"/>
      <family val="2"/>
      <scheme val="minor"/>
    </font>
  </fonts>
  <fills count="4">
    <fill>
      <patternFill patternType="none"/>
    </fill>
    <fill>
      <patternFill patternType="gray125"/>
    </fill>
    <fill>
      <patternFill patternType="solid">
        <fgColor rgb="FFCFEAF7"/>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3" fontId="0" fillId="0" borderId="1" xfId="0" applyNumberFormat="1" applyBorder="1" applyAlignment="1">
      <alignment vertical="center"/>
    </xf>
    <xf numFmtId="10" fontId="0" fillId="0" borderId="1" xfId="0" applyNumberFormat="1" applyBorder="1" applyAlignment="1">
      <alignment vertical="center"/>
    </xf>
    <xf numFmtId="0" fontId="0" fillId="0" borderId="1" xfId="0" applyBorder="1"/>
    <xf numFmtId="3" fontId="0" fillId="0" borderId="1" xfId="0" applyNumberFormat="1" applyBorder="1"/>
    <xf numFmtId="9" fontId="0" fillId="0" borderId="1" xfId="0" applyNumberFormat="1" applyBorder="1"/>
    <xf numFmtId="0" fontId="0" fillId="0" borderId="1" xfId="0" applyBorder="1" applyAlignment="1">
      <alignment horizontal="left" vertical="center" wrapText="1"/>
    </xf>
    <xf numFmtId="0" fontId="0" fillId="0" borderId="2" xfId="0" applyBorder="1" applyAlignment="1">
      <alignment horizontal="right" wrapText="1"/>
    </xf>
    <xf numFmtId="0" fontId="0" fillId="0" borderId="1" xfId="0" applyBorder="1" applyAlignment="1">
      <alignment horizontal="right" wrapText="1"/>
    </xf>
    <xf numFmtId="10" fontId="0" fillId="0" borderId="2" xfId="0" applyNumberFormat="1" applyBorder="1" applyAlignment="1">
      <alignment horizontal="right" wrapText="1"/>
    </xf>
    <xf numFmtId="0" fontId="0" fillId="0" borderId="1" xfId="0" applyBorder="1" applyAlignment="1"/>
    <xf numFmtId="9" fontId="0" fillId="0" borderId="1" xfId="0" applyNumberFormat="1" applyBorder="1" applyAlignment="1"/>
    <xf numFmtId="0" fontId="5" fillId="0" borderId="1" xfId="0" applyFont="1" applyBorder="1" applyAlignment="1">
      <alignment vertical="center"/>
    </xf>
    <xf numFmtId="3" fontId="5" fillId="0" borderId="1" xfId="0" applyNumberFormat="1" applyFont="1" applyBorder="1" applyAlignment="1">
      <alignment vertical="center"/>
    </xf>
    <xf numFmtId="0" fontId="1" fillId="0" borderId="0" xfId="0" applyFont="1"/>
    <xf numFmtId="164" fontId="0" fillId="0" borderId="0" xfId="0" applyNumberFormat="1"/>
    <xf numFmtId="0" fontId="6" fillId="0" borderId="0" xfId="0" applyFont="1"/>
    <xf numFmtId="0" fontId="0" fillId="0" borderId="0" xfId="0" applyFont="1"/>
    <xf numFmtId="0" fontId="0" fillId="0" borderId="0" xfId="0" applyBorder="1"/>
    <xf numFmtId="3" fontId="0" fillId="0" borderId="0" xfId="0" applyNumberFormat="1" applyBorder="1"/>
    <xf numFmtId="0" fontId="0" fillId="0" borderId="0" xfId="0" applyBorder="1" applyAlignment="1">
      <alignment horizontal="center" vertical="center"/>
    </xf>
    <xf numFmtId="9" fontId="0" fillId="0" borderId="0" xfId="0" applyNumberFormat="1" applyBorder="1"/>
    <xf numFmtId="0" fontId="7" fillId="0" borderId="0" xfId="0" applyFont="1"/>
    <xf numFmtId="0" fontId="0" fillId="0" borderId="0" xfId="0" quotePrefix="1"/>
    <xf numFmtId="0" fontId="7" fillId="0" borderId="0" xfId="0" quotePrefix="1" applyFont="1"/>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3" fontId="0" fillId="0" borderId="0" xfId="0" applyNumberFormat="1"/>
    <xf numFmtId="0" fontId="0" fillId="0" borderId="0" xfId="0" applyAlignment="1">
      <alignment wrapText="1"/>
    </xf>
    <xf numFmtId="0" fontId="12" fillId="2" borderId="1" xfId="0" applyFont="1" applyFill="1" applyBorder="1" applyAlignment="1">
      <alignment horizontal="center"/>
    </xf>
    <xf numFmtId="3" fontId="12" fillId="2" borderId="1" xfId="0" applyNumberFormat="1" applyFont="1" applyFill="1" applyBorder="1" applyAlignment="1">
      <alignment horizontal="center"/>
    </xf>
    <xf numFmtId="4" fontId="12" fillId="2" borderId="1" xfId="0" applyNumberFormat="1" applyFont="1" applyFill="1" applyBorder="1" applyAlignment="1">
      <alignment horizontal="center"/>
    </xf>
    <xf numFmtId="0" fontId="13" fillId="0" borderId="1" xfId="0" applyFont="1" applyBorder="1" applyAlignment="1">
      <alignment horizontal="left"/>
    </xf>
    <xf numFmtId="0" fontId="13" fillId="0" borderId="1" xfId="0" applyFont="1" applyBorder="1" applyAlignment="1">
      <alignment horizontal="right"/>
    </xf>
    <xf numFmtId="3" fontId="13" fillId="0" borderId="1" xfId="0" applyNumberFormat="1" applyFont="1" applyBorder="1" applyAlignment="1">
      <alignment horizontal="right"/>
    </xf>
    <xf numFmtId="4" fontId="13" fillId="0" borderId="1" xfId="0" applyNumberFormat="1" applyFont="1" applyBorder="1" applyAlignment="1">
      <alignment horizontal="right"/>
    </xf>
    <xf numFmtId="165" fontId="0" fillId="0" borderId="0" xfId="0" applyNumberFormat="1"/>
    <xf numFmtId="0" fontId="0" fillId="0" borderId="0" xfId="0" applyFill="1" applyBorder="1"/>
    <xf numFmtId="0" fontId="0" fillId="3" borderId="0" xfId="0" applyFill="1"/>
    <xf numFmtId="0" fontId="13" fillId="0" borderId="0" xfId="0" applyFont="1" applyBorder="1" applyAlignment="1">
      <alignment horizontal="left"/>
    </xf>
    <xf numFmtId="0" fontId="13" fillId="0" borderId="0" xfId="0" applyFont="1" applyBorder="1" applyAlignment="1">
      <alignment horizontal="right"/>
    </xf>
    <xf numFmtId="3" fontId="13" fillId="0" borderId="0" xfId="0" applyNumberFormat="1" applyFont="1" applyBorder="1" applyAlignment="1">
      <alignment horizontal="right"/>
    </xf>
    <xf numFmtId="4" fontId="13" fillId="0" borderId="0" xfId="0" applyNumberFormat="1" applyFont="1" applyBorder="1" applyAlignment="1">
      <alignment horizontal="right"/>
    </xf>
    <xf numFmtId="0" fontId="1" fillId="0" borderId="0" xfId="0" applyFont="1" applyBorder="1"/>
    <xf numFmtId="3" fontId="1" fillId="0" borderId="0" xfId="0" applyNumberFormat="1" applyFont="1" applyBorder="1"/>
    <xf numFmtId="0" fontId="14" fillId="3" borderId="0" xfId="0" applyFont="1" applyFill="1"/>
    <xf numFmtId="0" fontId="14" fillId="3" borderId="0" xfId="0" applyFont="1" applyFill="1" applyBorder="1"/>
    <xf numFmtId="0" fontId="1" fillId="0" borderId="1" xfId="0" applyFont="1" applyBorder="1"/>
    <xf numFmtId="3" fontId="1" fillId="0" borderId="0" xfId="0" applyNumberFormat="1" applyFont="1"/>
    <xf numFmtId="0" fontId="0" fillId="0" borderId="0" xfId="0" applyFill="1" applyBorder="1" applyAlignment="1">
      <alignment horizontal="center" vertical="center"/>
    </xf>
    <xf numFmtId="164" fontId="15" fillId="0" borderId="0" xfId="0" applyNumberFormat="1" applyFont="1"/>
    <xf numFmtId="164" fontId="16" fillId="0" borderId="0" xfId="0" applyNumberFormat="1" applyFont="1"/>
    <xf numFmtId="0" fontId="1" fillId="0" borderId="1" xfId="0" applyFont="1" applyBorder="1" applyAlignmen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5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dispRSqr val="1"/>
            <c:dispEq val="1"/>
            <c:trendlineLbl>
              <c:layout>
                <c:manualLayout>
                  <c:x val="-0.17995844269466299"/>
                  <c:y val="-6.3691673957421993E-2"/>
                </c:manualLayout>
              </c:layout>
              <c:numFmt formatCode="General" sourceLinked="0"/>
            </c:trendlineLbl>
          </c:trendline>
          <c:xVal>
            <c:numRef>
              <c:f>'technologies and projects'!$F$24:$J$24</c:f>
              <c:numCache>
                <c:formatCode>General</c:formatCode>
                <c:ptCount val="5"/>
                <c:pt idx="0">
                  <c:v>67</c:v>
                </c:pt>
                <c:pt idx="1">
                  <c:v>72.8</c:v>
                </c:pt>
                <c:pt idx="2">
                  <c:v>78.5</c:v>
                </c:pt>
                <c:pt idx="3">
                  <c:v>84.3</c:v>
                </c:pt>
                <c:pt idx="4">
                  <c:v>90</c:v>
                </c:pt>
              </c:numCache>
            </c:numRef>
          </c:xVal>
          <c:yVal>
            <c:numRef>
              <c:f>'technologies and projects'!$S$24:$W$24</c:f>
              <c:numCache>
                <c:formatCode>General</c:formatCode>
                <c:ptCount val="5"/>
                <c:pt idx="0">
                  <c:v>637.29999999999995</c:v>
                </c:pt>
                <c:pt idx="1">
                  <c:v>670.50499999999988</c:v>
                </c:pt>
                <c:pt idx="2">
                  <c:v>703.74739999999986</c:v>
                </c:pt>
                <c:pt idx="3">
                  <c:v>738.19359999999983</c:v>
                </c:pt>
                <c:pt idx="4">
                  <c:v>772.66149999999982</c:v>
                </c:pt>
              </c:numCache>
            </c:numRef>
          </c:yVal>
          <c:smooth val="0"/>
          <c:extLst>
            <c:ext xmlns:c16="http://schemas.microsoft.com/office/drawing/2014/chart" uri="{C3380CC4-5D6E-409C-BE32-E72D297353CC}">
              <c16:uniqueId val="{00000001-A47E-9541-AA0E-406D714AEEF2}"/>
            </c:ext>
          </c:extLst>
        </c:ser>
        <c:dLbls>
          <c:showLegendKey val="0"/>
          <c:showVal val="0"/>
          <c:showCatName val="0"/>
          <c:showSerName val="0"/>
          <c:showPercent val="0"/>
          <c:showBubbleSize val="0"/>
        </c:dLbls>
        <c:axId val="-2028438632"/>
        <c:axId val="-2069722360"/>
      </c:scatterChart>
      <c:valAx>
        <c:axId val="-2028438632"/>
        <c:scaling>
          <c:orientation val="minMax"/>
        </c:scaling>
        <c:delete val="0"/>
        <c:axPos val="b"/>
        <c:numFmt formatCode="General" sourceLinked="1"/>
        <c:majorTickMark val="out"/>
        <c:minorTickMark val="none"/>
        <c:tickLblPos val="nextTo"/>
        <c:crossAx val="-2069722360"/>
        <c:crosses val="autoZero"/>
        <c:crossBetween val="midCat"/>
      </c:valAx>
      <c:valAx>
        <c:axId val="-2069722360"/>
        <c:scaling>
          <c:orientation val="minMax"/>
        </c:scaling>
        <c:delete val="0"/>
        <c:axPos val="l"/>
        <c:majorGridlines/>
        <c:numFmt formatCode="General" sourceLinked="1"/>
        <c:majorTickMark val="out"/>
        <c:minorTickMark val="none"/>
        <c:tickLblPos val="nextTo"/>
        <c:crossAx val="-202843863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27</xdr:col>
      <xdr:colOff>342900</xdr:colOff>
      <xdr:row>0</xdr:row>
      <xdr:rowOff>152400</xdr:rowOff>
    </xdr:from>
    <xdr:to>
      <xdr:col>40</xdr:col>
      <xdr:colOff>203786</xdr:colOff>
      <xdr:row>29</xdr:row>
      <xdr:rowOff>79124</xdr:rowOff>
    </xdr:to>
    <xdr:pic>
      <xdr:nvPicPr>
        <xdr:cNvPr id="3" name="Picture 2" descr="Pages from Hawaii Solar Integration Study - Oahu_Page_1_Image_000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613100" y="152400"/>
          <a:ext cx="10986086" cy="6060824"/>
        </a:xfrm>
        <a:prstGeom prst="rect">
          <a:avLst/>
        </a:prstGeom>
      </xdr:spPr>
    </xdr:pic>
    <xdr:clientData/>
  </xdr:twoCellAnchor>
  <xdr:twoCellAnchor>
    <xdr:from>
      <xdr:col>41</xdr:col>
      <xdr:colOff>203200</xdr:colOff>
      <xdr:row>37</xdr:row>
      <xdr:rowOff>50800</xdr:rowOff>
    </xdr:from>
    <xdr:to>
      <xdr:col>45</xdr:col>
      <xdr:colOff>704850</xdr:colOff>
      <xdr:row>51</xdr:row>
      <xdr:rowOff>82550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F197"/>
  <sheetViews>
    <sheetView tabSelected="1" topLeftCell="A32" workbookViewId="0">
      <pane xSplit="3" topLeftCell="D1" activePane="topRight" state="frozenSplit"/>
      <selection activeCell="A28" sqref="A28"/>
      <selection pane="topRight" activeCell="C108" sqref="C108"/>
    </sheetView>
  </sheetViews>
  <sheetFormatPr baseColWidth="10" defaultRowHeight="16"/>
  <cols>
    <col min="1" max="1" width="11.33203125" customWidth="1"/>
    <col min="2" max="2" width="15.5" customWidth="1"/>
    <col min="3" max="3" width="14.33203125" customWidth="1"/>
    <col min="4" max="4" width="12.33203125" customWidth="1"/>
    <col min="5" max="6" width="15.5" customWidth="1"/>
    <col min="7" max="7" width="9.83203125" customWidth="1"/>
    <col min="8" max="8" width="12.1640625" customWidth="1"/>
    <col min="9" max="10" width="9.83203125" customWidth="1"/>
    <col min="11" max="23" width="15.5" customWidth="1"/>
    <col min="32" max="32" width="16" customWidth="1"/>
  </cols>
  <sheetData>
    <row r="1" spans="1:28">
      <c r="A1" t="s">
        <v>83</v>
      </c>
      <c r="C1" t="s">
        <v>142</v>
      </c>
      <c r="D1" t="s">
        <v>143</v>
      </c>
      <c r="E1" t="s">
        <v>144</v>
      </c>
      <c r="F1" t="s">
        <v>276</v>
      </c>
    </row>
    <row r="2" spans="1:28">
      <c r="A2">
        <v>2016</v>
      </c>
      <c r="C2">
        <f>104.941/56.418</f>
        <v>1.8600623914353576</v>
      </c>
      <c r="D2">
        <f>104.941/97.283</f>
        <v>1.0787187895110142</v>
      </c>
      <c r="E2">
        <f>104.941/91.708</f>
        <v>1.1442949361015398</v>
      </c>
      <c r="F2">
        <f>104.941/109.355</f>
        <v>0.95963604773444289</v>
      </c>
    </row>
    <row r="4" spans="1:28">
      <c r="B4" t="s">
        <v>53</v>
      </c>
      <c r="J4" t="s">
        <v>24</v>
      </c>
      <c r="K4" t="s">
        <v>25</v>
      </c>
      <c r="L4" t="s">
        <v>26</v>
      </c>
      <c r="M4" t="s">
        <v>27</v>
      </c>
    </row>
    <row r="5" spans="1:28">
      <c r="F5" s="58" t="s">
        <v>11</v>
      </c>
      <c r="G5" s="59"/>
      <c r="H5" s="59"/>
      <c r="I5" s="59"/>
      <c r="J5" s="60"/>
      <c r="K5" s="58" t="s">
        <v>12</v>
      </c>
      <c r="L5" s="59"/>
      <c r="M5" s="59"/>
      <c r="N5" s="60"/>
      <c r="O5" s="1"/>
      <c r="P5" s="58" t="s">
        <v>13</v>
      </c>
      <c r="Q5" s="60"/>
      <c r="R5" s="1" t="s">
        <v>14</v>
      </c>
      <c r="S5" s="58" t="s">
        <v>16</v>
      </c>
      <c r="T5" s="59"/>
      <c r="U5" s="59"/>
      <c r="V5" s="59"/>
      <c r="W5" s="60"/>
    </row>
    <row r="6" spans="1:28">
      <c r="F6" s="29" t="s">
        <v>72</v>
      </c>
      <c r="G6" s="30" t="s">
        <v>72</v>
      </c>
      <c r="H6" s="30" t="s">
        <v>72</v>
      </c>
      <c r="I6" s="30" t="s">
        <v>72</v>
      </c>
      <c r="J6" s="31" t="s">
        <v>72</v>
      </c>
      <c r="K6" s="29" t="s">
        <v>74</v>
      </c>
      <c r="L6" s="30" t="s">
        <v>74</v>
      </c>
      <c r="M6" s="30" t="s">
        <v>74</v>
      </c>
      <c r="N6" s="31" t="s">
        <v>74</v>
      </c>
      <c r="O6" s="1"/>
      <c r="P6" s="29"/>
      <c r="Q6" s="31"/>
      <c r="R6" s="1"/>
      <c r="S6" s="29" t="s">
        <v>73</v>
      </c>
      <c r="T6" s="30" t="s">
        <v>73</v>
      </c>
      <c r="U6" s="30" t="s">
        <v>73</v>
      </c>
      <c r="V6" s="30" t="s">
        <v>73</v>
      </c>
      <c r="W6" s="31" t="s">
        <v>73</v>
      </c>
    </row>
    <row r="7" spans="1:28" ht="34">
      <c r="B7" s="20" t="s">
        <v>77</v>
      </c>
      <c r="C7" s="1" t="s">
        <v>17</v>
      </c>
      <c r="D7" s="1" t="s">
        <v>15</v>
      </c>
      <c r="E7" s="3" t="s">
        <v>57</v>
      </c>
      <c r="F7" s="1" t="s">
        <v>19</v>
      </c>
      <c r="G7" s="2">
        <v>2</v>
      </c>
      <c r="H7" s="1">
        <v>3</v>
      </c>
      <c r="I7" s="1">
        <v>4</v>
      </c>
      <c r="J7" s="1" t="s">
        <v>20</v>
      </c>
      <c r="K7" s="2">
        <v>1</v>
      </c>
      <c r="L7" s="2">
        <v>2</v>
      </c>
      <c r="M7" s="2">
        <v>3</v>
      </c>
      <c r="N7" s="2">
        <v>4</v>
      </c>
      <c r="O7" s="3" t="s">
        <v>18</v>
      </c>
      <c r="P7" s="3" t="s">
        <v>21</v>
      </c>
      <c r="Q7" s="3" t="s">
        <v>22</v>
      </c>
      <c r="R7" s="2" t="s">
        <v>23</v>
      </c>
      <c r="S7" s="1" t="s">
        <v>19</v>
      </c>
      <c r="T7" s="2">
        <v>2</v>
      </c>
      <c r="U7" s="1">
        <v>3</v>
      </c>
      <c r="V7" s="1">
        <v>4</v>
      </c>
      <c r="W7" s="1" t="s">
        <v>20</v>
      </c>
      <c r="X7" t="s">
        <v>59</v>
      </c>
      <c r="Y7" t="s">
        <v>312</v>
      </c>
      <c r="Z7" s="54" t="s">
        <v>311</v>
      </c>
      <c r="AA7" s="54" t="s">
        <v>313</v>
      </c>
    </row>
    <row r="8" spans="1:28">
      <c r="B8" t="str">
        <f t="shared" ref="B8:B28" si="0">C38</f>
        <v>Honolulu_8</v>
      </c>
      <c r="C8" s="4" t="s">
        <v>28</v>
      </c>
      <c r="D8" s="4" t="s">
        <v>4</v>
      </c>
      <c r="E8" s="4">
        <v>268.39999999999998</v>
      </c>
      <c r="F8" s="4">
        <v>22.3</v>
      </c>
      <c r="G8" s="4">
        <v>30.1</v>
      </c>
      <c r="H8" s="4">
        <v>37.9</v>
      </c>
      <c r="I8" s="4">
        <v>45.6</v>
      </c>
      <c r="J8" s="4">
        <v>53.4</v>
      </c>
      <c r="K8" s="5">
        <v>10579</v>
      </c>
      <c r="L8" s="5">
        <v>10667</v>
      </c>
      <c r="M8" s="5">
        <v>10755</v>
      </c>
      <c r="N8" s="5">
        <v>10843</v>
      </c>
      <c r="O8" s="5">
        <v>11265</v>
      </c>
      <c r="P8" s="4">
        <v>0.32</v>
      </c>
      <c r="Q8" s="1"/>
      <c r="R8" s="6">
        <v>0.151</v>
      </c>
      <c r="S8">
        <f t="shared" ref="S8:S29" si="1">E8</f>
        <v>268.39999999999998</v>
      </c>
      <c r="T8">
        <f>S8+(G8-MAX($F8:F8))*K8/1000</f>
        <v>350.9162</v>
      </c>
      <c r="U8">
        <f>T8+(H8-MAX($F8:G8))*L8/1000</f>
        <v>434.11879999999996</v>
      </c>
      <c r="V8">
        <f>U8+(I8-MAX($F8:H8))*M8/1000</f>
        <v>516.93229999999994</v>
      </c>
      <c r="W8">
        <f>V8+(J8-MAX($F8:I8))*N8/1000</f>
        <v>601.50769999999989</v>
      </c>
      <c r="X8">
        <f t="shared" ref="X8:X29" si="2">W8/N38</f>
        <v>11.264189138576777</v>
      </c>
      <c r="Y8" s="19">
        <f t="shared" ref="Y8:Y29" si="3">X8-O8*0.001</f>
        <v>-8.1086142322384092E-4</v>
      </c>
      <c r="Z8" s="19"/>
      <c r="AA8" s="19"/>
      <c r="AB8" s="19"/>
    </row>
    <row r="9" spans="1:28">
      <c r="B9" t="str">
        <f t="shared" si="0"/>
        <v>Honolulu_9</v>
      </c>
      <c r="C9" s="4" t="s">
        <v>29</v>
      </c>
      <c r="D9" s="4" t="s">
        <v>4</v>
      </c>
      <c r="E9" s="4">
        <v>279.60000000000002</v>
      </c>
      <c r="F9" s="4">
        <v>22.3</v>
      </c>
      <c r="G9" s="4">
        <v>30.3</v>
      </c>
      <c r="H9" s="4">
        <v>38.4</v>
      </c>
      <c r="I9" s="4">
        <v>46.4</v>
      </c>
      <c r="J9" s="4">
        <v>54.4</v>
      </c>
      <c r="K9" s="5">
        <v>10080</v>
      </c>
      <c r="L9" s="5">
        <v>10433</v>
      </c>
      <c r="M9" s="5">
        <v>10785</v>
      </c>
      <c r="N9" s="5">
        <v>11138</v>
      </c>
      <c r="O9" s="5">
        <v>11400</v>
      </c>
      <c r="P9" s="4">
        <v>0.32</v>
      </c>
      <c r="Q9" s="1"/>
      <c r="R9" s="6">
        <v>0.151</v>
      </c>
      <c r="S9">
        <f t="shared" si="1"/>
        <v>279.60000000000002</v>
      </c>
      <c r="T9">
        <f>S9+(G9-MAX($F9:F9))*K9/1000</f>
        <v>360.24</v>
      </c>
      <c r="U9">
        <f>T9+(H9-MAX($F9:G9))*L9/1000</f>
        <v>444.7473</v>
      </c>
      <c r="V9">
        <f>U9+(I9-MAX($F9:H9))*M9/1000</f>
        <v>531.02729999999997</v>
      </c>
      <c r="W9">
        <f>V9+(J9-MAX($F9:I9))*N9/1000</f>
        <v>620.13130000000001</v>
      </c>
      <c r="X9">
        <f t="shared" si="2"/>
        <v>11.399472426470588</v>
      </c>
      <c r="Y9" s="19">
        <f t="shared" si="3"/>
        <v>-5.2757352941235069E-4</v>
      </c>
      <c r="Z9" s="19"/>
      <c r="AA9" s="19"/>
      <c r="AB9" s="19"/>
    </row>
    <row r="10" spans="1:28">
      <c r="B10" t="str">
        <f t="shared" si="0"/>
        <v>Waiau_3</v>
      </c>
      <c r="C10" s="4" t="s">
        <v>30</v>
      </c>
      <c r="D10" s="4" t="s">
        <v>4</v>
      </c>
      <c r="E10" s="4">
        <v>295.5</v>
      </c>
      <c r="F10" s="4">
        <v>22.3</v>
      </c>
      <c r="G10" s="4">
        <v>28.4</v>
      </c>
      <c r="H10" s="4">
        <v>34.5</v>
      </c>
      <c r="I10" s="4">
        <v>40.5</v>
      </c>
      <c r="J10" s="4">
        <v>46.6</v>
      </c>
      <c r="K10" s="5">
        <v>9115</v>
      </c>
      <c r="L10" s="5">
        <v>10150</v>
      </c>
      <c r="M10" s="5">
        <v>11185</v>
      </c>
      <c r="N10" s="5">
        <v>12220</v>
      </c>
      <c r="O10" s="5">
        <v>11904</v>
      </c>
      <c r="P10" s="4">
        <v>0.32</v>
      </c>
      <c r="Q10" s="1"/>
      <c r="R10" s="6">
        <v>0.15</v>
      </c>
      <c r="S10">
        <f t="shared" si="1"/>
        <v>295.5</v>
      </c>
      <c r="T10">
        <f>S10+(G10-MAX($F10:F10))*K10/1000</f>
        <v>351.10149999999999</v>
      </c>
      <c r="U10">
        <f>T10+(H10-MAX($F10:G10))*L10/1000</f>
        <v>413.01650000000001</v>
      </c>
      <c r="V10">
        <f>U10+(I10-MAX($F10:H10))*M10/1000</f>
        <v>480.12650000000002</v>
      </c>
      <c r="W10">
        <f>V10+(J10-MAX($F10:I10))*N10/1000</f>
        <v>554.66849999999999</v>
      </c>
      <c r="X10">
        <f t="shared" si="2"/>
        <v>11.902757510729613</v>
      </c>
      <c r="Y10" s="19">
        <f t="shared" si="3"/>
        <v>-1.2424892703872814E-3</v>
      </c>
      <c r="Z10" s="19">
        <f>AM40</f>
        <v>11.008515993184714</v>
      </c>
      <c r="AA10" s="19">
        <f>Z10-X10</f>
        <v>-0.89424151754489856</v>
      </c>
      <c r="AB10" s="19"/>
    </row>
    <row r="11" spans="1:28">
      <c r="B11" t="str">
        <f t="shared" si="0"/>
        <v>Waiau_4</v>
      </c>
      <c r="C11" s="4" t="s">
        <v>31</v>
      </c>
      <c r="D11" s="4" t="s">
        <v>4</v>
      </c>
      <c r="E11" s="4">
        <v>272.3</v>
      </c>
      <c r="F11" s="4">
        <v>22.3</v>
      </c>
      <c r="G11" s="4">
        <v>28.4</v>
      </c>
      <c r="H11" s="4">
        <v>34.5</v>
      </c>
      <c r="I11" s="4">
        <v>40.5</v>
      </c>
      <c r="J11" s="4">
        <v>46.6</v>
      </c>
      <c r="K11" s="5">
        <v>10904</v>
      </c>
      <c r="L11" s="5">
        <v>11292</v>
      </c>
      <c r="M11" s="5">
        <v>11680</v>
      </c>
      <c r="N11" s="5">
        <v>12068</v>
      </c>
      <c r="O11" s="5">
        <v>11832</v>
      </c>
      <c r="P11" s="4">
        <v>0.32</v>
      </c>
      <c r="Q11" s="1"/>
      <c r="R11" s="6">
        <v>0.12</v>
      </c>
      <c r="S11">
        <f t="shared" si="1"/>
        <v>272.3</v>
      </c>
      <c r="T11">
        <f>S11+(G11-MAX($F11:F11))*K11/1000</f>
        <v>338.81439999999998</v>
      </c>
      <c r="U11">
        <f>T11+(H11-MAX($F11:G11))*L11/1000</f>
        <v>407.69560000000001</v>
      </c>
      <c r="V11">
        <f>U11+(I11-MAX($F11:H11))*M11/1000</f>
        <v>477.7756</v>
      </c>
      <c r="W11">
        <f>V11+(J11-MAX($F11:I11))*N11/1000</f>
        <v>551.3904</v>
      </c>
      <c r="X11">
        <f t="shared" si="2"/>
        <v>11.832412017167382</v>
      </c>
      <c r="Y11" s="19">
        <f t="shared" si="3"/>
        <v>4.1201716738115124E-4</v>
      </c>
      <c r="Z11" s="19">
        <f t="shared" ref="Z11:Z32" si="4">AM41</f>
        <v>11.008515993184714</v>
      </c>
      <c r="AA11" s="19">
        <f t="shared" ref="AA11:AA32" si="5">Z11-X11</f>
        <v>-0.82389602398266781</v>
      </c>
      <c r="AB11" s="19"/>
    </row>
    <row r="12" spans="1:28">
      <c r="B12" t="str">
        <f t="shared" si="0"/>
        <v>Waiau_5</v>
      </c>
      <c r="C12" s="4" t="s">
        <v>32</v>
      </c>
      <c r="D12" s="4" t="s">
        <v>4</v>
      </c>
      <c r="E12" s="4">
        <v>273.7</v>
      </c>
      <c r="F12" s="4">
        <v>22.5</v>
      </c>
      <c r="G12" s="4">
        <v>30.5</v>
      </c>
      <c r="H12" s="4">
        <v>38.5</v>
      </c>
      <c r="I12" s="4">
        <v>46.5</v>
      </c>
      <c r="J12" s="4">
        <v>54.5</v>
      </c>
      <c r="K12" s="5">
        <v>10364</v>
      </c>
      <c r="L12" s="5">
        <v>10840</v>
      </c>
      <c r="M12" s="5">
        <v>11316</v>
      </c>
      <c r="N12" s="5">
        <v>11791</v>
      </c>
      <c r="O12" s="5">
        <v>11526</v>
      </c>
      <c r="P12" s="4">
        <v>0.32</v>
      </c>
      <c r="Q12" s="1"/>
      <c r="R12" s="6">
        <v>4.7E-2</v>
      </c>
      <c r="S12">
        <f t="shared" si="1"/>
        <v>273.7</v>
      </c>
      <c r="T12">
        <f>S12+(G12-MAX($F12:F12))*K12/1000</f>
        <v>356.61199999999997</v>
      </c>
      <c r="U12">
        <f>T12+(H12-MAX($F12:G12))*L12/1000</f>
        <v>443.33199999999999</v>
      </c>
      <c r="V12">
        <f>U12+(I12-MAX($F12:H12))*M12/1000</f>
        <v>533.86</v>
      </c>
      <c r="W12">
        <f>V12+(J12-MAX($F12:I12))*N12/1000</f>
        <v>628.18799999999999</v>
      </c>
      <c r="X12">
        <f t="shared" si="2"/>
        <v>11.526385321100918</v>
      </c>
      <c r="Y12" s="19">
        <f t="shared" si="3"/>
        <v>3.853211009179347E-4</v>
      </c>
      <c r="Z12" s="19">
        <f t="shared" si="4"/>
        <v>11.008515993184714</v>
      </c>
      <c r="AA12" s="19">
        <f t="shared" si="5"/>
        <v>-0.51786932791620366</v>
      </c>
      <c r="AB12" s="19"/>
    </row>
    <row r="13" spans="1:28">
      <c r="B13" t="str">
        <f t="shared" si="0"/>
        <v>Waiau_6</v>
      </c>
      <c r="C13" s="4" t="s">
        <v>33</v>
      </c>
      <c r="D13" s="4" t="s">
        <v>4</v>
      </c>
      <c r="E13" s="4">
        <v>276.2</v>
      </c>
      <c r="F13" s="4">
        <v>22.5</v>
      </c>
      <c r="G13" s="4">
        <v>30.3</v>
      </c>
      <c r="H13" s="4">
        <v>38</v>
      </c>
      <c r="I13" s="4">
        <v>45.8</v>
      </c>
      <c r="J13" s="4">
        <v>53.5</v>
      </c>
      <c r="K13" s="5">
        <v>10399</v>
      </c>
      <c r="L13" s="5">
        <v>10893</v>
      </c>
      <c r="M13" s="5">
        <v>11388</v>
      </c>
      <c r="N13" s="5">
        <v>11882</v>
      </c>
      <c r="O13" s="5">
        <v>11618</v>
      </c>
      <c r="P13" s="4">
        <v>0.32</v>
      </c>
      <c r="Q13" s="1"/>
      <c r="R13" s="6">
        <v>4.7E-2</v>
      </c>
      <c r="S13">
        <f t="shared" si="1"/>
        <v>276.2</v>
      </c>
      <c r="T13">
        <f>S13+(G13-MAX($F13:F13))*K13/1000</f>
        <v>357.31220000000002</v>
      </c>
      <c r="U13">
        <f>T13+(H13-MAX($F13:G13))*L13/1000</f>
        <v>441.18830000000003</v>
      </c>
      <c r="V13">
        <f>U13+(I13-MAX($F13:H13))*M13/1000</f>
        <v>530.01469999999995</v>
      </c>
      <c r="W13">
        <f>V13+(J13-MAX($F13:I13))*N13/1000</f>
        <v>621.50609999999995</v>
      </c>
      <c r="X13">
        <f t="shared" si="2"/>
        <v>11.61693644859813</v>
      </c>
      <c r="Y13" s="19">
        <f t="shared" si="3"/>
        <v>-1.0635514018701997E-3</v>
      </c>
      <c r="Z13" s="19">
        <f t="shared" si="4"/>
        <v>11.008515993184714</v>
      </c>
      <c r="AA13" s="19">
        <f t="shared" si="5"/>
        <v>-0.60842045541341605</v>
      </c>
      <c r="AB13" s="19"/>
    </row>
    <row r="14" spans="1:28">
      <c r="B14" t="str">
        <f t="shared" si="0"/>
        <v>Waiau_7</v>
      </c>
      <c r="C14" s="4" t="s">
        <v>34</v>
      </c>
      <c r="D14" s="4" t="s">
        <v>4</v>
      </c>
      <c r="E14" s="4">
        <v>316</v>
      </c>
      <c r="F14" s="4">
        <v>27</v>
      </c>
      <c r="G14" s="4">
        <v>41</v>
      </c>
      <c r="H14" s="4">
        <v>55</v>
      </c>
      <c r="I14" s="4">
        <v>68.900000000000006</v>
      </c>
      <c r="J14" s="4">
        <v>82.9</v>
      </c>
      <c r="K14" s="5">
        <v>9247</v>
      </c>
      <c r="L14" s="5">
        <v>9794</v>
      </c>
      <c r="M14" s="5">
        <v>10340</v>
      </c>
      <c r="N14" s="5">
        <v>10887</v>
      </c>
      <c r="O14" s="5">
        <v>10600</v>
      </c>
      <c r="P14" s="4">
        <v>0.32</v>
      </c>
      <c r="Q14" s="1"/>
      <c r="R14" s="6">
        <v>5.1999999999999998E-2</v>
      </c>
      <c r="S14">
        <f t="shared" si="1"/>
        <v>316</v>
      </c>
      <c r="T14">
        <f>S14+(G14-MAX($F14:F14))*K14/1000</f>
        <v>445.45799999999997</v>
      </c>
      <c r="U14">
        <f>T14+(H14-MAX($F14:G14))*L14/1000</f>
        <v>582.57399999999996</v>
      </c>
      <c r="V14">
        <f>U14+(I14-MAX($F14:H14))*M14/1000</f>
        <v>726.3</v>
      </c>
      <c r="W14">
        <f>V14+(J14-MAX($F14:I14))*N14/1000</f>
        <v>878.71799999999996</v>
      </c>
      <c r="X14">
        <f t="shared" si="2"/>
        <v>10.599734620024124</v>
      </c>
      <c r="Y14" s="19">
        <f t="shared" si="3"/>
        <v>-2.6537997587539053E-4</v>
      </c>
      <c r="Z14" s="19">
        <f t="shared" si="4"/>
        <v>11.008515993184714</v>
      </c>
      <c r="AA14" s="19">
        <f t="shared" si="5"/>
        <v>0.40878137316058982</v>
      </c>
      <c r="AB14" s="19"/>
    </row>
    <row r="15" spans="1:28">
      <c r="B15" t="str">
        <f t="shared" si="0"/>
        <v>Waiau_8</v>
      </c>
      <c r="C15" s="4" t="s">
        <v>35</v>
      </c>
      <c r="D15" s="4" t="s">
        <v>4</v>
      </c>
      <c r="E15" s="4">
        <v>314.10000000000002</v>
      </c>
      <c r="F15" s="4">
        <v>27</v>
      </c>
      <c r="G15" s="4">
        <v>41.8</v>
      </c>
      <c r="H15" s="4">
        <v>56.6</v>
      </c>
      <c r="I15" s="4">
        <v>71.3</v>
      </c>
      <c r="J15" s="4">
        <v>86.1</v>
      </c>
      <c r="K15" s="5">
        <v>8971</v>
      </c>
      <c r="L15" s="5">
        <v>9358</v>
      </c>
      <c r="M15" s="5">
        <v>9746</v>
      </c>
      <c r="N15" s="5">
        <v>10133</v>
      </c>
      <c r="O15" s="5">
        <v>10204</v>
      </c>
      <c r="P15" s="4">
        <v>0.32</v>
      </c>
      <c r="Q15" s="1"/>
      <c r="R15" s="6">
        <v>5.1999999999999998E-2</v>
      </c>
      <c r="S15">
        <f t="shared" si="1"/>
        <v>314.10000000000002</v>
      </c>
      <c r="T15">
        <f>S15+(G15-MAX($F15:F15))*K15/1000</f>
        <v>446.87080000000003</v>
      </c>
      <c r="U15">
        <f>T15+(H15-MAX($F15:G15))*L15/1000</f>
        <v>585.36920000000009</v>
      </c>
      <c r="V15">
        <f>U15+(I15-MAX($F15:H15))*M15/1000</f>
        <v>728.6354</v>
      </c>
      <c r="W15">
        <f>V15+(J15-MAX($F15:I15))*N15/1000</f>
        <v>878.60379999999998</v>
      </c>
      <c r="X15">
        <f t="shared" si="2"/>
        <v>10.204457607433218</v>
      </c>
      <c r="Y15" s="19">
        <f t="shared" si="3"/>
        <v>4.5760743321743291E-4</v>
      </c>
      <c r="Z15" s="19">
        <f t="shared" si="4"/>
        <v>11.008515993184714</v>
      </c>
      <c r="AA15" s="19">
        <f t="shared" si="5"/>
        <v>0.80405838575149602</v>
      </c>
      <c r="AB15" s="19"/>
    </row>
    <row r="16" spans="1:28">
      <c r="B16" t="str">
        <f t="shared" si="0"/>
        <v>Waiau_9</v>
      </c>
      <c r="C16" s="4" t="s">
        <v>36</v>
      </c>
      <c r="D16" s="4" t="s">
        <v>37</v>
      </c>
      <c r="E16" s="4">
        <v>245.3</v>
      </c>
      <c r="F16" s="16">
        <v>5.9</v>
      </c>
      <c r="G16" s="16">
        <v>17.7</v>
      </c>
      <c r="H16" s="16">
        <v>29.4</v>
      </c>
      <c r="I16" s="16">
        <v>41.2</v>
      </c>
      <c r="J16" s="16">
        <v>52.9</v>
      </c>
      <c r="K16" s="17">
        <v>8514</v>
      </c>
      <c r="L16" s="17">
        <v>9199</v>
      </c>
      <c r="M16" s="17">
        <v>9883</v>
      </c>
      <c r="N16" s="17">
        <v>10568</v>
      </c>
      <c r="O16" s="17">
        <v>13115</v>
      </c>
      <c r="P16" s="1">
        <f>99.19/AVERAGE(F16,J16)</f>
        <v>3.3738095238095238</v>
      </c>
      <c r="Q16" s="4">
        <v>99.19</v>
      </c>
      <c r="R16" s="6">
        <v>0.109</v>
      </c>
      <c r="S16">
        <f t="shared" si="1"/>
        <v>245.3</v>
      </c>
      <c r="T16">
        <f>S16+(G16-MAX($F16:F16))*K16/1000</f>
        <v>345.76519999999999</v>
      </c>
      <c r="U16">
        <f>T16+(H16-MAX($F16:G16))*L16/1000</f>
        <v>453.39349999999996</v>
      </c>
      <c r="V16">
        <f>U16+(I16-MAX($F16:H16))*M16/1000</f>
        <v>570.01289999999995</v>
      </c>
      <c r="W16">
        <f>V16+(J16-MAX($F16:I16))*N16/1000</f>
        <v>693.65849999999989</v>
      </c>
      <c r="X16">
        <f t="shared" si="2"/>
        <v>13.112637051039696</v>
      </c>
      <c r="Y16" s="19">
        <f t="shared" si="3"/>
        <v>-2.3629489603038678E-3</v>
      </c>
      <c r="Z16" s="55">
        <f t="shared" si="4"/>
        <v>25.395791197149187</v>
      </c>
      <c r="AA16" s="19">
        <f t="shared" si="5"/>
        <v>12.28315414610949</v>
      </c>
      <c r="AB16" s="19"/>
    </row>
    <row r="17" spans="2:28">
      <c r="B17" t="str">
        <f t="shared" si="0"/>
        <v>Waiau_10</v>
      </c>
      <c r="C17" s="4" t="s">
        <v>38</v>
      </c>
      <c r="D17" s="4" t="s">
        <v>37</v>
      </c>
      <c r="E17" s="4">
        <v>234.7</v>
      </c>
      <c r="F17" s="16">
        <v>5.9</v>
      </c>
      <c r="G17" s="16">
        <v>16.899999999999999</v>
      </c>
      <c r="H17" s="16">
        <v>27.9</v>
      </c>
      <c r="I17" s="16">
        <v>38.9</v>
      </c>
      <c r="J17" s="16">
        <v>49.9</v>
      </c>
      <c r="K17" s="17">
        <v>7904</v>
      </c>
      <c r="L17" s="17">
        <v>8529</v>
      </c>
      <c r="M17" s="17">
        <v>9155</v>
      </c>
      <c r="N17" s="17">
        <v>9780</v>
      </c>
      <c r="O17" s="17">
        <v>12499</v>
      </c>
      <c r="P17" s="1">
        <f>99.19/AVERAGE(F17,J17)</f>
        <v>3.5551971326164877</v>
      </c>
      <c r="Q17" s="4">
        <v>99.19</v>
      </c>
      <c r="R17" s="6">
        <v>0.109</v>
      </c>
      <c r="S17">
        <f t="shared" si="1"/>
        <v>234.7</v>
      </c>
      <c r="T17">
        <f>S17+(G17-MAX($F17:F17))*K17/1000</f>
        <v>321.64400000000001</v>
      </c>
      <c r="U17">
        <f>T17+(H17-MAX($F17:G17))*L17/1000</f>
        <v>415.46300000000002</v>
      </c>
      <c r="V17">
        <f>U17+(I17-MAX($F17:H17))*M17/1000</f>
        <v>516.16800000000001</v>
      </c>
      <c r="W17">
        <f>V17+(J17-MAX($F17:I17))*N17/1000</f>
        <v>623.74800000000005</v>
      </c>
      <c r="X17">
        <f t="shared" si="2"/>
        <v>12.49995991983968</v>
      </c>
      <c r="Y17" s="19">
        <f t="shared" si="3"/>
        <v>9.5991983967991246E-4</v>
      </c>
      <c r="Z17" s="55">
        <f t="shared" si="4"/>
        <v>25.395791197149187</v>
      </c>
      <c r="AA17" s="19">
        <f t="shared" si="5"/>
        <v>12.895831277309506</v>
      </c>
      <c r="AB17" s="19"/>
    </row>
    <row r="18" spans="2:28">
      <c r="B18" t="str">
        <f t="shared" si="0"/>
        <v>Kahe_1</v>
      </c>
      <c r="C18" s="4" t="s">
        <v>39</v>
      </c>
      <c r="D18" s="4" t="s">
        <v>4</v>
      </c>
      <c r="E18" s="4">
        <v>387.9</v>
      </c>
      <c r="F18" s="4">
        <v>36.5</v>
      </c>
      <c r="G18" s="4">
        <v>47.9</v>
      </c>
      <c r="H18" s="4">
        <v>59.3</v>
      </c>
      <c r="I18" s="4">
        <v>70.7</v>
      </c>
      <c r="J18" s="4">
        <v>82.1</v>
      </c>
      <c r="K18" s="5">
        <v>9237</v>
      </c>
      <c r="L18" s="5">
        <v>9531</v>
      </c>
      <c r="M18" s="5">
        <v>9825</v>
      </c>
      <c r="N18" s="5">
        <v>10118</v>
      </c>
      <c r="O18" s="5">
        <v>10101</v>
      </c>
      <c r="P18" s="4">
        <v>0.32</v>
      </c>
      <c r="Q18" s="1"/>
      <c r="R18" s="6">
        <v>3.5999999999999997E-2</v>
      </c>
      <c r="S18">
        <f t="shared" si="1"/>
        <v>387.9</v>
      </c>
      <c r="T18">
        <f>S18+(G18-MAX($F18:F18))*K18/1000</f>
        <v>493.20179999999993</v>
      </c>
      <c r="U18">
        <f>T18+(H18-MAX($F18:G18))*L18/1000</f>
        <v>601.85519999999997</v>
      </c>
      <c r="V18">
        <f>U18+(I18-MAX($F18:H18))*M18/1000</f>
        <v>713.86020000000008</v>
      </c>
      <c r="W18">
        <f>V18+(J18-MAX($F18:I18))*N18/1000</f>
        <v>829.20539999999994</v>
      </c>
      <c r="X18">
        <f t="shared" si="2"/>
        <v>10.099943970767358</v>
      </c>
      <c r="Y18" s="19">
        <f t="shared" si="3"/>
        <v>-1.0560292326431409E-3</v>
      </c>
      <c r="Z18" s="19">
        <f t="shared" si="4"/>
        <v>10.667776293098338</v>
      </c>
      <c r="AA18" s="19">
        <f t="shared" si="5"/>
        <v>0.56783232233098069</v>
      </c>
      <c r="AB18" s="19"/>
    </row>
    <row r="19" spans="2:28">
      <c r="B19" t="str">
        <f t="shared" si="0"/>
        <v>Kahe_2</v>
      </c>
      <c r="C19" s="4" t="s">
        <v>40</v>
      </c>
      <c r="D19" s="4" t="s">
        <v>4</v>
      </c>
      <c r="E19" s="4">
        <v>383.4</v>
      </c>
      <c r="F19" s="4">
        <v>36.700000000000003</v>
      </c>
      <c r="G19" s="4">
        <v>48.1</v>
      </c>
      <c r="H19" s="4">
        <v>59.4</v>
      </c>
      <c r="I19" s="4">
        <v>70.8</v>
      </c>
      <c r="J19" s="4">
        <v>82.1</v>
      </c>
      <c r="K19" s="5">
        <v>9365</v>
      </c>
      <c r="L19" s="5">
        <v>9444</v>
      </c>
      <c r="M19" s="5">
        <v>9524</v>
      </c>
      <c r="N19" s="5">
        <v>9603</v>
      </c>
      <c r="O19" s="5">
        <v>9915</v>
      </c>
      <c r="P19" s="4">
        <v>0.32</v>
      </c>
      <c r="Q19" s="1"/>
      <c r="R19" s="6">
        <v>3.5999999999999997E-2</v>
      </c>
      <c r="S19">
        <f t="shared" si="1"/>
        <v>383.4</v>
      </c>
      <c r="T19">
        <f>S19+(G19-MAX($F19:F19))*K19/1000</f>
        <v>490.16099999999994</v>
      </c>
      <c r="U19">
        <f>T19+(H19-MAX($F19:G19))*L19/1000</f>
        <v>596.87819999999988</v>
      </c>
      <c r="V19">
        <f>U19+(I19-MAX($F19:H19))*M19/1000</f>
        <v>705.45179999999982</v>
      </c>
      <c r="W19">
        <f>V19+(J19-MAX($F19:I19))*N19/1000</f>
        <v>813.96569999999974</v>
      </c>
      <c r="X19">
        <f t="shared" si="2"/>
        <v>9.9143203410475014</v>
      </c>
      <c r="Y19" s="19">
        <f t="shared" si="3"/>
        <v>-6.7965895249955111E-4</v>
      </c>
      <c r="Z19" s="19">
        <f t="shared" si="4"/>
        <v>10.667776293098338</v>
      </c>
      <c r="AA19" s="19">
        <f t="shared" si="5"/>
        <v>0.75345595205083704</v>
      </c>
      <c r="AB19" s="19"/>
    </row>
    <row r="20" spans="2:28">
      <c r="B20" t="str">
        <f t="shared" si="0"/>
        <v>Kahe_3</v>
      </c>
      <c r="C20" s="4" t="s">
        <v>41</v>
      </c>
      <c r="D20" s="4" t="s">
        <v>4</v>
      </c>
      <c r="E20" s="4">
        <v>373.9</v>
      </c>
      <c r="F20" s="4">
        <v>36.299999999999997</v>
      </c>
      <c r="G20" s="4">
        <v>48.8</v>
      </c>
      <c r="H20" s="4">
        <v>61.2</v>
      </c>
      <c r="I20" s="4">
        <v>73.7</v>
      </c>
      <c r="J20" s="4">
        <v>86.1</v>
      </c>
      <c r="K20" s="5">
        <v>9030</v>
      </c>
      <c r="L20" s="5">
        <v>9188</v>
      </c>
      <c r="M20" s="5">
        <v>9345</v>
      </c>
      <c r="N20" s="5">
        <v>9502</v>
      </c>
      <c r="O20" s="5">
        <v>9703</v>
      </c>
      <c r="P20" s="4">
        <v>0.32</v>
      </c>
      <c r="Q20" s="1"/>
      <c r="R20" s="6">
        <v>5.1999999999999998E-2</v>
      </c>
      <c r="S20">
        <f t="shared" si="1"/>
        <v>373.9</v>
      </c>
      <c r="T20">
        <f>S20+(G20-MAX($F20:F20))*K20/1000</f>
        <v>486.77499999999998</v>
      </c>
      <c r="U20">
        <f>T20+(H20-MAX($F20:G20))*L20/1000</f>
        <v>600.70620000000008</v>
      </c>
      <c r="V20">
        <f>U20+(I20-MAX($F20:H20))*M20/1000</f>
        <v>717.51870000000008</v>
      </c>
      <c r="W20">
        <f>V20+(J20-MAX($F20:I20))*N20/1000</f>
        <v>835.34349999999995</v>
      </c>
      <c r="X20">
        <f t="shared" si="2"/>
        <v>9.7020150987224163</v>
      </c>
      <c r="Y20" s="19">
        <f t="shared" si="3"/>
        <v>-9.8490127758310564E-4</v>
      </c>
      <c r="Z20" s="19">
        <f t="shared" si="4"/>
        <v>10.667776293098338</v>
      </c>
      <c r="AA20" s="19">
        <f t="shared" si="5"/>
        <v>0.96576119437592212</v>
      </c>
      <c r="AB20" s="19"/>
    </row>
    <row r="21" spans="2:28">
      <c r="B21" t="str">
        <f t="shared" si="0"/>
        <v>Kahe_4</v>
      </c>
      <c r="C21" s="4" t="s">
        <v>42</v>
      </c>
      <c r="D21" s="4" t="s">
        <v>4</v>
      </c>
      <c r="E21" s="4">
        <v>390.5</v>
      </c>
      <c r="F21" s="4">
        <v>36.299999999999997</v>
      </c>
      <c r="G21" s="4">
        <v>48.6</v>
      </c>
      <c r="H21" s="4">
        <v>60.8</v>
      </c>
      <c r="I21" s="4">
        <v>73.099999999999994</v>
      </c>
      <c r="J21" s="4">
        <v>85.3</v>
      </c>
      <c r="K21" s="5">
        <v>9041</v>
      </c>
      <c r="L21" s="5">
        <v>9221</v>
      </c>
      <c r="M21" s="5">
        <v>9402</v>
      </c>
      <c r="N21" s="5">
        <v>9582</v>
      </c>
      <c r="O21" s="5">
        <v>9927</v>
      </c>
      <c r="P21" s="4">
        <v>0.32</v>
      </c>
      <c r="Q21" s="1"/>
      <c r="R21" s="6">
        <v>5.1999999999999998E-2</v>
      </c>
      <c r="S21">
        <f t="shared" si="1"/>
        <v>390.5</v>
      </c>
      <c r="T21">
        <f>S21+(G21-MAX($F21:F21))*K21/1000</f>
        <v>501.70430000000005</v>
      </c>
      <c r="U21">
        <f>T21+(H21-MAX($F21:G21))*L21/1000</f>
        <v>614.20050000000003</v>
      </c>
      <c r="V21">
        <f>U21+(I21-MAX($F21:H21))*M21/1000</f>
        <v>729.8451</v>
      </c>
      <c r="W21">
        <f>V21+(J21-MAX($F21:I21))*N21/1000</f>
        <v>846.74549999999999</v>
      </c>
      <c r="X21">
        <f t="shared" si="2"/>
        <v>9.9266764361078543</v>
      </c>
      <c r="Y21" s="19">
        <f t="shared" si="3"/>
        <v>-3.2356389214527326E-4</v>
      </c>
      <c r="Z21" s="19">
        <f t="shared" si="4"/>
        <v>10.667776293098338</v>
      </c>
      <c r="AA21" s="19">
        <f t="shared" si="5"/>
        <v>0.74109985699048408</v>
      </c>
      <c r="AB21" s="19"/>
    </row>
    <row r="22" spans="2:28">
      <c r="B22" t="str">
        <f t="shared" si="0"/>
        <v>Kahe_5</v>
      </c>
      <c r="C22" s="4" t="s">
        <v>43</v>
      </c>
      <c r="D22" s="4" t="s">
        <v>4</v>
      </c>
      <c r="E22" s="4">
        <v>569.70000000000005</v>
      </c>
      <c r="F22" s="4">
        <v>54.7</v>
      </c>
      <c r="G22" s="4">
        <v>74.599999999999994</v>
      </c>
      <c r="H22" s="4">
        <v>94.5</v>
      </c>
      <c r="I22" s="4">
        <v>114.4</v>
      </c>
      <c r="J22" s="4">
        <v>134.30000000000001</v>
      </c>
      <c r="K22" s="5">
        <v>9012</v>
      </c>
      <c r="L22" s="5">
        <v>9133</v>
      </c>
      <c r="M22" s="5">
        <v>9254</v>
      </c>
      <c r="N22" s="5">
        <v>9375</v>
      </c>
      <c r="O22" s="5">
        <v>9691</v>
      </c>
      <c r="P22" s="4">
        <v>0.32</v>
      </c>
      <c r="Q22" s="1"/>
      <c r="R22" s="6">
        <v>3.2000000000000001E-2</v>
      </c>
      <c r="S22">
        <f t="shared" si="1"/>
        <v>569.70000000000005</v>
      </c>
      <c r="T22">
        <f>S22+(G22-MAX($F22:F22))*K22/1000</f>
        <v>749.03880000000004</v>
      </c>
      <c r="U22">
        <f>T22+(H22-MAX($F22:G22))*L22/1000</f>
        <v>930.78550000000007</v>
      </c>
      <c r="V22">
        <f>U22+(I22-MAX($F22:H22))*M22/1000</f>
        <v>1114.9401000000003</v>
      </c>
      <c r="W22">
        <f>V22+(J22-MAX($F22:I22))*N22/1000</f>
        <v>1301.5026000000003</v>
      </c>
      <c r="X22">
        <f t="shared" si="2"/>
        <v>9.6910096798212972</v>
      </c>
      <c r="Y22" s="19">
        <f t="shared" si="3"/>
        <v>9.6798212965154562E-6</v>
      </c>
      <c r="Z22" s="19">
        <f t="shared" si="4"/>
        <v>10.667776293098338</v>
      </c>
      <c r="AA22" s="19">
        <f t="shared" si="5"/>
        <v>0.97676661327704117</v>
      </c>
      <c r="AB22" s="19"/>
    </row>
    <row r="23" spans="2:28">
      <c r="B23" t="str">
        <f t="shared" si="0"/>
        <v>Kahe_6</v>
      </c>
      <c r="C23" s="4" t="s">
        <v>44</v>
      </c>
      <c r="D23" s="4" t="s">
        <v>4</v>
      </c>
      <c r="E23" s="4">
        <v>579.70000000000005</v>
      </c>
      <c r="F23" s="4">
        <v>54</v>
      </c>
      <c r="G23" s="4">
        <v>74.099999999999994</v>
      </c>
      <c r="H23" s="4">
        <v>94.2</v>
      </c>
      <c r="I23" s="4">
        <v>114.3</v>
      </c>
      <c r="J23" s="4">
        <v>134.4</v>
      </c>
      <c r="K23" s="5">
        <v>9142</v>
      </c>
      <c r="L23" s="5">
        <v>9450</v>
      </c>
      <c r="M23" s="5">
        <v>9759</v>
      </c>
      <c r="N23" s="5">
        <v>10067</v>
      </c>
      <c r="O23" s="5">
        <v>10059</v>
      </c>
      <c r="P23" s="4">
        <v>0.32</v>
      </c>
      <c r="Q23" s="1"/>
      <c r="R23" s="6">
        <v>2.1000000000000001E-2</v>
      </c>
      <c r="S23">
        <f t="shared" si="1"/>
        <v>579.70000000000005</v>
      </c>
      <c r="T23">
        <f>S23+(G23-MAX($F23:F23))*K23/1000</f>
        <v>763.45420000000001</v>
      </c>
      <c r="U23">
        <f>T23+(H23-MAX($F23:G23))*L23/1000</f>
        <v>953.39920000000006</v>
      </c>
      <c r="V23">
        <f>U23+(I23-MAX($F23:H23))*M23/1000</f>
        <v>1149.5551</v>
      </c>
      <c r="W23">
        <f>V23+(J23-MAX($F23:I23))*N23/1000</f>
        <v>1351.9018000000001</v>
      </c>
      <c r="X23">
        <f t="shared" si="2"/>
        <v>10.058793154761904</v>
      </c>
      <c r="Y23" s="19">
        <f t="shared" si="3"/>
        <v>-2.0684523809677557E-4</v>
      </c>
      <c r="Z23" s="19">
        <f t="shared" si="4"/>
        <v>10.667776293098338</v>
      </c>
      <c r="AA23" s="19">
        <f t="shared" si="5"/>
        <v>0.60898313833643414</v>
      </c>
      <c r="AB23" s="19"/>
    </row>
    <row r="24" spans="2:28">
      <c r="B24" t="str">
        <f t="shared" si="0"/>
        <v>Kalaeloa_CC1</v>
      </c>
      <c r="C24" s="4" t="s">
        <v>45</v>
      </c>
      <c r="D24" s="4" t="s">
        <v>4</v>
      </c>
      <c r="E24" s="4">
        <v>637.29999999999995</v>
      </c>
      <c r="F24" s="4">
        <v>67</v>
      </c>
      <c r="G24" s="4">
        <v>72.8</v>
      </c>
      <c r="H24" s="4">
        <v>78.5</v>
      </c>
      <c r="I24" s="4">
        <v>84.3</v>
      </c>
      <c r="J24" s="4">
        <v>90</v>
      </c>
      <c r="K24" s="5">
        <v>5725</v>
      </c>
      <c r="L24" s="5">
        <v>5832</v>
      </c>
      <c r="M24" s="5">
        <v>5939</v>
      </c>
      <c r="N24" s="5">
        <v>6047</v>
      </c>
      <c r="O24" s="5">
        <v>8585</v>
      </c>
      <c r="P24" s="4">
        <v>6</v>
      </c>
      <c r="Q24" s="1"/>
      <c r="R24" s="6">
        <v>1.4999999999999999E-2</v>
      </c>
      <c r="S24">
        <f t="shared" si="1"/>
        <v>637.29999999999995</v>
      </c>
      <c r="T24">
        <f>S24+(G24-MAX($F24:F24))*K24/1000</f>
        <v>670.50499999999988</v>
      </c>
      <c r="U24">
        <f>T24+(H24-MAX($F24:G24))*L24/1000</f>
        <v>703.74739999999986</v>
      </c>
      <c r="V24">
        <f>U24+(I24-MAX($F24:H24))*M24/1000</f>
        <v>738.19359999999983</v>
      </c>
      <c r="W24">
        <f>V24+(J24-MAX($F24:I24))*N24/1000</f>
        <v>772.66149999999982</v>
      </c>
      <c r="X24">
        <f t="shared" si="2"/>
        <v>8.5851277777777764</v>
      </c>
      <c r="Y24" s="19">
        <f t="shared" si="3"/>
        <v>1.2777777777550625E-4</v>
      </c>
      <c r="Z24" s="19">
        <f t="shared" si="4"/>
        <v>5.8761820347339553</v>
      </c>
      <c r="AA24" s="19">
        <f t="shared" si="5"/>
        <v>-2.7089457430438211</v>
      </c>
      <c r="AB24" s="19"/>
    </row>
    <row r="25" spans="2:28">
      <c r="B25" t="str">
        <f t="shared" si="0"/>
        <v>Kalaeloa_CC2</v>
      </c>
      <c r="C25" s="4" t="s">
        <v>46</v>
      </c>
      <c r="D25" s="4" t="s">
        <v>4</v>
      </c>
      <c r="E25" s="4">
        <v>637.29999999999995</v>
      </c>
      <c r="F25" s="4">
        <v>67</v>
      </c>
      <c r="G25" s="4">
        <v>72.8</v>
      </c>
      <c r="H25" s="4">
        <v>78.5</v>
      </c>
      <c r="I25" s="4">
        <v>84.3</v>
      </c>
      <c r="J25" s="4">
        <v>90</v>
      </c>
      <c r="K25" s="5">
        <v>5725</v>
      </c>
      <c r="L25" s="5">
        <v>5832</v>
      </c>
      <c r="M25" s="5">
        <v>5939</v>
      </c>
      <c r="N25" s="5">
        <v>6047</v>
      </c>
      <c r="O25" s="5">
        <v>8585</v>
      </c>
      <c r="P25" s="4">
        <v>6</v>
      </c>
      <c r="Q25" s="1"/>
      <c r="R25" s="6">
        <v>1.4999999999999999E-2</v>
      </c>
      <c r="S25">
        <f t="shared" si="1"/>
        <v>637.29999999999995</v>
      </c>
      <c r="T25">
        <f>S25+(G25-MAX($F25:F25))*K25/1000</f>
        <v>670.50499999999988</v>
      </c>
      <c r="U25">
        <f>T25+(H25-MAX($F25:G25))*L25/1000</f>
        <v>703.74739999999986</v>
      </c>
      <c r="V25">
        <f>U25+(I25-MAX($F25:H25))*M25/1000</f>
        <v>738.19359999999983</v>
      </c>
      <c r="W25">
        <f>V25+(J25-MAX($F25:I25))*N25/1000</f>
        <v>772.66149999999982</v>
      </c>
      <c r="X25">
        <f t="shared" si="2"/>
        <v>8.5851277777777764</v>
      </c>
      <c r="Y25" s="19">
        <f t="shared" si="3"/>
        <v>1.2777777777550625E-4</v>
      </c>
      <c r="Z25" s="19">
        <f t="shared" si="4"/>
        <v>5.8761820347339553</v>
      </c>
      <c r="AA25" s="19">
        <f t="shared" si="5"/>
        <v>-2.7089457430438211</v>
      </c>
      <c r="AB25" s="19"/>
    </row>
    <row r="26" spans="2:28">
      <c r="B26" t="str">
        <f t="shared" si="0"/>
        <v>Kalaeloa_CC3</v>
      </c>
      <c r="C26" s="4" t="s">
        <v>47</v>
      </c>
      <c r="D26" s="4" t="s">
        <v>4</v>
      </c>
      <c r="E26" s="4">
        <v>0.1</v>
      </c>
      <c r="F26" s="4">
        <v>0</v>
      </c>
      <c r="G26" s="4">
        <v>28</v>
      </c>
      <c r="H26" s="4"/>
      <c r="I26" s="4"/>
      <c r="J26" s="4"/>
      <c r="K26" s="5">
        <v>8651</v>
      </c>
      <c r="L26" s="4"/>
      <c r="M26" s="4"/>
      <c r="N26" s="8"/>
      <c r="O26" s="5">
        <v>8654</v>
      </c>
      <c r="P26" s="4">
        <v>6</v>
      </c>
      <c r="Q26" s="1"/>
      <c r="R26" s="6">
        <v>1.4999999999999999E-2</v>
      </c>
      <c r="S26">
        <f t="shared" si="1"/>
        <v>0.1</v>
      </c>
      <c r="T26">
        <f>S26+(G26-MAX($F26:F26))*K26/1000</f>
        <v>242.328</v>
      </c>
      <c r="U26">
        <f>T26+(H26-MAX($F26:G26))*L26/1000</f>
        <v>242.328</v>
      </c>
      <c r="V26">
        <f>U26+(I26-MAX($F26:H26))*M26/1000</f>
        <v>242.328</v>
      </c>
      <c r="W26">
        <f>V26+(J26-MAX($F26:I26))*N26/1000</f>
        <v>242.328</v>
      </c>
      <c r="X26">
        <f t="shared" si="2"/>
        <v>8.6545714285714279</v>
      </c>
      <c r="Y26" s="19">
        <f t="shared" si="3"/>
        <v>5.7142857142800096E-4</v>
      </c>
      <c r="Z26" s="19">
        <f t="shared" si="4"/>
        <v>5.8761820347339562</v>
      </c>
      <c r="AA26" s="19">
        <f t="shared" si="5"/>
        <v>-2.7783893938374717</v>
      </c>
      <c r="AB26" s="19"/>
    </row>
    <row r="27" spans="2:28" ht="17">
      <c r="B27" t="str">
        <f t="shared" si="0"/>
        <v>AES</v>
      </c>
      <c r="C27" s="10" t="s">
        <v>5</v>
      </c>
      <c r="D27" s="10" t="s">
        <v>48</v>
      </c>
      <c r="E27" s="12">
        <v>1284.7</v>
      </c>
      <c r="F27" s="12">
        <v>67</v>
      </c>
      <c r="G27" s="12">
        <v>180</v>
      </c>
      <c r="H27" s="12"/>
      <c r="I27" s="12"/>
      <c r="J27" s="12"/>
      <c r="K27" s="12">
        <f>(Z27*G27-E27)*1000/(G27-F27)</f>
        <v>6085.2472309248815</v>
      </c>
      <c r="L27" s="12"/>
      <c r="M27" s="12"/>
      <c r="N27" s="8"/>
      <c r="O27" s="11">
        <f>AM57*1000</f>
        <v>10957.405206080621</v>
      </c>
      <c r="P27" s="4">
        <v>2</v>
      </c>
      <c r="Q27" s="1"/>
      <c r="R27" s="13">
        <v>1.4999999999999999E-2</v>
      </c>
      <c r="S27">
        <f t="shared" si="1"/>
        <v>1284.7</v>
      </c>
      <c r="T27">
        <f>S27+(G27-MAX($F27:F27))*K27/1000</f>
        <v>1972.3329370945116</v>
      </c>
      <c r="U27">
        <f>T27+(H27-MAX($F27:G27))*L27/1000</f>
        <v>1972.3329370945116</v>
      </c>
      <c r="V27">
        <f>U27+(I27-MAX($F27:H27))*M27/1000</f>
        <v>1972.3329370945116</v>
      </c>
      <c r="W27">
        <f>V27+(J27-MAX($F27:I27))*N27/1000</f>
        <v>1972.3329370945116</v>
      </c>
      <c r="X27">
        <f t="shared" si="2"/>
        <v>10.957405206080621</v>
      </c>
      <c r="Y27" s="19">
        <f t="shared" si="3"/>
        <v>0</v>
      </c>
      <c r="Z27" s="56">
        <f t="shared" si="4"/>
        <v>10.957405206080621</v>
      </c>
      <c r="AA27" s="19">
        <f t="shared" si="5"/>
        <v>0</v>
      </c>
      <c r="AB27" s="19"/>
    </row>
    <row r="28" spans="2:28">
      <c r="B28" t="str">
        <f t="shared" si="0"/>
        <v>H-Power</v>
      </c>
      <c r="C28" s="14" t="s">
        <v>49</v>
      </c>
      <c r="D28" s="14" t="s">
        <v>55</v>
      </c>
      <c r="E28" s="14"/>
      <c r="F28" s="14"/>
      <c r="G28" s="14"/>
      <c r="H28" s="14"/>
      <c r="I28" s="14"/>
      <c r="J28" s="14"/>
      <c r="K28" s="1"/>
      <c r="L28" s="1"/>
      <c r="M28" s="1"/>
      <c r="N28" s="8"/>
      <c r="O28" s="14"/>
      <c r="P28" s="4">
        <v>18</v>
      </c>
      <c r="Q28" s="1"/>
      <c r="R28" s="15">
        <v>0.1</v>
      </c>
      <c r="S28">
        <f t="shared" si="1"/>
        <v>0</v>
      </c>
      <c r="T28">
        <f>S28+(G28-MAX($F28:F28))*K28/1000</f>
        <v>0</v>
      </c>
      <c r="U28">
        <f>T28+(H28-MAX($F28:G28))*L28/1000</f>
        <v>0</v>
      </c>
      <c r="V28">
        <f>U28+(I28-MAX($F28:H28))*M28/1000</f>
        <v>0</v>
      </c>
      <c r="W28">
        <f>V28+(J28-MAX($F28:I28))*N28/1000</f>
        <v>0</v>
      </c>
      <c r="X28">
        <f t="shared" si="2"/>
        <v>0</v>
      </c>
      <c r="Y28" s="19">
        <f t="shared" si="3"/>
        <v>0</v>
      </c>
      <c r="Z28" s="19">
        <f t="shared" si="4"/>
        <v>0</v>
      </c>
      <c r="AA28" s="19">
        <f t="shared" si="5"/>
        <v>0</v>
      </c>
      <c r="AB28" s="19"/>
    </row>
    <row r="29" spans="2:28">
      <c r="B29" t="str">
        <f t="shared" ref="B29:B32" si="6">C59</f>
        <v>CIP_CT</v>
      </c>
      <c r="C29" s="7" t="s">
        <v>50</v>
      </c>
      <c r="D29" s="7" t="s">
        <v>37</v>
      </c>
      <c r="E29" s="7">
        <v>714.5</v>
      </c>
      <c r="F29" s="7">
        <v>45</v>
      </c>
      <c r="G29" s="7">
        <v>113</v>
      </c>
      <c r="H29" s="7"/>
      <c r="I29" s="7"/>
      <c r="J29" s="7"/>
      <c r="K29" s="8">
        <f>(O29*G29-E29*1000)/(G29-F29)</f>
        <v>8915.3529411764703</v>
      </c>
      <c r="L29" s="7"/>
      <c r="M29" s="7"/>
      <c r="N29" s="7"/>
      <c r="O29" s="8">
        <v>11688</v>
      </c>
      <c r="P29" s="7">
        <v>40.76</v>
      </c>
      <c r="Q29" s="1"/>
      <c r="R29" s="9">
        <v>0.15</v>
      </c>
      <c r="S29">
        <f t="shared" si="1"/>
        <v>714.5</v>
      </c>
      <c r="T29">
        <f>S29+(G29-MAX($F29:F29))*K29/1000</f>
        <v>1320.7440000000001</v>
      </c>
      <c r="U29">
        <f>T29+(H29-MAX($F29:G29))*L29/1000</f>
        <v>1320.7440000000001</v>
      </c>
      <c r="V29">
        <f>U29+(I29-MAX($F29:H29))*M29/1000</f>
        <v>1320.7440000000001</v>
      </c>
      <c r="W29">
        <f>V29+(J29-MAX($F29:I29))*N29/1000</f>
        <v>1320.7440000000001</v>
      </c>
      <c r="X29">
        <f t="shared" si="2"/>
        <v>11.688000000000001</v>
      </c>
      <c r="Y29" s="19">
        <f t="shared" si="3"/>
        <v>0</v>
      </c>
      <c r="Z29" s="55">
        <f t="shared" si="4"/>
        <v>17.108194229251321</v>
      </c>
      <c r="AA29" s="19">
        <f t="shared" si="5"/>
        <v>5.4201942292513206</v>
      </c>
      <c r="AB29" s="19"/>
    </row>
    <row r="30" spans="2:28">
      <c r="B30" t="str">
        <f t="shared" si="6"/>
        <v>Airport_DSG</v>
      </c>
      <c r="C30" s="7" t="s">
        <v>52</v>
      </c>
      <c r="D30" s="7" t="s">
        <v>51</v>
      </c>
      <c r="E30" s="7">
        <f>F30*O30*0.001</f>
        <v>81.64</v>
      </c>
      <c r="F30" s="7">
        <v>8</v>
      </c>
      <c r="G30" s="7"/>
      <c r="H30" s="7"/>
      <c r="I30" s="7"/>
      <c r="J30" s="7"/>
      <c r="K30" s="8"/>
      <c r="L30" s="7"/>
      <c r="M30" s="7"/>
      <c r="N30" s="8"/>
      <c r="O30" s="8">
        <v>10205</v>
      </c>
      <c r="P30" s="7">
        <v>37.46</v>
      </c>
      <c r="Q30" s="1"/>
      <c r="R30" s="9">
        <v>0.57999999999999996</v>
      </c>
      <c r="S30">
        <f t="shared" ref="S30" si="7">E30</f>
        <v>81.64</v>
      </c>
      <c r="T30">
        <f>S30+(G30-MAX($F30:F30))*K30/1000</f>
        <v>81.64</v>
      </c>
      <c r="U30">
        <f>T30+(H30-MAX($F30:G30))*L30/1000</f>
        <v>81.64</v>
      </c>
      <c r="V30">
        <f>U30+(I30-MAX($F30:H30))*M30/1000</f>
        <v>81.64</v>
      </c>
      <c r="W30">
        <f>V30+(J30-MAX($F30:I30))*N30/1000</f>
        <v>81.64</v>
      </c>
      <c r="X30">
        <f t="shared" ref="X30" si="8">W30/N60</f>
        <v>10.205</v>
      </c>
      <c r="Y30" s="19">
        <f t="shared" ref="Y30" si="9">X30-O30*0.001</f>
        <v>0</v>
      </c>
      <c r="Z30" s="19">
        <f t="shared" si="4"/>
        <v>9.4072847682119214</v>
      </c>
      <c r="AA30" s="19">
        <f t="shared" si="5"/>
        <v>-0.79771523178807868</v>
      </c>
      <c r="AB30" s="19"/>
    </row>
    <row r="31" spans="2:28">
      <c r="B31" s="18" t="str">
        <f t="shared" si="6"/>
        <v>Hawaii_Cogen</v>
      </c>
      <c r="C31" s="7" t="str">
        <f>B31</f>
        <v>Hawaii_Cogen</v>
      </c>
      <c r="D31" s="52" t="s">
        <v>4</v>
      </c>
      <c r="E31" s="57">
        <f>$AM61*F31</f>
        <v>57.814674645533451</v>
      </c>
      <c r="F31" s="57">
        <f>H61</f>
        <v>12.2</v>
      </c>
      <c r="G31" s="57"/>
      <c r="H31" s="4"/>
      <c r="I31" s="4"/>
      <c r="J31" s="4"/>
      <c r="K31" s="4"/>
      <c r="L31" s="4"/>
      <c r="M31" s="4"/>
      <c r="N31" s="8"/>
      <c r="O31" s="5">
        <f>1000*X31</f>
        <v>4738.9077578306105</v>
      </c>
      <c r="P31" s="7"/>
      <c r="Q31" s="1"/>
      <c r="R31" s="9">
        <v>0</v>
      </c>
      <c r="S31">
        <f t="shared" ref="S31:S32" si="10">E31</f>
        <v>57.814674645533451</v>
      </c>
      <c r="T31">
        <f>S31+(G31-MAX($F31:F31))*K31/1000</f>
        <v>57.814674645533451</v>
      </c>
      <c r="U31">
        <f>T31+(H31-MAX($F31:G31))*L31/1000</f>
        <v>57.814674645533451</v>
      </c>
      <c r="V31">
        <f>U31+(I31-MAX($F31:H31))*M31/1000</f>
        <v>57.814674645533451</v>
      </c>
      <c r="W31">
        <f>V31+(J31-MAX($F31:I31))*N31/1000</f>
        <v>57.814674645533451</v>
      </c>
      <c r="X31">
        <f>W31/N61</f>
        <v>4.7389077578306109</v>
      </c>
      <c r="Y31" s="19">
        <f t="shared" ref="Y31:Y32" si="11">X31-O31*0.001</f>
        <v>0</v>
      </c>
      <c r="Z31" s="19">
        <f t="shared" si="4"/>
        <v>4.7389077578306109</v>
      </c>
      <c r="AA31" s="19">
        <f t="shared" si="5"/>
        <v>0</v>
      </c>
      <c r="AB31" s="19"/>
    </row>
    <row r="32" spans="2:28">
      <c r="B32" s="18" t="str">
        <f t="shared" si="6"/>
        <v>Tesoro_Hawaii</v>
      </c>
      <c r="C32" s="7" t="str">
        <f>B32</f>
        <v>Tesoro_Hawaii</v>
      </c>
      <c r="D32" s="52" t="s">
        <v>4</v>
      </c>
      <c r="E32" s="57">
        <f>$AM62*F32</f>
        <v>92.84358120654943</v>
      </c>
      <c r="F32" s="57">
        <f>H62</f>
        <v>20</v>
      </c>
      <c r="G32" s="57"/>
      <c r="H32" s="4"/>
      <c r="I32" s="4"/>
      <c r="J32" s="4"/>
      <c r="K32" s="4"/>
      <c r="L32" s="4"/>
      <c r="M32" s="4"/>
      <c r="N32" s="8"/>
      <c r="O32" s="5">
        <f>1000*X32</f>
        <v>4642.1790603274712</v>
      </c>
      <c r="P32" s="7"/>
      <c r="Q32" s="1"/>
      <c r="R32" s="9">
        <v>0</v>
      </c>
      <c r="S32">
        <f t="shared" si="10"/>
        <v>92.84358120654943</v>
      </c>
      <c r="T32">
        <f>S32+(G32-MAX($F32:F32))*K32/1000</f>
        <v>92.84358120654943</v>
      </c>
      <c r="U32">
        <f>T32+(H32-MAX($F32:G32))*L32/1000</f>
        <v>92.84358120654943</v>
      </c>
      <c r="V32">
        <f>U32+(I32-MAX($F32:H32))*M32/1000</f>
        <v>92.84358120654943</v>
      </c>
      <c r="W32">
        <f>V32+(J32-MAX($F32:I32))*N32/1000</f>
        <v>92.84358120654943</v>
      </c>
      <c r="X32">
        <f>W32/N62</f>
        <v>4.6421790603274715</v>
      </c>
      <c r="Y32" s="19">
        <f t="shared" si="11"/>
        <v>0</v>
      </c>
      <c r="Z32" s="19">
        <f t="shared" si="4"/>
        <v>4.6421790603274715</v>
      </c>
      <c r="AA32" s="19">
        <f t="shared" si="5"/>
        <v>0</v>
      </c>
      <c r="AB32" s="19"/>
    </row>
    <row r="33" spans="1:41">
      <c r="C33" s="22"/>
      <c r="D33" s="22"/>
      <c r="E33" s="22"/>
      <c r="F33" s="22"/>
      <c r="G33" s="22"/>
      <c r="H33" s="22"/>
      <c r="I33" s="22"/>
      <c r="J33" s="22"/>
      <c r="K33" s="23"/>
      <c r="L33" s="22"/>
      <c r="M33" s="22"/>
      <c r="N33" s="23"/>
      <c r="O33" s="23"/>
      <c r="P33" s="22"/>
      <c r="Q33" s="24"/>
      <c r="R33" s="25"/>
      <c r="Y33" s="19"/>
      <c r="Z33" s="19"/>
      <c r="AA33" s="19"/>
      <c r="AB33" s="19"/>
    </row>
    <row r="34" spans="1:41">
      <c r="A34" t="s">
        <v>126</v>
      </c>
      <c r="AK34" t="s">
        <v>292</v>
      </c>
    </row>
    <row r="35" spans="1:41">
      <c r="A35" t="s">
        <v>130</v>
      </c>
      <c r="AE35" s="18" t="s">
        <v>283</v>
      </c>
      <c r="AJ35" t="s">
        <v>277</v>
      </c>
    </row>
    <row r="36" spans="1:41">
      <c r="AE36" s="18"/>
    </row>
    <row r="37" spans="1:41">
      <c r="A37" t="s">
        <v>109</v>
      </c>
      <c r="B37" t="s">
        <v>79</v>
      </c>
      <c r="C37" t="s">
        <v>77</v>
      </c>
      <c r="D37" t="s">
        <v>300</v>
      </c>
      <c r="E37" t="s">
        <v>98</v>
      </c>
      <c r="F37" t="s">
        <v>99</v>
      </c>
      <c r="G37" t="s">
        <v>82</v>
      </c>
      <c r="H37" t="s">
        <v>81</v>
      </c>
      <c r="I37" t="s">
        <v>9</v>
      </c>
      <c r="J37" t="s">
        <v>10</v>
      </c>
      <c r="K37" t="s">
        <v>75</v>
      </c>
      <c r="L37" t="s">
        <v>76</v>
      </c>
      <c r="M37" t="s">
        <v>54</v>
      </c>
      <c r="N37" t="s">
        <v>78</v>
      </c>
      <c r="O37" t="s">
        <v>141</v>
      </c>
      <c r="P37" t="s">
        <v>102</v>
      </c>
      <c r="Q37" t="s">
        <v>101</v>
      </c>
      <c r="R37" t="s">
        <v>93</v>
      </c>
      <c r="S37" t="s">
        <v>104</v>
      </c>
      <c r="T37" t="s">
        <v>103</v>
      </c>
      <c r="U37" s="20" t="s">
        <v>0</v>
      </c>
      <c r="V37" s="20" t="s">
        <v>1</v>
      </c>
      <c r="W37" s="20" t="s">
        <v>2</v>
      </c>
      <c r="X37" s="20" t="s">
        <v>89</v>
      </c>
      <c r="Y37" s="20" t="s">
        <v>90</v>
      </c>
      <c r="Z37" s="20" t="s">
        <v>87</v>
      </c>
      <c r="AA37" s="20" t="s">
        <v>88</v>
      </c>
      <c r="AB37" s="20" t="s">
        <v>137</v>
      </c>
      <c r="AC37" s="20" t="s">
        <v>138</v>
      </c>
      <c r="AD37" s="20" t="s">
        <v>136</v>
      </c>
      <c r="AF37" t="s">
        <v>271</v>
      </c>
      <c r="AG37" s="20" t="s">
        <v>274</v>
      </c>
      <c r="AH37" s="20" t="s">
        <v>278</v>
      </c>
      <c r="AI37" s="20" t="s">
        <v>279</v>
      </c>
      <c r="AJ37" s="20" t="s">
        <v>280</v>
      </c>
      <c r="AK37" s="20" t="s">
        <v>282</v>
      </c>
      <c r="AL37" t="s">
        <v>275</v>
      </c>
      <c r="AM37" s="20" t="s">
        <v>281</v>
      </c>
      <c r="AN37" t="s">
        <v>294</v>
      </c>
      <c r="AO37" s="20" t="s">
        <v>293</v>
      </c>
    </row>
    <row r="38" spans="1:41" hidden="1">
      <c r="A38" t="s">
        <v>110</v>
      </c>
      <c r="B38" t="s">
        <v>80</v>
      </c>
      <c r="C38" t="str">
        <f>"Honolulu_"&amp;MID(C8, 2, 2)</f>
        <v>Honolulu_8</v>
      </c>
      <c r="D38" t="str">
        <f t="shared" ref="D38:D62" si="12">SUBSTITUTE(C38, "_", " ")</f>
        <v>Honolulu 8</v>
      </c>
      <c r="E38" t="s">
        <v>100</v>
      </c>
      <c r="F38" t="s">
        <v>100</v>
      </c>
      <c r="G38">
        <v>1954</v>
      </c>
      <c r="H38">
        <f t="shared" ref="H38:H60" si="13">N38</f>
        <v>53.4</v>
      </c>
      <c r="I38">
        <f>0.5*1386000/SUM($H$38:$H$53,$H$59:$H$60)</f>
        <v>530.5872444682642</v>
      </c>
      <c r="J38">
        <f t="shared" ref="J38:J45" si="14">5.3*inflator_1987</f>
        <v>9.8583306746073944</v>
      </c>
      <c r="M38">
        <v>2014</v>
      </c>
      <c r="N38">
        <f t="shared" ref="N38:N57" si="15">MAX(F8:J8)</f>
        <v>53.4</v>
      </c>
      <c r="O38">
        <v>0</v>
      </c>
      <c r="P38">
        <f t="shared" ref="P38:P45" si="16">5.2*inflator_1987</f>
        <v>9.6723244354638602</v>
      </c>
      <c r="Q38">
        <f t="shared" ref="Q38:Q62" si="17">R8</f>
        <v>0.151</v>
      </c>
      <c r="R38">
        <v>0</v>
      </c>
      <c r="S38" t="str">
        <f t="shared" ref="S38:S62" si="18">D8</f>
        <v>LSFO</v>
      </c>
      <c r="T38" s="32">
        <f t="shared" ref="T38:T62" si="19">O8</f>
        <v>11265</v>
      </c>
      <c r="U38">
        <v>0</v>
      </c>
      <c r="V38">
        <v>1</v>
      </c>
      <c r="W38">
        <v>0</v>
      </c>
      <c r="X38">
        <v>0</v>
      </c>
      <c r="Y38">
        <f>X38</f>
        <v>0</v>
      </c>
      <c r="Z38">
        <v>0</v>
      </c>
      <c r="AA38">
        <v>0</v>
      </c>
      <c r="AB38">
        <v>3</v>
      </c>
      <c r="AC38">
        <v>5</v>
      </c>
      <c r="AD38">
        <v>190</v>
      </c>
      <c r="AF38" t="str">
        <f t="shared" ref="AF38:AF53" si="20">C38</f>
        <v>Honolulu_8</v>
      </c>
    </row>
    <row r="39" spans="1:41" hidden="1">
      <c r="A39" t="s">
        <v>110</v>
      </c>
      <c r="B39" t="s">
        <v>80</v>
      </c>
      <c r="C39" t="str">
        <f>"Honolulu_"&amp;MID(C9, 2, 2)</f>
        <v>Honolulu_9</v>
      </c>
      <c r="D39" t="str">
        <f t="shared" si="12"/>
        <v>Honolulu 9</v>
      </c>
      <c r="E39" t="s">
        <v>100</v>
      </c>
      <c r="F39" t="s">
        <v>100</v>
      </c>
      <c r="G39">
        <v>1957</v>
      </c>
      <c r="H39">
        <f t="shared" si="13"/>
        <v>54.4</v>
      </c>
      <c r="I39">
        <f t="shared" ref="I39:I53" si="21">0.5*1386000/SUM($H$38:$H$53,$H$59:$H$60)</f>
        <v>530.5872444682642</v>
      </c>
      <c r="J39">
        <f t="shared" si="14"/>
        <v>9.8583306746073944</v>
      </c>
      <c r="M39">
        <v>2014</v>
      </c>
      <c r="N39">
        <f t="shared" si="15"/>
        <v>54.4</v>
      </c>
      <c r="O39">
        <v>0</v>
      </c>
      <c r="P39">
        <f t="shared" si="16"/>
        <v>9.6723244354638602</v>
      </c>
      <c r="Q39">
        <f t="shared" si="17"/>
        <v>0.151</v>
      </c>
      <c r="R39">
        <v>0</v>
      </c>
      <c r="S39" t="str">
        <f t="shared" si="18"/>
        <v>LSFO</v>
      </c>
      <c r="T39" s="32">
        <f t="shared" si="19"/>
        <v>11400</v>
      </c>
      <c r="U39">
        <v>0</v>
      </c>
      <c r="V39">
        <v>1</v>
      </c>
      <c r="W39">
        <v>0</v>
      </c>
      <c r="X39">
        <v>0</v>
      </c>
      <c r="Y39">
        <f t="shared" ref="Y39:Y60" si="22">X39</f>
        <v>0</v>
      </c>
      <c r="Z39">
        <v>0</v>
      </c>
      <c r="AA39">
        <v>0</v>
      </c>
      <c r="AB39">
        <v>3</v>
      </c>
      <c r="AC39">
        <v>5</v>
      </c>
      <c r="AD39">
        <v>190</v>
      </c>
      <c r="AF39" t="str">
        <f t="shared" si="20"/>
        <v>Honolulu_9</v>
      </c>
    </row>
    <row r="40" spans="1:41" hidden="1">
      <c r="A40" t="s">
        <v>110</v>
      </c>
      <c r="B40" t="s">
        <v>80</v>
      </c>
      <c r="C40" t="str">
        <f t="shared" ref="C40:C47" si="23">"Waiau_"&amp;MID(C10, 2, 2)</f>
        <v>Waiau_3</v>
      </c>
      <c r="D40" t="str">
        <f t="shared" si="12"/>
        <v>Waiau 3</v>
      </c>
      <c r="E40" t="s">
        <v>100</v>
      </c>
      <c r="F40" t="s">
        <v>100</v>
      </c>
      <c r="G40">
        <v>1947</v>
      </c>
      <c r="H40">
        <f t="shared" si="13"/>
        <v>46.6</v>
      </c>
      <c r="I40">
        <f t="shared" si="21"/>
        <v>530.5872444682642</v>
      </c>
      <c r="J40">
        <f t="shared" si="14"/>
        <v>9.8583306746073944</v>
      </c>
      <c r="M40" s="18">
        <v>2024</v>
      </c>
      <c r="N40">
        <f t="shared" si="15"/>
        <v>46.6</v>
      </c>
      <c r="O40">
        <v>0</v>
      </c>
      <c r="P40">
        <f t="shared" si="16"/>
        <v>9.6723244354638602</v>
      </c>
      <c r="Q40">
        <f t="shared" si="17"/>
        <v>0.15</v>
      </c>
      <c r="R40">
        <v>0</v>
      </c>
      <c r="S40" t="str">
        <f t="shared" si="18"/>
        <v>LSFO</v>
      </c>
      <c r="T40" s="32">
        <f t="shared" si="19"/>
        <v>11904</v>
      </c>
      <c r="U40">
        <v>0</v>
      </c>
      <c r="V40">
        <v>1</v>
      </c>
      <c r="W40">
        <v>0</v>
      </c>
      <c r="X40">
        <v>0</v>
      </c>
      <c r="Y40">
        <f t="shared" si="22"/>
        <v>0</v>
      </c>
      <c r="Z40">
        <v>0</v>
      </c>
      <c r="AA40">
        <v>0</v>
      </c>
      <c r="AB40">
        <v>3</v>
      </c>
      <c r="AC40">
        <v>5</v>
      </c>
      <c r="AD40">
        <v>337</v>
      </c>
      <c r="AF40" t="str">
        <f t="shared" si="20"/>
        <v>Waiau_3</v>
      </c>
      <c r="AH40" s="53">
        <v>963129</v>
      </c>
      <c r="AI40" s="53">
        <v>10602621</v>
      </c>
      <c r="AL40" s="22">
        <f t="shared" ref="AL40" si="24">AH40/H40/8760</f>
        <v>2.3593612205303076</v>
      </c>
      <c r="AM40" s="48">
        <f>AI40/AH40</f>
        <v>11.008515993184714</v>
      </c>
    </row>
    <row r="41" spans="1:41" hidden="1">
      <c r="A41" t="s">
        <v>110</v>
      </c>
      <c r="B41" t="s">
        <v>80</v>
      </c>
      <c r="C41" t="str">
        <f t="shared" si="23"/>
        <v>Waiau_4</v>
      </c>
      <c r="D41" t="str">
        <f t="shared" si="12"/>
        <v>Waiau 4</v>
      </c>
      <c r="E41" t="s">
        <v>100</v>
      </c>
      <c r="F41" t="s">
        <v>100</v>
      </c>
      <c r="G41">
        <v>1950</v>
      </c>
      <c r="H41">
        <f t="shared" si="13"/>
        <v>46.6</v>
      </c>
      <c r="I41">
        <f t="shared" si="21"/>
        <v>530.5872444682642</v>
      </c>
      <c r="J41">
        <f t="shared" si="14"/>
        <v>9.8583306746073944</v>
      </c>
      <c r="M41" s="18">
        <v>2024</v>
      </c>
      <c r="N41">
        <f t="shared" si="15"/>
        <v>46.6</v>
      </c>
      <c r="O41">
        <v>0</v>
      </c>
      <c r="P41">
        <f t="shared" si="16"/>
        <v>9.6723244354638602</v>
      </c>
      <c r="Q41">
        <f t="shared" si="17"/>
        <v>0.12</v>
      </c>
      <c r="R41">
        <v>0</v>
      </c>
      <c r="S41" t="str">
        <f t="shared" si="18"/>
        <v>LSFO</v>
      </c>
      <c r="T41" s="32">
        <f t="shared" si="19"/>
        <v>11832</v>
      </c>
      <c r="U41">
        <v>0</v>
      </c>
      <c r="V41">
        <v>1</v>
      </c>
      <c r="W41">
        <v>0</v>
      </c>
      <c r="X41">
        <v>0</v>
      </c>
      <c r="Y41">
        <f t="shared" si="22"/>
        <v>0</v>
      </c>
      <c r="Z41">
        <v>0</v>
      </c>
      <c r="AA41">
        <v>0</v>
      </c>
      <c r="AB41">
        <v>3</v>
      </c>
      <c r="AC41">
        <v>5</v>
      </c>
      <c r="AD41">
        <v>337</v>
      </c>
      <c r="AF41" t="str">
        <f t="shared" si="20"/>
        <v>Waiau_4</v>
      </c>
      <c r="AM41">
        <f t="shared" ref="AM41:AM45" si="25">AM40</f>
        <v>11.008515993184714</v>
      </c>
    </row>
    <row r="42" spans="1:41" hidden="1">
      <c r="A42" t="s">
        <v>110</v>
      </c>
      <c r="B42" t="s">
        <v>80</v>
      </c>
      <c r="C42" t="str">
        <f t="shared" si="23"/>
        <v>Waiau_5</v>
      </c>
      <c r="D42" t="str">
        <f t="shared" si="12"/>
        <v>Waiau 5</v>
      </c>
      <c r="E42" t="s">
        <v>100</v>
      </c>
      <c r="F42" t="s">
        <v>100</v>
      </c>
      <c r="G42">
        <v>1959</v>
      </c>
      <c r="H42">
        <f t="shared" si="13"/>
        <v>54.5</v>
      </c>
      <c r="I42">
        <f t="shared" si="21"/>
        <v>530.5872444682642</v>
      </c>
      <c r="J42">
        <f t="shared" si="14"/>
        <v>9.8583306746073944</v>
      </c>
      <c r="M42">
        <v>2027</v>
      </c>
      <c r="N42">
        <f t="shared" si="15"/>
        <v>54.5</v>
      </c>
      <c r="O42">
        <v>0</v>
      </c>
      <c r="P42">
        <f t="shared" si="16"/>
        <v>9.6723244354638602</v>
      </c>
      <c r="Q42">
        <f t="shared" si="17"/>
        <v>4.7E-2</v>
      </c>
      <c r="R42">
        <v>0</v>
      </c>
      <c r="S42" t="str">
        <f t="shared" si="18"/>
        <v>LSFO</v>
      </c>
      <c r="T42" s="32">
        <f t="shared" si="19"/>
        <v>11526</v>
      </c>
      <c r="U42">
        <v>0</v>
      </c>
      <c r="V42">
        <v>1</v>
      </c>
      <c r="W42">
        <v>0</v>
      </c>
      <c r="X42">
        <v>0</v>
      </c>
      <c r="Y42">
        <f t="shared" si="22"/>
        <v>0</v>
      </c>
      <c r="Z42">
        <v>0</v>
      </c>
      <c r="AA42">
        <v>0</v>
      </c>
      <c r="AB42">
        <v>3</v>
      </c>
      <c r="AC42">
        <v>5</v>
      </c>
      <c r="AD42">
        <v>277</v>
      </c>
      <c r="AF42" t="str">
        <f t="shared" si="20"/>
        <v>Waiau_5</v>
      </c>
      <c r="AM42">
        <f t="shared" si="25"/>
        <v>11.008515993184714</v>
      </c>
    </row>
    <row r="43" spans="1:41" hidden="1">
      <c r="A43" t="s">
        <v>110</v>
      </c>
      <c r="B43" t="s">
        <v>80</v>
      </c>
      <c r="C43" t="str">
        <f t="shared" si="23"/>
        <v>Waiau_6</v>
      </c>
      <c r="D43" t="str">
        <f t="shared" si="12"/>
        <v>Waiau 6</v>
      </c>
      <c r="E43" t="s">
        <v>100</v>
      </c>
      <c r="F43" t="s">
        <v>100</v>
      </c>
      <c r="G43">
        <v>1961</v>
      </c>
      <c r="H43">
        <f t="shared" si="13"/>
        <v>53.5</v>
      </c>
      <c r="I43">
        <f t="shared" si="21"/>
        <v>530.5872444682642</v>
      </c>
      <c r="J43">
        <f t="shared" si="14"/>
        <v>9.8583306746073944</v>
      </c>
      <c r="M43">
        <v>2027</v>
      </c>
      <c r="N43">
        <f t="shared" si="15"/>
        <v>53.5</v>
      </c>
      <c r="O43">
        <v>0</v>
      </c>
      <c r="P43">
        <f t="shared" si="16"/>
        <v>9.6723244354638602</v>
      </c>
      <c r="Q43">
        <f t="shared" si="17"/>
        <v>4.7E-2</v>
      </c>
      <c r="R43">
        <v>0</v>
      </c>
      <c r="S43" t="str">
        <f t="shared" si="18"/>
        <v>LSFO</v>
      </c>
      <c r="T43" s="32">
        <f t="shared" si="19"/>
        <v>11618</v>
      </c>
      <c r="U43">
        <v>0</v>
      </c>
      <c r="V43">
        <v>1</v>
      </c>
      <c r="W43">
        <v>0</v>
      </c>
      <c r="X43">
        <v>0</v>
      </c>
      <c r="Y43">
        <f t="shared" si="22"/>
        <v>0</v>
      </c>
      <c r="Z43">
        <v>0</v>
      </c>
      <c r="AA43">
        <v>0</v>
      </c>
      <c r="AB43">
        <v>3</v>
      </c>
      <c r="AC43">
        <v>5</v>
      </c>
      <c r="AD43">
        <v>277</v>
      </c>
      <c r="AF43" t="str">
        <f t="shared" si="20"/>
        <v>Waiau_6</v>
      </c>
      <c r="AM43">
        <f t="shared" si="25"/>
        <v>11.008515993184714</v>
      </c>
    </row>
    <row r="44" spans="1:41" hidden="1">
      <c r="A44" t="s">
        <v>110</v>
      </c>
      <c r="B44" t="s">
        <v>80</v>
      </c>
      <c r="C44" t="str">
        <f t="shared" si="23"/>
        <v>Waiau_7</v>
      </c>
      <c r="D44" t="str">
        <f t="shared" si="12"/>
        <v>Waiau 7</v>
      </c>
      <c r="E44" t="s">
        <v>100</v>
      </c>
      <c r="F44" t="s">
        <v>100</v>
      </c>
      <c r="G44">
        <v>1966</v>
      </c>
      <c r="H44">
        <f t="shared" si="13"/>
        <v>82.9</v>
      </c>
      <c r="I44">
        <f t="shared" si="21"/>
        <v>530.5872444682642</v>
      </c>
      <c r="J44">
        <f t="shared" si="14"/>
        <v>9.8583306746073944</v>
      </c>
      <c r="M44">
        <v>2032</v>
      </c>
      <c r="N44">
        <f t="shared" si="15"/>
        <v>82.9</v>
      </c>
      <c r="O44">
        <v>0</v>
      </c>
      <c r="P44">
        <f t="shared" si="16"/>
        <v>9.6723244354638602</v>
      </c>
      <c r="Q44">
        <f t="shared" si="17"/>
        <v>5.1999999999999998E-2</v>
      </c>
      <c r="R44">
        <v>0</v>
      </c>
      <c r="S44" t="str">
        <f t="shared" si="18"/>
        <v>LSFO</v>
      </c>
      <c r="T44" s="32">
        <f t="shared" si="19"/>
        <v>10600</v>
      </c>
      <c r="U44">
        <v>0</v>
      </c>
      <c r="V44">
        <v>1</v>
      </c>
      <c r="W44">
        <v>0</v>
      </c>
      <c r="X44">
        <v>1</v>
      </c>
      <c r="Y44">
        <f t="shared" si="22"/>
        <v>1</v>
      </c>
      <c r="Z44">
        <v>0</v>
      </c>
      <c r="AA44">
        <v>0</v>
      </c>
      <c r="AB44">
        <v>3</v>
      </c>
      <c r="AC44">
        <v>6</v>
      </c>
      <c r="AD44">
        <v>933</v>
      </c>
      <c r="AF44" t="str">
        <f t="shared" si="20"/>
        <v>Waiau_7</v>
      </c>
      <c r="AM44">
        <f t="shared" si="25"/>
        <v>11.008515993184714</v>
      </c>
    </row>
    <row r="45" spans="1:41" hidden="1">
      <c r="A45" t="s">
        <v>110</v>
      </c>
      <c r="B45" t="s">
        <v>80</v>
      </c>
      <c r="C45" t="str">
        <f t="shared" si="23"/>
        <v>Waiau_8</v>
      </c>
      <c r="D45" t="str">
        <f t="shared" si="12"/>
        <v>Waiau 8</v>
      </c>
      <c r="E45" t="s">
        <v>100</v>
      </c>
      <c r="F45" t="s">
        <v>100</v>
      </c>
      <c r="G45">
        <v>1968</v>
      </c>
      <c r="H45">
        <f t="shared" si="13"/>
        <v>86.1</v>
      </c>
      <c r="I45">
        <f t="shared" si="21"/>
        <v>530.5872444682642</v>
      </c>
      <c r="J45">
        <f t="shared" si="14"/>
        <v>9.8583306746073944</v>
      </c>
      <c r="M45">
        <v>2032</v>
      </c>
      <c r="N45">
        <f t="shared" si="15"/>
        <v>86.1</v>
      </c>
      <c r="O45">
        <v>0</v>
      </c>
      <c r="P45">
        <f t="shared" si="16"/>
        <v>9.6723244354638602</v>
      </c>
      <c r="Q45">
        <f t="shared" si="17"/>
        <v>5.1999999999999998E-2</v>
      </c>
      <c r="R45">
        <v>0</v>
      </c>
      <c r="S45" t="str">
        <f t="shared" si="18"/>
        <v>LSFO</v>
      </c>
      <c r="T45" s="32">
        <f t="shared" si="19"/>
        <v>10204</v>
      </c>
      <c r="U45">
        <v>0</v>
      </c>
      <c r="V45">
        <v>1</v>
      </c>
      <c r="W45">
        <v>0</v>
      </c>
      <c r="X45">
        <v>1</v>
      </c>
      <c r="Y45">
        <f t="shared" si="22"/>
        <v>1</v>
      </c>
      <c r="Z45">
        <v>0</v>
      </c>
      <c r="AA45">
        <v>0</v>
      </c>
      <c r="AB45">
        <v>3</v>
      </c>
      <c r="AC45">
        <v>6</v>
      </c>
      <c r="AD45">
        <v>933</v>
      </c>
      <c r="AF45" t="str">
        <f t="shared" si="20"/>
        <v>Waiau_8</v>
      </c>
      <c r="AM45">
        <f t="shared" si="25"/>
        <v>11.008515993184714</v>
      </c>
    </row>
    <row r="46" spans="1:41" hidden="1">
      <c r="A46" t="s">
        <v>110</v>
      </c>
      <c r="B46" t="s">
        <v>80</v>
      </c>
      <c r="C46" t="str">
        <f t="shared" si="23"/>
        <v>Waiau_9</v>
      </c>
      <c r="D46" t="str">
        <f t="shared" si="12"/>
        <v>Waiau 9</v>
      </c>
      <c r="E46" t="s">
        <v>100</v>
      </c>
      <c r="F46" t="s">
        <v>100</v>
      </c>
      <c r="G46">
        <v>1973</v>
      </c>
      <c r="H46">
        <f t="shared" si="13"/>
        <v>52.9</v>
      </c>
      <c r="I46">
        <f t="shared" si="21"/>
        <v>530.5872444682642</v>
      </c>
      <c r="J46">
        <f>9.4*inflator_1987</f>
        <v>17.484586479492361</v>
      </c>
      <c r="M46">
        <v>2050</v>
      </c>
      <c r="N46">
        <f t="shared" si="15"/>
        <v>52.9</v>
      </c>
      <c r="O46">
        <v>0</v>
      </c>
      <c r="P46">
        <f>0.1*inflator_1987</f>
        <v>0.18600623914353576</v>
      </c>
      <c r="Q46">
        <f t="shared" si="17"/>
        <v>0.109</v>
      </c>
      <c r="R46">
        <v>0</v>
      </c>
      <c r="S46" t="str">
        <f t="shared" si="18"/>
        <v>Diesel</v>
      </c>
      <c r="T46" s="32">
        <f t="shared" si="19"/>
        <v>13115</v>
      </c>
      <c r="U46">
        <v>0</v>
      </c>
      <c r="V46">
        <v>1</v>
      </c>
      <c r="W46">
        <v>0</v>
      </c>
      <c r="X46">
        <v>0</v>
      </c>
      <c r="Y46">
        <f t="shared" si="22"/>
        <v>0</v>
      </c>
      <c r="Z46">
        <v>0</v>
      </c>
      <c r="AA46">
        <v>0</v>
      </c>
      <c r="AB46">
        <v>1</v>
      </c>
      <c r="AC46">
        <v>1</v>
      </c>
      <c r="AD46">
        <v>36</v>
      </c>
      <c r="AF46" t="str">
        <f t="shared" si="20"/>
        <v>Waiau_9</v>
      </c>
      <c r="AH46" s="53">
        <v>20766</v>
      </c>
      <c r="AI46" s="53">
        <v>527369</v>
      </c>
      <c r="AL46" s="22">
        <f t="shared" ref="AL46" si="26">AH46/H46/8760</f>
        <v>4.4811870419763318E-2</v>
      </c>
      <c r="AM46" s="48">
        <f>AI46/AH46</f>
        <v>25.395791197149187</v>
      </c>
    </row>
    <row r="47" spans="1:41" hidden="1">
      <c r="A47" t="s">
        <v>110</v>
      </c>
      <c r="B47" t="s">
        <v>80</v>
      </c>
      <c r="C47" t="str">
        <f t="shared" si="23"/>
        <v>Waiau_10</v>
      </c>
      <c r="D47" t="str">
        <f t="shared" si="12"/>
        <v>Waiau 10</v>
      </c>
      <c r="E47" t="s">
        <v>100</v>
      </c>
      <c r="F47" t="s">
        <v>100</v>
      </c>
      <c r="G47">
        <v>1973</v>
      </c>
      <c r="H47">
        <f t="shared" si="13"/>
        <v>49.9</v>
      </c>
      <c r="I47">
        <f t="shared" si="21"/>
        <v>530.5872444682642</v>
      </c>
      <c r="J47">
        <f>9.4*inflator_1987</f>
        <v>17.484586479492361</v>
      </c>
      <c r="M47">
        <v>2050</v>
      </c>
      <c r="N47">
        <f t="shared" si="15"/>
        <v>49.9</v>
      </c>
      <c r="O47">
        <v>0</v>
      </c>
      <c r="P47">
        <f>0.1*inflator_1987</f>
        <v>0.18600623914353576</v>
      </c>
      <c r="Q47">
        <f t="shared" si="17"/>
        <v>0.109</v>
      </c>
      <c r="R47">
        <v>0</v>
      </c>
      <c r="S47" t="str">
        <f t="shared" si="18"/>
        <v>Diesel</v>
      </c>
      <c r="T47" s="32">
        <f t="shared" si="19"/>
        <v>12499</v>
      </c>
      <c r="U47">
        <v>0</v>
      </c>
      <c r="V47">
        <v>1</v>
      </c>
      <c r="W47">
        <v>0</v>
      </c>
      <c r="X47">
        <v>0</v>
      </c>
      <c r="Y47">
        <f t="shared" si="22"/>
        <v>0</v>
      </c>
      <c r="Z47">
        <v>0</v>
      </c>
      <c r="AA47">
        <v>0</v>
      </c>
      <c r="AB47">
        <v>1</v>
      </c>
      <c r="AC47">
        <v>1</v>
      </c>
      <c r="AD47">
        <v>33</v>
      </c>
      <c r="AF47" t="str">
        <f t="shared" si="20"/>
        <v>Waiau_10</v>
      </c>
      <c r="AH47" s="32"/>
      <c r="AI47" s="32"/>
      <c r="AM47">
        <f>AM46</f>
        <v>25.395791197149187</v>
      </c>
    </row>
    <row r="48" spans="1:41" hidden="1">
      <c r="A48" t="s">
        <v>110</v>
      </c>
      <c r="B48" t="s">
        <v>80</v>
      </c>
      <c r="C48" t="str">
        <f t="shared" ref="C48:C53" si="27">"Kahe_"&amp;MID(C18, 2, 2)</f>
        <v>Kahe_1</v>
      </c>
      <c r="D48" t="str">
        <f t="shared" si="12"/>
        <v>Kahe 1</v>
      </c>
      <c r="E48" t="s">
        <v>100</v>
      </c>
      <c r="F48" t="s">
        <v>100</v>
      </c>
      <c r="G48">
        <v>1963</v>
      </c>
      <c r="H48">
        <f t="shared" si="13"/>
        <v>82.1</v>
      </c>
      <c r="I48">
        <f t="shared" si="21"/>
        <v>530.5872444682642</v>
      </c>
      <c r="J48">
        <f t="shared" ref="J48:J53" si="28">5.3*inflator_1987</f>
        <v>9.8583306746073944</v>
      </c>
      <c r="M48">
        <v>2036</v>
      </c>
      <c r="N48">
        <f t="shared" si="15"/>
        <v>82.1</v>
      </c>
      <c r="O48">
        <v>0</v>
      </c>
      <c r="P48">
        <f t="shared" ref="P48:P53" si="29">5.2*inflator_1987</f>
        <v>9.6723244354638602</v>
      </c>
      <c r="Q48">
        <f t="shared" si="17"/>
        <v>3.5999999999999997E-2</v>
      </c>
      <c r="R48">
        <v>0</v>
      </c>
      <c r="S48" t="str">
        <f t="shared" si="18"/>
        <v>LSFO</v>
      </c>
      <c r="T48" s="32">
        <f t="shared" si="19"/>
        <v>10101</v>
      </c>
      <c r="U48">
        <v>0</v>
      </c>
      <c r="V48">
        <v>1</v>
      </c>
      <c r="W48">
        <v>0</v>
      </c>
      <c r="X48">
        <v>1</v>
      </c>
      <c r="Y48">
        <f t="shared" si="22"/>
        <v>1</v>
      </c>
      <c r="Z48">
        <v>0</v>
      </c>
      <c r="AA48">
        <v>0</v>
      </c>
      <c r="AB48">
        <v>3</v>
      </c>
      <c r="AC48">
        <v>6</v>
      </c>
      <c r="AD48">
        <v>933</v>
      </c>
      <c r="AF48" t="str">
        <f t="shared" si="20"/>
        <v>Kahe_1</v>
      </c>
      <c r="AH48" s="53">
        <v>2446469</v>
      </c>
      <c r="AI48" s="53">
        <v>26098384</v>
      </c>
      <c r="AL48" s="22">
        <f t="shared" ref="AL48" si="30">AH48/H48/8760</f>
        <v>3.4016721450063683</v>
      </c>
      <c r="AM48" s="48">
        <f>AI48/AH48</f>
        <v>10.667776293098338</v>
      </c>
    </row>
    <row r="49" spans="1:58" hidden="1">
      <c r="A49" t="s">
        <v>110</v>
      </c>
      <c r="B49" t="s">
        <v>80</v>
      </c>
      <c r="C49" t="str">
        <f t="shared" si="27"/>
        <v>Kahe_2</v>
      </c>
      <c r="D49" t="str">
        <f t="shared" si="12"/>
        <v>Kahe 2</v>
      </c>
      <c r="E49" t="s">
        <v>100</v>
      </c>
      <c r="F49" t="s">
        <v>100</v>
      </c>
      <c r="G49">
        <v>1964</v>
      </c>
      <c r="H49">
        <f t="shared" si="13"/>
        <v>82.1</v>
      </c>
      <c r="I49">
        <f t="shared" si="21"/>
        <v>530.5872444682642</v>
      </c>
      <c r="J49">
        <f t="shared" si="28"/>
        <v>9.8583306746073944</v>
      </c>
      <c r="M49">
        <v>2036</v>
      </c>
      <c r="N49">
        <f t="shared" si="15"/>
        <v>82.1</v>
      </c>
      <c r="O49">
        <v>0</v>
      </c>
      <c r="P49">
        <f t="shared" si="29"/>
        <v>9.6723244354638602</v>
      </c>
      <c r="Q49">
        <f t="shared" si="17"/>
        <v>3.5999999999999997E-2</v>
      </c>
      <c r="R49">
        <v>0</v>
      </c>
      <c r="S49" t="str">
        <f t="shared" si="18"/>
        <v>LSFO</v>
      </c>
      <c r="T49" s="32">
        <f t="shared" si="19"/>
        <v>9915</v>
      </c>
      <c r="U49">
        <v>0</v>
      </c>
      <c r="V49">
        <v>1</v>
      </c>
      <c r="W49">
        <v>0</v>
      </c>
      <c r="X49">
        <v>1</v>
      </c>
      <c r="Y49">
        <f t="shared" si="22"/>
        <v>1</v>
      </c>
      <c r="Z49">
        <v>0</v>
      </c>
      <c r="AA49">
        <v>0</v>
      </c>
      <c r="AB49">
        <v>3</v>
      </c>
      <c r="AC49">
        <v>6</v>
      </c>
      <c r="AD49">
        <v>933</v>
      </c>
      <c r="AF49" t="str">
        <f t="shared" si="20"/>
        <v>Kahe_2</v>
      </c>
      <c r="AH49" s="32"/>
      <c r="AI49" s="32"/>
      <c r="AM49">
        <f>AM48</f>
        <v>10.667776293098338</v>
      </c>
    </row>
    <row r="50" spans="1:58" hidden="1">
      <c r="A50" t="s">
        <v>110</v>
      </c>
      <c r="B50" t="s">
        <v>80</v>
      </c>
      <c r="C50" t="str">
        <f t="shared" si="27"/>
        <v>Kahe_3</v>
      </c>
      <c r="D50" t="str">
        <f t="shared" si="12"/>
        <v>Kahe 3</v>
      </c>
      <c r="E50" t="s">
        <v>100</v>
      </c>
      <c r="F50" t="s">
        <v>100</v>
      </c>
      <c r="G50">
        <v>1970</v>
      </c>
      <c r="H50">
        <f t="shared" si="13"/>
        <v>86.1</v>
      </c>
      <c r="I50">
        <f t="shared" si="21"/>
        <v>530.5872444682642</v>
      </c>
      <c r="J50">
        <f t="shared" si="28"/>
        <v>9.8583306746073944</v>
      </c>
      <c r="M50">
        <v>2040</v>
      </c>
      <c r="N50">
        <f t="shared" si="15"/>
        <v>86.1</v>
      </c>
      <c r="O50">
        <v>0</v>
      </c>
      <c r="P50">
        <f t="shared" si="29"/>
        <v>9.6723244354638602</v>
      </c>
      <c r="Q50">
        <f t="shared" si="17"/>
        <v>5.1999999999999998E-2</v>
      </c>
      <c r="R50">
        <v>0</v>
      </c>
      <c r="S50" t="str">
        <f t="shared" si="18"/>
        <v>LSFO</v>
      </c>
      <c r="T50" s="32">
        <f t="shared" si="19"/>
        <v>9703</v>
      </c>
      <c r="U50">
        <v>0</v>
      </c>
      <c r="V50">
        <v>1</v>
      </c>
      <c r="W50">
        <v>0</v>
      </c>
      <c r="X50">
        <v>1</v>
      </c>
      <c r="Y50">
        <f t="shared" si="22"/>
        <v>1</v>
      </c>
      <c r="Z50">
        <v>0</v>
      </c>
      <c r="AA50">
        <v>0</v>
      </c>
      <c r="AB50">
        <v>3</v>
      </c>
      <c r="AC50">
        <v>6</v>
      </c>
      <c r="AD50">
        <v>933</v>
      </c>
      <c r="AF50" t="str">
        <f t="shared" si="20"/>
        <v>Kahe_3</v>
      </c>
      <c r="AH50" s="32"/>
      <c r="AI50" s="32"/>
      <c r="AM50">
        <f t="shared" ref="AM50:AM53" si="31">AM49</f>
        <v>10.667776293098338</v>
      </c>
    </row>
    <row r="51" spans="1:58" hidden="1">
      <c r="A51" t="s">
        <v>110</v>
      </c>
      <c r="B51" t="s">
        <v>80</v>
      </c>
      <c r="C51" t="str">
        <f t="shared" si="27"/>
        <v>Kahe_4</v>
      </c>
      <c r="D51" t="str">
        <f t="shared" si="12"/>
        <v>Kahe 4</v>
      </c>
      <c r="E51" t="s">
        <v>100</v>
      </c>
      <c r="F51" t="s">
        <v>100</v>
      </c>
      <c r="G51">
        <v>1972</v>
      </c>
      <c r="H51">
        <f t="shared" si="13"/>
        <v>85.3</v>
      </c>
      <c r="I51">
        <f t="shared" si="21"/>
        <v>530.5872444682642</v>
      </c>
      <c r="J51">
        <f t="shared" si="28"/>
        <v>9.8583306746073944</v>
      </c>
      <c r="M51">
        <v>2040</v>
      </c>
      <c r="N51">
        <f t="shared" si="15"/>
        <v>85.3</v>
      </c>
      <c r="O51">
        <v>0</v>
      </c>
      <c r="P51">
        <f t="shared" si="29"/>
        <v>9.6723244354638602</v>
      </c>
      <c r="Q51">
        <f t="shared" si="17"/>
        <v>5.1999999999999998E-2</v>
      </c>
      <c r="R51">
        <v>0</v>
      </c>
      <c r="S51" t="str">
        <f t="shared" si="18"/>
        <v>LSFO</v>
      </c>
      <c r="T51" s="32">
        <f t="shared" si="19"/>
        <v>9927</v>
      </c>
      <c r="U51">
        <v>0</v>
      </c>
      <c r="V51">
        <v>1</v>
      </c>
      <c r="W51">
        <v>0</v>
      </c>
      <c r="X51">
        <v>1</v>
      </c>
      <c r="Y51">
        <f t="shared" si="22"/>
        <v>1</v>
      </c>
      <c r="Z51">
        <v>0</v>
      </c>
      <c r="AA51">
        <v>0</v>
      </c>
      <c r="AB51">
        <v>3</v>
      </c>
      <c r="AC51">
        <v>6</v>
      </c>
      <c r="AD51">
        <v>933</v>
      </c>
      <c r="AF51" t="str">
        <f t="shared" si="20"/>
        <v>Kahe_4</v>
      </c>
      <c r="AH51" s="32"/>
      <c r="AI51" s="32"/>
      <c r="AM51">
        <f t="shared" si="31"/>
        <v>10.667776293098338</v>
      </c>
    </row>
    <row r="52" spans="1:58" hidden="1">
      <c r="A52" t="s">
        <v>110</v>
      </c>
      <c r="B52" t="s">
        <v>80</v>
      </c>
      <c r="C52" t="str">
        <f t="shared" si="27"/>
        <v>Kahe_5</v>
      </c>
      <c r="D52" t="str">
        <f t="shared" si="12"/>
        <v>Kahe 5</v>
      </c>
      <c r="E52" t="s">
        <v>100</v>
      </c>
      <c r="F52" t="s">
        <v>100</v>
      </c>
      <c r="G52">
        <v>1974</v>
      </c>
      <c r="H52">
        <f t="shared" si="13"/>
        <v>134.30000000000001</v>
      </c>
      <c r="I52">
        <f t="shared" si="21"/>
        <v>530.5872444682642</v>
      </c>
      <c r="J52">
        <f t="shared" si="28"/>
        <v>9.8583306746073944</v>
      </c>
      <c r="M52">
        <v>2045</v>
      </c>
      <c r="N52">
        <f t="shared" si="15"/>
        <v>134.30000000000001</v>
      </c>
      <c r="O52">
        <v>0</v>
      </c>
      <c r="P52">
        <f t="shared" si="29"/>
        <v>9.6723244354638602</v>
      </c>
      <c r="Q52">
        <f t="shared" si="17"/>
        <v>3.2000000000000001E-2</v>
      </c>
      <c r="R52">
        <v>0</v>
      </c>
      <c r="S52" t="str">
        <f t="shared" si="18"/>
        <v>LSFO</v>
      </c>
      <c r="T52" s="32">
        <f t="shared" si="19"/>
        <v>9691</v>
      </c>
      <c r="U52">
        <v>0</v>
      </c>
      <c r="V52">
        <v>1</v>
      </c>
      <c r="W52">
        <v>0</v>
      </c>
      <c r="X52">
        <v>1</v>
      </c>
      <c r="Y52">
        <f t="shared" si="22"/>
        <v>1</v>
      </c>
      <c r="Z52">
        <v>0</v>
      </c>
      <c r="AA52">
        <v>0</v>
      </c>
      <c r="AB52">
        <v>3</v>
      </c>
      <c r="AC52">
        <v>6</v>
      </c>
      <c r="AD52">
        <v>1352</v>
      </c>
      <c r="AF52" t="str">
        <f t="shared" si="20"/>
        <v>Kahe_5</v>
      </c>
      <c r="AH52" s="32"/>
      <c r="AI52" s="32"/>
      <c r="AM52">
        <f t="shared" si="31"/>
        <v>10.667776293098338</v>
      </c>
    </row>
    <row r="53" spans="1:58" hidden="1">
      <c r="A53" t="s">
        <v>110</v>
      </c>
      <c r="B53" t="s">
        <v>80</v>
      </c>
      <c r="C53" t="str">
        <f t="shared" si="27"/>
        <v>Kahe_6</v>
      </c>
      <c r="D53" t="str">
        <f t="shared" si="12"/>
        <v>Kahe 6</v>
      </c>
      <c r="E53" t="s">
        <v>100</v>
      </c>
      <c r="F53" t="s">
        <v>100</v>
      </c>
      <c r="G53">
        <v>1981</v>
      </c>
      <c r="H53">
        <f t="shared" si="13"/>
        <v>134.4</v>
      </c>
      <c r="I53">
        <f t="shared" si="21"/>
        <v>530.5872444682642</v>
      </c>
      <c r="J53">
        <f t="shared" si="28"/>
        <v>9.8583306746073944</v>
      </c>
      <c r="M53">
        <v>2045</v>
      </c>
      <c r="N53">
        <f t="shared" si="15"/>
        <v>134.4</v>
      </c>
      <c r="O53">
        <v>0</v>
      </c>
      <c r="P53">
        <f t="shared" si="29"/>
        <v>9.6723244354638602</v>
      </c>
      <c r="Q53">
        <f t="shared" si="17"/>
        <v>2.1000000000000001E-2</v>
      </c>
      <c r="R53">
        <v>0</v>
      </c>
      <c r="S53" t="str">
        <f t="shared" si="18"/>
        <v>LSFO</v>
      </c>
      <c r="T53" s="32">
        <f t="shared" si="19"/>
        <v>10059</v>
      </c>
      <c r="U53">
        <v>0</v>
      </c>
      <c r="V53">
        <v>1</v>
      </c>
      <c r="W53">
        <v>0</v>
      </c>
      <c r="X53">
        <v>1</v>
      </c>
      <c r="Y53">
        <f t="shared" si="22"/>
        <v>1</v>
      </c>
      <c r="Z53">
        <v>0</v>
      </c>
      <c r="AA53">
        <v>0</v>
      </c>
      <c r="AB53">
        <v>3</v>
      </c>
      <c r="AC53">
        <v>6</v>
      </c>
      <c r="AD53">
        <v>2703</v>
      </c>
      <c r="AF53" t="str">
        <f t="shared" si="20"/>
        <v>Kahe_6</v>
      </c>
      <c r="AH53" s="32"/>
      <c r="AI53" s="32"/>
      <c r="AM53">
        <f t="shared" si="31"/>
        <v>10.667776293098338</v>
      </c>
    </row>
    <row r="54" spans="1:58" ht="15" hidden="1" customHeight="1">
      <c r="A54" t="s">
        <v>110</v>
      </c>
      <c r="B54" t="s">
        <v>80</v>
      </c>
      <c r="C54" s="21" t="str">
        <f>"Kalaeloa_CC"&amp;MID(C24, 4, 2)</f>
        <v>Kalaeloa_CC1</v>
      </c>
      <c r="D54" t="str">
        <f t="shared" si="12"/>
        <v>Kalaeloa CC1</v>
      </c>
      <c r="E54" s="21" t="s">
        <v>100</v>
      </c>
      <c r="F54" s="21" t="s">
        <v>100</v>
      </c>
      <c r="G54" s="21">
        <v>1989</v>
      </c>
      <c r="H54">
        <f t="shared" si="13"/>
        <v>90</v>
      </c>
      <c r="I54">
        <f>344*inflator_1987</f>
        <v>639.86146265376306</v>
      </c>
      <c r="J54">
        <f>22.8*inflator_1987</f>
        <v>42.409422524726153</v>
      </c>
      <c r="M54">
        <v>2055</v>
      </c>
      <c r="N54">
        <f t="shared" si="15"/>
        <v>90</v>
      </c>
      <c r="O54">
        <v>0</v>
      </c>
      <c r="P54">
        <f>0.4*inflator_1987</f>
        <v>0.74402495657414303</v>
      </c>
      <c r="Q54">
        <f t="shared" si="17"/>
        <v>1.4999999999999999E-2</v>
      </c>
      <c r="R54">
        <v>0</v>
      </c>
      <c r="S54" t="str">
        <f t="shared" si="18"/>
        <v>LSFO</v>
      </c>
      <c r="T54" s="32">
        <f t="shared" si="19"/>
        <v>8585</v>
      </c>
      <c r="U54">
        <v>0</v>
      </c>
      <c r="V54">
        <v>1</v>
      </c>
      <c r="W54">
        <v>0</v>
      </c>
      <c r="X54">
        <v>0</v>
      </c>
      <c r="Y54">
        <f t="shared" si="22"/>
        <v>0</v>
      </c>
      <c r="Z54">
        <v>0</v>
      </c>
      <c r="AA54">
        <v>0</v>
      </c>
      <c r="AB54">
        <v>3</v>
      </c>
      <c r="AC54">
        <v>5</v>
      </c>
      <c r="AD54">
        <v>800</v>
      </c>
      <c r="AF54" t="str">
        <f>C54</f>
        <v>Kalaeloa_CC1</v>
      </c>
      <c r="AG54">
        <v>0.1203</v>
      </c>
      <c r="AH54" s="18">
        <f>180515*$H54/SUM($H$54:$H$56)</f>
        <v>78107.451923076922</v>
      </c>
      <c r="AI54" s="18">
        <f>1060739*$H54/SUM($H$54:$H$56)</f>
        <v>458973.60576923075</v>
      </c>
      <c r="AJ54" s="18">
        <v>12.2312841367921</v>
      </c>
      <c r="AK54">
        <f>H54*1000*J54/inflator_2018 + AH54*P54/inflator_2018 + AI54*AJ54</f>
        <v>9651786.1059800759</v>
      </c>
      <c r="AL54" s="22">
        <f t="shared" ref="AL54:AL60" si="32">AH54/H54/8760</f>
        <v>9.9070842114506494E-2</v>
      </c>
      <c r="AM54" s="22">
        <f>AI54/AH54</f>
        <v>5.8761820347339553</v>
      </c>
      <c r="AN54" s="50">
        <f>AK54 / (AH54*1000)</f>
        <v>0.12357061801843834</v>
      </c>
      <c r="AO54" s="22">
        <f>(PMT(0.06, M54-G54, -I54/inflator_2018)*1000*H54 + AK54) / (AH54*1000)</f>
        <v>0.17067511261852167</v>
      </c>
    </row>
    <row r="55" spans="1:58" hidden="1">
      <c r="A55" t="s">
        <v>110</v>
      </c>
      <c r="B55" t="s">
        <v>80</v>
      </c>
      <c r="C55" s="21" t="str">
        <f>"Kalaeloa_CC"&amp;MID(C25, 4, 2)</f>
        <v>Kalaeloa_CC2</v>
      </c>
      <c r="D55" t="str">
        <f t="shared" si="12"/>
        <v>Kalaeloa CC2</v>
      </c>
      <c r="E55" s="21" t="s">
        <v>100</v>
      </c>
      <c r="F55" s="21" t="s">
        <v>100</v>
      </c>
      <c r="G55" s="21">
        <v>1991</v>
      </c>
      <c r="H55">
        <f t="shared" si="13"/>
        <v>90</v>
      </c>
      <c r="I55">
        <f>I54</f>
        <v>639.86146265376306</v>
      </c>
      <c r="J55">
        <f>22.8*inflator_1987</f>
        <v>42.409422524726153</v>
      </c>
      <c r="M55">
        <v>2055</v>
      </c>
      <c r="N55">
        <f t="shared" si="15"/>
        <v>90</v>
      </c>
      <c r="O55">
        <v>0</v>
      </c>
      <c r="P55">
        <f>0.4*inflator_1987</f>
        <v>0.74402495657414303</v>
      </c>
      <c r="Q55">
        <f t="shared" si="17"/>
        <v>1.4999999999999999E-2</v>
      </c>
      <c r="R55">
        <v>0</v>
      </c>
      <c r="S55" t="str">
        <f t="shared" si="18"/>
        <v>LSFO</v>
      </c>
      <c r="T55" s="32">
        <f t="shared" si="19"/>
        <v>8585</v>
      </c>
      <c r="U55">
        <v>0</v>
      </c>
      <c r="V55">
        <v>1</v>
      </c>
      <c r="W55">
        <v>0</v>
      </c>
      <c r="X55">
        <v>0</v>
      </c>
      <c r="Y55">
        <f t="shared" si="22"/>
        <v>0</v>
      </c>
      <c r="Z55">
        <v>0</v>
      </c>
      <c r="AA55">
        <v>0</v>
      </c>
      <c r="AB55">
        <v>3</v>
      </c>
      <c r="AC55">
        <v>5</v>
      </c>
      <c r="AD55">
        <v>800</v>
      </c>
      <c r="AF55" t="str">
        <f>C55</f>
        <v>Kalaeloa_CC2</v>
      </c>
      <c r="AG55">
        <v>0.1203</v>
      </c>
      <c r="AH55" s="18">
        <f>180515*$H55/SUM($H$54:$H$56)</f>
        <v>78107.451923076922</v>
      </c>
      <c r="AI55" s="18">
        <f>1060739*$H55/SUM($H$54:$H$56)</f>
        <v>458973.60576923075</v>
      </c>
      <c r="AJ55" s="18">
        <v>12.2312841367921</v>
      </c>
      <c r="AK55">
        <f>H55*1000*J55/inflator_2018 + AH55*P55/inflator_2018 + AI55*AJ55</f>
        <v>9651786.1059800759</v>
      </c>
      <c r="AL55" s="22">
        <f t="shared" si="32"/>
        <v>9.9070842114506494E-2</v>
      </c>
      <c r="AM55" s="22">
        <f t="shared" ref="AM55:AM60" si="33">AI55/AH55</f>
        <v>5.8761820347339553</v>
      </c>
      <c r="AN55" s="50">
        <f t="shared" ref="AN55:AN58" si="34">AK55 / (AH55*1000)</f>
        <v>0.12357061801843834</v>
      </c>
      <c r="AO55" s="22">
        <f>(PMT(0.06, M55-G55, -I55/inflator_2018)*1000*H55 + AK55) / (AH55*1000)</f>
        <v>0.17080259469900955</v>
      </c>
    </row>
    <row r="56" spans="1:58" hidden="1">
      <c r="A56" t="s">
        <v>110</v>
      </c>
      <c r="B56" t="s">
        <v>80</v>
      </c>
      <c r="C56" s="21" t="str">
        <f>"Kalaeloa_CC"&amp;MID(C26, 4, 2)</f>
        <v>Kalaeloa_CC3</v>
      </c>
      <c r="D56" t="str">
        <f t="shared" si="12"/>
        <v>Kalaeloa CC3</v>
      </c>
      <c r="E56" s="21" t="s">
        <v>100</v>
      </c>
      <c r="F56" s="21" t="s">
        <v>100</v>
      </c>
      <c r="G56" s="21">
        <v>1991</v>
      </c>
      <c r="H56">
        <f t="shared" si="13"/>
        <v>28</v>
      </c>
      <c r="I56">
        <f>I55</f>
        <v>639.86146265376306</v>
      </c>
      <c r="J56">
        <f>22.8*inflator_1987</f>
        <v>42.409422524726153</v>
      </c>
      <c r="M56">
        <v>2055</v>
      </c>
      <c r="N56">
        <f t="shared" si="15"/>
        <v>28</v>
      </c>
      <c r="O56">
        <v>0</v>
      </c>
      <c r="P56">
        <f>0.4*inflator_1987</f>
        <v>0.74402495657414303</v>
      </c>
      <c r="Q56">
        <f t="shared" si="17"/>
        <v>1.4999999999999999E-2</v>
      </c>
      <c r="R56">
        <v>0</v>
      </c>
      <c r="S56" t="str">
        <f t="shared" si="18"/>
        <v>LSFO</v>
      </c>
      <c r="T56" s="32">
        <f t="shared" si="19"/>
        <v>8654</v>
      </c>
      <c r="U56">
        <v>0</v>
      </c>
      <c r="V56">
        <v>1</v>
      </c>
      <c r="W56">
        <v>0</v>
      </c>
      <c r="X56">
        <v>0</v>
      </c>
      <c r="Y56">
        <f t="shared" si="22"/>
        <v>0</v>
      </c>
      <c r="Z56">
        <v>0</v>
      </c>
      <c r="AA56">
        <v>0</v>
      </c>
      <c r="AB56">
        <v>1</v>
      </c>
      <c r="AC56">
        <v>3</v>
      </c>
      <c r="AD56">
        <v>0</v>
      </c>
      <c r="AF56" t="str">
        <f>C56</f>
        <v>Kalaeloa_CC3</v>
      </c>
      <c r="AG56">
        <v>0.1203</v>
      </c>
      <c r="AH56" s="18">
        <f>180515*$H56/SUM($H$54:$H$56)</f>
        <v>24300.096153846152</v>
      </c>
      <c r="AI56" s="18">
        <f>1060739*$H56/SUM($H$54:$H$56)</f>
        <v>142791.78846153847</v>
      </c>
      <c r="AJ56" s="18">
        <v>12.2312841367921</v>
      </c>
      <c r="AK56">
        <f>H56*1000*J56/inflator_2018 + AH56*P56/inflator_2018 + AI56*AJ56</f>
        <v>3002777.8996382458</v>
      </c>
      <c r="AL56" s="22">
        <f t="shared" si="32"/>
        <v>9.9070842114506494E-2</v>
      </c>
      <c r="AM56" s="22">
        <f t="shared" si="33"/>
        <v>5.8761820347339562</v>
      </c>
      <c r="AN56" s="50">
        <f t="shared" si="34"/>
        <v>0.12357061801843836</v>
      </c>
      <c r="AO56" s="22">
        <f>(PMT(0.06, M56-G56, -I56/inflator_2018)*1000*H56 + AK56) / (AH56*1000)</f>
        <v>0.17080259469900957</v>
      </c>
    </row>
    <row r="57" spans="1:58" ht="15" hidden="1" customHeight="1">
      <c r="A57" t="s">
        <v>110</v>
      </c>
      <c r="B57" t="s">
        <v>80</v>
      </c>
      <c r="C57" s="21" t="s">
        <v>5</v>
      </c>
      <c r="D57" t="str">
        <f t="shared" si="12"/>
        <v>AES</v>
      </c>
      <c r="E57" s="21" t="s">
        <v>100</v>
      </c>
      <c r="F57" s="21" t="s">
        <v>100</v>
      </c>
      <c r="G57" s="21">
        <v>1993</v>
      </c>
      <c r="H57">
        <f>N57</f>
        <v>180</v>
      </c>
      <c r="I57">
        <f>1190*inflator_1987</f>
        <v>2213.4742458080755</v>
      </c>
      <c r="J57">
        <f>40.5*inflator_1987</f>
        <v>75.332526853131981</v>
      </c>
      <c r="M57">
        <v>2023</v>
      </c>
      <c r="N57">
        <f t="shared" si="15"/>
        <v>180</v>
      </c>
      <c r="O57">
        <v>0</v>
      </c>
      <c r="P57">
        <f>1.9*inflator_1987</f>
        <v>3.5341185437271792</v>
      </c>
      <c r="Q57">
        <f t="shared" si="17"/>
        <v>1.4999999999999999E-2</v>
      </c>
      <c r="R57">
        <f>1-0.90333</f>
        <v>9.6670000000000034E-2</v>
      </c>
      <c r="S57" t="str">
        <f t="shared" si="18"/>
        <v>Coal</v>
      </c>
      <c r="T57" s="32">
        <f t="shared" si="19"/>
        <v>10957.405206080621</v>
      </c>
      <c r="U57">
        <v>0</v>
      </c>
      <c r="V57">
        <v>1</v>
      </c>
      <c r="W57">
        <v>0</v>
      </c>
      <c r="X57">
        <v>0</v>
      </c>
      <c r="Y57">
        <f t="shared" si="22"/>
        <v>0</v>
      </c>
      <c r="Z57">
        <v>1</v>
      </c>
      <c r="AA57">
        <v>0</v>
      </c>
      <c r="AB57">
        <v>24</v>
      </c>
      <c r="AC57">
        <v>24</v>
      </c>
      <c r="AD57">
        <v>0</v>
      </c>
      <c r="AF57" t="str">
        <f>C57</f>
        <v>AES</v>
      </c>
      <c r="AG57">
        <v>5.5899999999999998E-2</v>
      </c>
      <c r="AH57" s="18">
        <v>1326641</v>
      </c>
      <c r="AI57" s="18">
        <v>14536543</v>
      </c>
      <c r="AJ57" s="18">
        <v>3.8293471441005198</v>
      </c>
      <c r="AK57">
        <f>H57*1000*J57/inflator_2018 + AH57*P57/inflator_2018 + AI57*AJ57</f>
        <v>74681388.463133097</v>
      </c>
      <c r="AL57" s="22">
        <f t="shared" si="32"/>
        <v>0.84135020294266871</v>
      </c>
      <c r="AM57" s="22">
        <f t="shared" si="33"/>
        <v>10.957405206080621</v>
      </c>
      <c r="AN57" s="50">
        <f t="shared" si="34"/>
        <v>5.6293592963833544E-2</v>
      </c>
      <c r="AO57" s="22">
        <f>(PMT(0.06, M57-G57, -I57/inflator_2018)*1000*H57 + AK57) / (AH57*1000)</f>
        <v>7.9029700851722937E-2</v>
      </c>
    </row>
    <row r="58" spans="1:58" ht="15" hidden="1" customHeight="1">
      <c r="A58" t="s">
        <v>110</v>
      </c>
      <c r="B58" t="s">
        <v>80</v>
      </c>
      <c r="C58" s="21" t="s">
        <v>8</v>
      </c>
      <c r="D58" t="str">
        <f t="shared" si="12"/>
        <v>H-Power</v>
      </c>
      <c r="E58" s="21" t="s">
        <v>100</v>
      </c>
      <c r="F58" s="21" t="s">
        <v>100</v>
      </c>
      <c r="G58" s="21">
        <v>1989</v>
      </c>
      <c r="H58">
        <f t="shared" si="13"/>
        <v>73</v>
      </c>
      <c r="I58">
        <f>PV(0.06, (M58-G58), (AK58 - AG58*1000*AH58))*inflator_2018/(H58*1000)</f>
        <v>2544.3257070349478</v>
      </c>
      <c r="J58">
        <f>J57</f>
        <v>75.332526853131981</v>
      </c>
      <c r="M58">
        <f t="shared" ref="M58:M60" si="35">G58+61</f>
        <v>2050</v>
      </c>
      <c r="N58" s="18">
        <v>73</v>
      </c>
      <c r="O58">
        <v>0</v>
      </c>
      <c r="P58">
        <f>1000*(14*0.1703+10*0.1238)/24*inflator_2018</f>
        <v>144.83307050432077</v>
      </c>
      <c r="Q58">
        <f t="shared" si="17"/>
        <v>0.1</v>
      </c>
      <c r="R58">
        <f>1-42.8/N58</f>
        <v>0.41369863013698638</v>
      </c>
      <c r="S58" t="str">
        <f t="shared" si="18"/>
        <v>MSW</v>
      </c>
      <c r="T58" s="32">
        <f t="shared" si="19"/>
        <v>0</v>
      </c>
      <c r="U58">
        <v>0</v>
      </c>
      <c r="V58">
        <v>1</v>
      </c>
      <c r="W58">
        <v>0</v>
      </c>
      <c r="X58">
        <v>0</v>
      </c>
      <c r="Y58">
        <f t="shared" si="22"/>
        <v>0</v>
      </c>
      <c r="Z58">
        <v>1</v>
      </c>
      <c r="AA58">
        <v>1</v>
      </c>
      <c r="AB58">
        <v>0</v>
      </c>
      <c r="AC58">
        <v>0</v>
      </c>
      <c r="AF58" t="str">
        <f>C58</f>
        <v>H-Power</v>
      </c>
      <c r="AG58">
        <f>(14*0.1703+10*0.1238)/24+(17685360/(AH58*1000))</f>
        <v>0.19540147836955593</v>
      </c>
      <c r="AH58" s="18">
        <v>397634</v>
      </c>
      <c r="AI58" s="18">
        <v>0</v>
      </c>
      <c r="AJ58" s="18">
        <v>0</v>
      </c>
      <c r="AK58">
        <f>H58*1000*J58/inflator_2018 + AH58*P58/inflator_2018 + AI58*AJ58</f>
        <v>65743494.907407202</v>
      </c>
      <c r="AL58" s="22">
        <f t="shared" si="32"/>
        <v>0.62180834427972731</v>
      </c>
      <c r="AM58" s="22">
        <f t="shared" si="33"/>
        <v>0</v>
      </c>
      <c r="AN58">
        <f t="shared" si="34"/>
        <v>0.16533670387192043</v>
      </c>
      <c r="AO58" s="51">
        <f>(PMT(0.06, M58-G58, -I58/inflator_2018)*1000*H58 + AK58) / (AH58*1000)</f>
        <v>0.19540147836955593</v>
      </c>
    </row>
    <row r="59" spans="1:58" hidden="1">
      <c r="A59" t="s">
        <v>110</v>
      </c>
      <c r="B59" t="s">
        <v>80</v>
      </c>
      <c r="C59" t="s">
        <v>6</v>
      </c>
      <c r="D59" t="str">
        <f t="shared" si="12"/>
        <v>CIP CT</v>
      </c>
      <c r="E59" t="s">
        <v>100</v>
      </c>
      <c r="F59" t="s">
        <v>100</v>
      </c>
      <c r="G59">
        <v>2009</v>
      </c>
      <c r="H59">
        <f t="shared" si="13"/>
        <v>113</v>
      </c>
      <c r="I59">
        <f t="shared" ref="I59" si="36">0.5*1386000/SUM($H$38:$H$53,$H$59:$H$60)</f>
        <v>530.5872444682642</v>
      </c>
      <c r="J59" cm="1">
        <f t="array" ref="J59">12.11*inflator_2007</f>
        <v>13.857411676189646</v>
      </c>
      <c r="M59">
        <f t="shared" si="35"/>
        <v>2070</v>
      </c>
      <c r="N59">
        <f>MAX(F29:J29)</f>
        <v>113</v>
      </c>
      <c r="O59">
        <v>0</v>
      </c>
      <c r="P59" cm="1">
        <f t="array" ref="P59">3.57*inflator_2007</f>
        <v>4.0851329218824963</v>
      </c>
      <c r="Q59">
        <f t="shared" si="17"/>
        <v>0.15</v>
      </c>
      <c r="R59">
        <v>0</v>
      </c>
      <c r="S59" t="str">
        <f t="shared" si="18"/>
        <v>Diesel</v>
      </c>
      <c r="T59" s="32">
        <f t="shared" si="19"/>
        <v>11688</v>
      </c>
      <c r="U59">
        <v>0</v>
      </c>
      <c r="V59">
        <v>1</v>
      </c>
      <c r="W59">
        <v>0</v>
      </c>
      <c r="X59">
        <v>0</v>
      </c>
      <c r="Y59">
        <f t="shared" si="22"/>
        <v>0</v>
      </c>
      <c r="Z59">
        <v>0</v>
      </c>
      <c r="AA59">
        <v>0</v>
      </c>
      <c r="AB59">
        <v>1</v>
      </c>
      <c r="AC59">
        <v>1</v>
      </c>
      <c r="AD59">
        <v>126</v>
      </c>
      <c r="AF59" t="str">
        <f t="shared" ref="AF59:AF60" si="37">C59</f>
        <v>CIP_CT</v>
      </c>
      <c r="AH59" s="18">
        <f>12747+21460</f>
        <v>34207</v>
      </c>
      <c r="AI59" s="18">
        <f>213744+371476</f>
        <v>585220</v>
      </c>
      <c r="AL59" s="22">
        <f t="shared" si="32"/>
        <v>3.4556713945124662E-2</v>
      </c>
      <c r="AM59" s="22">
        <f t="shared" si="33"/>
        <v>17.108194229251321</v>
      </c>
    </row>
    <row r="60" spans="1:58" hidden="1">
      <c r="A60" t="s">
        <v>110</v>
      </c>
      <c r="B60" t="s">
        <v>80</v>
      </c>
      <c r="C60" t="s">
        <v>7</v>
      </c>
      <c r="D60" t="str">
        <f t="shared" si="12"/>
        <v>Airport DSG</v>
      </c>
      <c r="E60" t="s">
        <v>100</v>
      </c>
      <c r="F60" t="s">
        <v>100</v>
      </c>
      <c r="G60">
        <v>2013</v>
      </c>
      <c r="H60">
        <f t="shared" si="13"/>
        <v>8</v>
      </c>
      <c r="I60">
        <f t="shared" ref="I60" si="38">0.5*1386000/SUM($H$38:$H$53,$H$59:$H$60)</f>
        <v>530.5872444682642</v>
      </c>
      <c r="J60">
        <f>7.21*inflator_2011</f>
        <v>7.7775624723744121</v>
      </c>
      <c r="M60">
        <f t="shared" si="35"/>
        <v>2074</v>
      </c>
      <c r="N60">
        <f>MAX(F30:J30)</f>
        <v>8</v>
      </c>
      <c r="O60">
        <v>0</v>
      </c>
      <c r="P60">
        <f>15.18*inflator_2011</f>
        <v>16.374951224777195</v>
      </c>
      <c r="Q60">
        <f t="shared" si="17"/>
        <v>0.57999999999999996</v>
      </c>
      <c r="R60">
        <v>0</v>
      </c>
      <c r="S60" t="str">
        <f t="shared" si="18"/>
        <v>Biodiesel</v>
      </c>
      <c r="T60" s="32">
        <f t="shared" si="19"/>
        <v>10205</v>
      </c>
      <c r="U60">
        <v>0</v>
      </c>
      <c r="V60">
        <v>1</v>
      </c>
      <c r="W60">
        <v>0</v>
      </c>
      <c r="X60">
        <v>0</v>
      </c>
      <c r="Y60">
        <f t="shared" si="22"/>
        <v>0</v>
      </c>
      <c r="Z60">
        <v>0</v>
      </c>
      <c r="AA60">
        <v>0</v>
      </c>
      <c r="AB60">
        <v>1</v>
      </c>
      <c r="AC60">
        <v>1</v>
      </c>
      <c r="AD60">
        <v>1</v>
      </c>
      <c r="AF60" t="str">
        <f t="shared" si="37"/>
        <v>Airport_DSG</v>
      </c>
      <c r="AH60" s="18">
        <v>604</v>
      </c>
      <c r="AI60" s="53">
        <v>5682</v>
      </c>
      <c r="AL60" s="22">
        <f t="shared" si="32"/>
        <v>8.6187214611872145E-3</v>
      </c>
      <c r="AM60" s="22">
        <f t="shared" si="33"/>
        <v>9.4072847682119214</v>
      </c>
    </row>
    <row r="61" spans="1:58" hidden="1">
      <c r="A61" t="s">
        <v>110</v>
      </c>
      <c r="B61" t="s">
        <v>80</v>
      </c>
      <c r="C61" t="s">
        <v>307</v>
      </c>
      <c r="D61" t="str">
        <f t="shared" si="12"/>
        <v>Hawaii Cogen</v>
      </c>
      <c r="E61" t="s">
        <v>100</v>
      </c>
      <c r="F61" t="s">
        <v>100</v>
      </c>
      <c r="G61">
        <v>1982</v>
      </c>
      <c r="H61">
        <v>12.2</v>
      </c>
      <c r="I61">
        <f>275*inflator_1987</f>
        <v>511.51715764472334</v>
      </c>
      <c r="J61">
        <f>9.4*inflator_1987</f>
        <v>17.484586479492361</v>
      </c>
      <c r="M61">
        <v>2045</v>
      </c>
      <c r="N61">
        <f>MAX(F31:J31)</f>
        <v>12.2</v>
      </c>
      <c r="O61">
        <v>0</v>
      </c>
      <c r="P61">
        <f>0.5*inflator_1987+56.09*inflator_2018</f>
        <v>54.756017113142583</v>
      </c>
      <c r="Q61">
        <f t="shared" si="17"/>
        <v>0</v>
      </c>
      <c r="R61">
        <f>1-(AH61/(8760*H61))</f>
        <v>0.13218616662923877</v>
      </c>
      <c r="S61" t="str">
        <f t="shared" si="18"/>
        <v>LSFO</v>
      </c>
      <c r="T61" s="32">
        <f t="shared" si="19"/>
        <v>4738.9077578306105</v>
      </c>
      <c r="U61">
        <v>0</v>
      </c>
      <c r="V61">
        <v>1</v>
      </c>
      <c r="W61">
        <v>0</v>
      </c>
      <c r="X61">
        <v>0</v>
      </c>
      <c r="Y61">
        <f t="shared" ref="Y61" si="39">X61</f>
        <v>0</v>
      </c>
      <c r="Z61">
        <v>1</v>
      </c>
      <c r="AA61">
        <v>1</v>
      </c>
      <c r="AB61">
        <v>0</v>
      </c>
      <c r="AC61">
        <v>0</v>
      </c>
      <c r="AD61">
        <v>0</v>
      </c>
      <c r="AF61" t="str">
        <f>D61</f>
        <v>Hawaii Cogen</v>
      </c>
      <c r="AG61">
        <f>(14*0.1175+10*0.1173)/24</f>
        <v>0.11741666666666667</v>
      </c>
      <c r="AH61" s="18">
        <f>55722+37023</f>
        <v>92745</v>
      </c>
      <c r="AI61" s="18">
        <f>264060+175450</f>
        <v>439510</v>
      </c>
      <c r="AJ61" s="18">
        <v>12.2312841367921</v>
      </c>
      <c r="AK61">
        <f t="shared" ref="AK61:AK68" si="40">H61*1000*J61/inflator_2018 + AH61*P61/inflator_2018 + AI61*AJ61</f>
        <v>10890006.774877977</v>
      </c>
      <c r="AL61" s="22">
        <f t="shared" ref="AL61" si="41">AH61/H61/8760</f>
        <v>0.86781383337076134</v>
      </c>
      <c r="AM61" s="22">
        <f t="shared" ref="AM61" si="42">AI61/AH61</f>
        <v>4.7389077578306109</v>
      </c>
      <c r="AN61" s="50">
        <f t="shared" ref="AN61" si="43">AK61 / (AH61*1000)</f>
        <v>0.11741880182088497</v>
      </c>
      <c r="AO61" s="22">
        <f t="shared" ref="AO61:AO68" si="44">(PMT(0.06, M61-G61, -I61/inflator_2018)*1000*H61 + AK61) / (AH61*1000)</f>
        <v>0.12173569415409119</v>
      </c>
    </row>
    <row r="62" spans="1:58" hidden="1">
      <c r="A62" t="s">
        <v>110</v>
      </c>
      <c r="B62" t="s">
        <v>80</v>
      </c>
      <c r="C62" t="s">
        <v>308</v>
      </c>
      <c r="D62" t="str">
        <f t="shared" si="12"/>
        <v>Tesoro Hawaii</v>
      </c>
      <c r="E62" t="s">
        <v>100</v>
      </c>
      <c r="F62" t="s">
        <v>100</v>
      </c>
      <c r="G62">
        <v>1990</v>
      </c>
      <c r="H62">
        <v>20</v>
      </c>
      <c r="I62">
        <f>275*inflator_1987</f>
        <v>511.51715764472334</v>
      </c>
      <c r="J62">
        <f>9.4*inflator_1987</f>
        <v>17.484586479492361</v>
      </c>
      <c r="M62">
        <v>2045</v>
      </c>
      <c r="N62">
        <f>MAX(F32:J32)</f>
        <v>20</v>
      </c>
      <c r="O62">
        <v>0</v>
      </c>
      <c r="P62">
        <f>0.5*inflator_1987+56.56*inflator_2018</f>
        <v>55.207046055577777</v>
      </c>
      <c r="Q62">
        <f t="shared" si="17"/>
        <v>0</v>
      </c>
      <c r="R62">
        <f>1-(AH62/(8760*H62))</f>
        <v>0.12397831050228314</v>
      </c>
      <c r="S62" t="str">
        <f t="shared" si="18"/>
        <v>LSFO</v>
      </c>
      <c r="T62" s="32">
        <f t="shared" si="19"/>
        <v>4642.1790603274712</v>
      </c>
      <c r="U62">
        <v>0</v>
      </c>
      <c r="V62">
        <v>1</v>
      </c>
      <c r="W62">
        <v>0</v>
      </c>
      <c r="X62">
        <v>0</v>
      </c>
      <c r="Y62">
        <f t="shared" ref="Y62" si="45">X62</f>
        <v>0</v>
      </c>
      <c r="Z62">
        <v>1</v>
      </c>
      <c r="AA62">
        <v>1</v>
      </c>
      <c r="AB62">
        <v>0</v>
      </c>
      <c r="AC62">
        <v>0</v>
      </c>
      <c r="AD62">
        <v>0</v>
      </c>
      <c r="AF62" t="str">
        <f t="shared" ref="AF62:AF68" si="46">D62</f>
        <v>Tesoro Hawaii</v>
      </c>
      <c r="AG62">
        <f>(14*0.1166+10*0.1168)/24</f>
        <v>0.11668333333333332</v>
      </c>
      <c r="AH62" s="18">
        <f>19768+133711</f>
        <v>153479</v>
      </c>
      <c r="AI62" s="18">
        <f>91767+620710</f>
        <v>712477</v>
      </c>
      <c r="AJ62" s="18">
        <v>12.2312841367921</v>
      </c>
      <c r="AK62">
        <f t="shared" si="40"/>
        <v>17908425.396670055</v>
      </c>
      <c r="AL62" s="22">
        <f t="shared" ref="AL62" si="47">AH62/H62/8760</f>
        <v>0.87602168949771686</v>
      </c>
      <c r="AM62" s="22">
        <f t="shared" ref="AM62" si="48">AI62/AH62</f>
        <v>4.6421790603274715</v>
      </c>
      <c r="AN62" s="50">
        <f t="shared" ref="AN62" si="49">AK62 / (AH62*1000)</f>
        <v>0.11668322960580962</v>
      </c>
      <c r="AO62" s="22">
        <f t="shared" si="44"/>
        <v>0.12102704616335554</v>
      </c>
    </row>
    <row r="63" spans="1:58" hidden="1">
      <c r="A63" t="s">
        <v>110</v>
      </c>
      <c r="B63" t="s">
        <v>80</v>
      </c>
      <c r="C63" t="s">
        <v>84</v>
      </c>
      <c r="D63" t="s">
        <v>273</v>
      </c>
      <c r="G63">
        <v>2011</v>
      </c>
      <c r="H63">
        <v>30</v>
      </c>
      <c r="I63">
        <f t="shared" ref="I63:I68" si="50">PV(0.06, (M63-G63), (AK63 - AG63*1000*AH63))*inflator_2018/(H63*1000)</f>
        <v>6105.4514972309444</v>
      </c>
      <c r="J63">
        <v>48.42</v>
      </c>
      <c r="K63">
        <v>21.681999999999999</v>
      </c>
      <c r="L63">
        <v>-157.976</v>
      </c>
      <c r="M63" s="43">
        <f>G63+30</f>
        <v>2041</v>
      </c>
      <c r="AD63" s="22"/>
      <c r="AE63" s="22"/>
      <c r="AF63" t="str">
        <f t="shared" si="46"/>
        <v>Kahuku wind</v>
      </c>
      <c r="AG63" s="22">
        <v>0.20549999999999999</v>
      </c>
      <c r="AH63" s="49">
        <v>74842</v>
      </c>
      <c r="AI63" s="48"/>
      <c r="AJ63" s="22"/>
      <c r="AK63">
        <f t="shared" si="40"/>
        <v>1513698.8688882324</v>
      </c>
      <c r="AL63" s="22">
        <f>AH63/H63/8760</f>
        <v>0.28478691019786906</v>
      </c>
      <c r="AM63" s="22"/>
      <c r="AN63">
        <f t="shared" ref="AN63:AN64" si="51">AK63 / (AH63*1000)</f>
        <v>2.0225259465116278E-2</v>
      </c>
      <c r="AO63" s="51">
        <f t="shared" si="44"/>
        <v>0.20550000000000004</v>
      </c>
      <c r="AP63" s="22"/>
      <c r="AQ63" s="22"/>
      <c r="AR63" s="23"/>
      <c r="AS63" s="22"/>
      <c r="AT63" s="22"/>
      <c r="AU63" s="23"/>
      <c r="AV63" s="23"/>
      <c r="AW63" s="22"/>
      <c r="AX63" s="24"/>
      <c r="AY63" s="25"/>
      <c r="BF63" s="19"/>
    </row>
    <row r="64" spans="1:58" hidden="1">
      <c r="A64" t="s">
        <v>110</v>
      </c>
      <c r="B64" t="s">
        <v>80</v>
      </c>
      <c r="C64" t="s">
        <v>84</v>
      </c>
      <c r="D64" t="s">
        <v>272</v>
      </c>
      <c r="G64">
        <v>2012</v>
      </c>
      <c r="H64">
        <v>69</v>
      </c>
      <c r="I64">
        <f t="shared" si="50"/>
        <v>4607.7483742581499</v>
      </c>
      <c r="J64">
        <v>48.42</v>
      </c>
      <c r="K64">
        <v>21.62</v>
      </c>
      <c r="L64">
        <v>-158.048</v>
      </c>
      <c r="M64" s="43">
        <f t="shared" ref="M64:M68" si="52">G64+30</f>
        <v>2042</v>
      </c>
      <c r="R64" t="s">
        <v>97</v>
      </c>
      <c r="AF64" t="str">
        <f t="shared" si="46"/>
        <v>Kawailoa wind</v>
      </c>
      <c r="AG64">
        <v>0.219</v>
      </c>
      <c r="AH64" s="18">
        <v>125802</v>
      </c>
      <c r="AI64" s="18"/>
      <c r="AK64">
        <f t="shared" si="40"/>
        <v>3481507.3984429347</v>
      </c>
      <c r="AL64" s="22">
        <f t="shared" ref="AL64" si="53">AH64/H64/8760</f>
        <v>0.20812983918999403</v>
      </c>
      <c r="AM64" s="22"/>
      <c r="AN64">
        <f t="shared" si="51"/>
        <v>2.7674499598121929E-2</v>
      </c>
      <c r="AO64" s="51">
        <f t="shared" si="44"/>
        <v>0.219</v>
      </c>
    </row>
    <row r="65" spans="1:58" hidden="1">
      <c r="A65" t="s">
        <v>110</v>
      </c>
      <c r="B65" t="s">
        <v>80</v>
      </c>
      <c r="C65" t="s">
        <v>3</v>
      </c>
      <c r="D65" s="18" t="s">
        <v>310</v>
      </c>
      <c r="G65">
        <v>2012</v>
      </c>
      <c r="H65">
        <v>1</v>
      </c>
      <c r="I65">
        <f t="shared" si="50"/>
        <v>5570.2165111978165</v>
      </c>
      <c r="J65">
        <v>22.46</v>
      </c>
      <c r="K65">
        <v>21.315926999999999</v>
      </c>
      <c r="L65" s="27">
        <v>-158.105344</v>
      </c>
      <c r="M65" s="43">
        <f>G65+30</f>
        <v>2042</v>
      </c>
      <c r="AF65" t="str">
        <f t="shared" si="46"/>
        <v>Kapolei Solar Energy Park</v>
      </c>
      <c r="AG65">
        <v>0.23599999999999999</v>
      </c>
      <c r="AH65" s="18">
        <v>1886</v>
      </c>
      <c r="AI65" s="18"/>
      <c r="AK65">
        <f t="shared" si="40"/>
        <v>23404.706454102779</v>
      </c>
      <c r="AL65" s="22">
        <f>AH65/H65/8760</f>
        <v>0.21529680365296805</v>
      </c>
      <c r="AM65" s="22"/>
      <c r="AN65">
        <f t="shared" ref="AN65:AN72" si="54">AK65 / (AH65*1000)</f>
        <v>1.2409706497403382E-2</v>
      </c>
      <c r="AO65" s="51">
        <f t="shared" si="44"/>
        <v>0.23600000000000013</v>
      </c>
    </row>
    <row r="66" spans="1:58" hidden="1">
      <c r="A66" t="s">
        <v>110</v>
      </c>
      <c r="B66" t="s">
        <v>80</v>
      </c>
      <c r="C66" t="s">
        <v>3</v>
      </c>
      <c r="D66" s="21" t="s">
        <v>325</v>
      </c>
      <c r="G66">
        <v>2012</v>
      </c>
      <c r="H66">
        <v>1</v>
      </c>
      <c r="I66">
        <f>AVERAGE(I65,I67)</f>
        <v>5640.115915965257</v>
      </c>
      <c r="J66">
        <f>AVERAGE(J65,J67)</f>
        <v>22.46</v>
      </c>
      <c r="K66">
        <v>21.376774999999999</v>
      </c>
      <c r="L66">
        <v>-157.968389</v>
      </c>
      <c r="M66" s="43">
        <f t="shared" ref="M66:M67" si="55">G66+30</f>
        <v>2042</v>
      </c>
      <c r="AH66" s="18"/>
      <c r="AI66" s="18"/>
      <c r="AL66" s="22"/>
      <c r="AM66" s="22"/>
      <c r="AO66" s="51"/>
    </row>
    <row r="67" spans="1:58" hidden="1">
      <c r="A67" t="s">
        <v>110</v>
      </c>
      <c r="B67" t="s">
        <v>80</v>
      </c>
      <c r="C67" t="s">
        <v>3</v>
      </c>
      <c r="D67" s="18" t="s">
        <v>324</v>
      </c>
      <c r="G67">
        <v>2012</v>
      </c>
      <c r="H67">
        <v>5</v>
      </c>
      <c r="I67">
        <f>PV(0.06, (M67-G67), (AK67 - AG67*1000*AH67))*inflator_2018/(H67*1000)</f>
        <v>5710.0153207326975</v>
      </c>
      <c r="J67">
        <v>22.46</v>
      </c>
      <c r="K67">
        <v>21.32</v>
      </c>
      <c r="L67">
        <v>-158.08694399999999</v>
      </c>
      <c r="M67" s="43">
        <f t="shared" si="55"/>
        <v>2042</v>
      </c>
      <c r="AD67" s="22"/>
      <c r="AE67" s="22"/>
      <c r="AF67" t="str">
        <f>D67</f>
        <v>Kalaeloa Solar Two</v>
      </c>
      <c r="AG67" s="22">
        <v>0.21829999999999999</v>
      </c>
      <c r="AH67" s="48">
        <v>10437</v>
      </c>
      <c r="AI67" s="48"/>
      <c r="AJ67" s="22"/>
      <c r="AK67">
        <f>H67*1000*J67/inflator_2018 + AH67*P67/inflator_2018 + AI67*AJ67</f>
        <v>117023.53227051391</v>
      </c>
      <c r="AL67" s="22">
        <f>AH67/H67/8760</f>
        <v>0.23828767123287672</v>
      </c>
      <c r="AM67" s="22"/>
      <c r="AN67">
        <f>AK67 / (AH67*1000)</f>
        <v>1.1212372546758064E-2</v>
      </c>
      <c r="AO67" s="51">
        <f>(PMT(0.06, M67-G67, -I67/inflator_2018)*1000*H67 + AK67) / (AH67*1000)</f>
        <v>0.21830000000000005</v>
      </c>
      <c r="AP67" s="22"/>
      <c r="AQ67" s="22"/>
      <c r="AR67" s="23"/>
      <c r="AS67" s="22"/>
      <c r="AT67" s="22"/>
      <c r="AU67" s="23"/>
      <c r="AV67" s="23"/>
      <c r="AW67" s="22"/>
      <c r="AX67" s="24"/>
      <c r="AY67" s="25"/>
      <c r="BF67" s="19"/>
    </row>
    <row r="68" spans="1:58" hidden="1">
      <c r="A68" t="s">
        <v>110</v>
      </c>
      <c r="B68" t="s">
        <v>80</v>
      </c>
      <c r="C68" t="s">
        <v>3</v>
      </c>
      <c r="D68" s="18" t="s">
        <v>309</v>
      </c>
      <c r="G68">
        <v>2014</v>
      </c>
      <c r="H68">
        <v>5</v>
      </c>
      <c r="I68">
        <f t="shared" si="50"/>
        <v>4475.8182202174949</v>
      </c>
      <c r="J68">
        <v>22.46</v>
      </c>
      <c r="K68">
        <v>21.322825000000002</v>
      </c>
      <c r="L68" s="27">
        <v>-158.044262</v>
      </c>
      <c r="M68" s="43">
        <f t="shared" si="52"/>
        <v>2044</v>
      </c>
      <c r="AF68" t="str">
        <f t="shared" si="46"/>
        <v>Kalaeloa Renewable Energy Park</v>
      </c>
      <c r="AG68">
        <v>0.216</v>
      </c>
      <c r="AH68" s="18">
        <v>8385.2999999999993</v>
      </c>
      <c r="AI68" s="18"/>
      <c r="AK68">
        <f t="shared" si="40"/>
        <v>117023.53227051391</v>
      </c>
      <c r="AL68" s="22">
        <f t="shared" ref="AL68:AL72" si="56">AH68/H68/8760</f>
        <v>0.19144520547945204</v>
      </c>
      <c r="AM68" s="22"/>
      <c r="AN68">
        <f t="shared" si="54"/>
        <v>1.3955795531527069E-2</v>
      </c>
      <c r="AO68" s="51">
        <f t="shared" si="44"/>
        <v>0.21600000000000011</v>
      </c>
    </row>
    <row r="69" spans="1:58" hidden="1">
      <c r="A69" t="s">
        <v>110</v>
      </c>
      <c r="B69" t="s">
        <v>80</v>
      </c>
      <c r="C69" t="s">
        <v>3</v>
      </c>
      <c r="D69" s="21" t="s">
        <v>326</v>
      </c>
      <c r="G69">
        <v>2016</v>
      </c>
      <c r="H69">
        <v>1.5</v>
      </c>
      <c r="I69">
        <f>I$71</f>
        <v>4094.3929048862674</v>
      </c>
      <c r="J69">
        <f>J$71</f>
        <v>22.46</v>
      </c>
      <c r="K69">
        <v>21.468889000000001</v>
      </c>
      <c r="L69">
        <v>-158.016389</v>
      </c>
      <c r="M69" s="43">
        <f t="shared" ref="M69:M72" si="57">G69+30</f>
        <v>2046</v>
      </c>
      <c r="AA69" s="22"/>
      <c r="AB69" s="22"/>
      <c r="AC69" s="22"/>
      <c r="AD69" s="22"/>
      <c r="AE69" s="22"/>
      <c r="AF69" t="str">
        <f t="shared" ref="AF69:AF72" si="58">D69</f>
        <v>Waihonu South Solar</v>
      </c>
      <c r="AG69" s="42">
        <v>0.14499999999999999</v>
      </c>
      <c r="AH69" s="48">
        <v>63455.12</v>
      </c>
      <c r="AI69" s="48"/>
      <c r="AJ69" s="22"/>
      <c r="AK69">
        <f t="shared" ref="AK69:AK72" si="59">H69*1000*J69/inflator_2018 + AH69*P69/inflator_2018 + AI69*AJ69</f>
        <v>35107.059681154169</v>
      </c>
      <c r="AL69" s="22">
        <f t="shared" si="56"/>
        <v>4.8291567732115679</v>
      </c>
      <c r="AM69" s="22"/>
      <c r="AN69">
        <f t="shared" si="54"/>
        <v>5.5325810874133044E-4</v>
      </c>
      <c r="AO69" s="51">
        <f t="shared" ref="AO69:AO72" si="60">(PMT(0.06, M69-G69, -I69/inflator_2018)*1000*H69 + AK69) / (AH69*1000)</f>
        <v>7.880434782608697E-3</v>
      </c>
      <c r="AP69" s="23"/>
      <c r="AQ69" s="22"/>
      <c r="AR69" s="22"/>
      <c r="AS69" s="23"/>
      <c r="AT69" s="23"/>
      <c r="AU69" s="22"/>
      <c r="AV69" s="24"/>
      <c r="AW69" s="25"/>
      <c r="BD69" s="19"/>
    </row>
    <row r="70" spans="1:58" hidden="1">
      <c r="A70" t="s">
        <v>110</v>
      </c>
      <c r="B70" t="s">
        <v>80</v>
      </c>
      <c r="C70" t="s">
        <v>3</v>
      </c>
      <c r="D70" s="21" t="s">
        <v>327</v>
      </c>
      <c r="G70">
        <v>2016</v>
      </c>
      <c r="H70">
        <v>5</v>
      </c>
      <c r="I70">
        <f>I$71</f>
        <v>4094.3929048862674</v>
      </c>
      <c r="J70">
        <f>J$71</f>
        <v>22.46</v>
      </c>
      <c r="K70">
        <v>21.470555999999998</v>
      </c>
      <c r="L70">
        <v>-158.01333299999999</v>
      </c>
      <c r="M70" s="43">
        <f t="shared" si="57"/>
        <v>2046</v>
      </c>
      <c r="AA70" s="22"/>
      <c r="AB70" s="22"/>
      <c r="AC70" s="22"/>
      <c r="AD70" s="22"/>
      <c r="AE70" s="22"/>
      <c r="AF70" t="str">
        <f t="shared" si="58"/>
        <v>Waihonu North Solar</v>
      </c>
      <c r="AG70" s="42">
        <v>0.14499999999999999</v>
      </c>
      <c r="AH70" s="48">
        <v>63455.12</v>
      </c>
      <c r="AI70" s="48"/>
      <c r="AJ70" s="22"/>
      <c r="AK70">
        <f t="shared" si="59"/>
        <v>117023.53227051391</v>
      </c>
      <c r="AL70" s="22">
        <f t="shared" si="56"/>
        <v>1.4487470319634705</v>
      </c>
      <c r="AM70" s="22"/>
      <c r="AN70">
        <f t="shared" si="54"/>
        <v>1.844193695804435E-3</v>
      </c>
      <c r="AO70" s="51">
        <f t="shared" si="60"/>
        <v>2.6268115942028995E-2</v>
      </c>
      <c r="AP70" s="23"/>
      <c r="AQ70" s="22"/>
      <c r="AR70" s="22"/>
      <c r="AS70" s="23"/>
      <c r="AT70" s="23"/>
      <c r="AU70" s="22"/>
      <c r="AV70" s="24"/>
      <c r="AW70" s="25"/>
      <c r="BD70" s="19"/>
    </row>
    <row r="71" spans="1:58" hidden="1">
      <c r="A71" t="s">
        <v>110</v>
      </c>
      <c r="B71" t="s">
        <v>80</v>
      </c>
      <c r="C71" t="s">
        <v>3</v>
      </c>
      <c r="D71" s="18" t="s">
        <v>329</v>
      </c>
      <c r="G71">
        <v>2017</v>
      </c>
      <c r="H71">
        <v>27.6</v>
      </c>
      <c r="I71">
        <f>PV(0.06, (M71-G71), (AK71 - AG71*1000*AH71))*inflator_2018/(H71*1000)</f>
        <v>4094.3929048862674</v>
      </c>
      <c r="J71">
        <v>22.46</v>
      </c>
      <c r="K71">
        <v>21.461945</v>
      </c>
      <c r="L71">
        <v>-158.18927400000001</v>
      </c>
      <c r="M71" s="43">
        <f>G71+30</f>
        <v>2047</v>
      </c>
      <c r="AA71" s="22"/>
      <c r="AB71" s="22"/>
      <c r="AC71" s="22"/>
      <c r="AD71" s="22"/>
      <c r="AE71" s="22"/>
      <c r="AF71" t="str">
        <f>D71</f>
        <v>EE Waianae Solar Project</v>
      </c>
      <c r="AG71" s="42">
        <v>0.14499999999999999</v>
      </c>
      <c r="AH71" s="48">
        <v>63455.12</v>
      </c>
      <c r="AI71" s="48"/>
      <c r="AJ71" s="22"/>
      <c r="AK71">
        <f>H71*1000*J71/inflator_2018 + AH71*P71/inflator_2018 + AI71*AJ71</f>
        <v>645969.8981332368</v>
      </c>
      <c r="AL71" s="22">
        <f>AH71/H71/8760</f>
        <v>0.26245417245715041</v>
      </c>
      <c r="AM71" s="22"/>
      <c r="AN71">
        <f>AK71 / (AH71*1000)</f>
        <v>1.017994920084048E-2</v>
      </c>
      <c r="AO71" s="51">
        <f>(PMT(0.06, M71-G71, -I71/inflator_2018)*1000*H71 + AK71) / (AH71*1000)</f>
        <v>0.14500000000000007</v>
      </c>
      <c r="AP71" s="23"/>
      <c r="AQ71" s="22"/>
      <c r="AR71" s="22"/>
      <c r="AS71" s="23"/>
      <c r="AT71" s="23"/>
      <c r="AU71" s="22"/>
      <c r="AV71" s="24"/>
      <c r="AW71" s="25"/>
      <c r="BD71" s="19"/>
    </row>
    <row r="72" spans="1:58" hidden="1">
      <c r="A72" t="s">
        <v>110</v>
      </c>
      <c r="B72" t="s">
        <v>80</v>
      </c>
      <c r="C72" t="s">
        <v>3</v>
      </c>
      <c r="D72" s="21" t="s">
        <v>328</v>
      </c>
      <c r="G72">
        <v>2017</v>
      </c>
      <c r="H72">
        <v>5</v>
      </c>
      <c r="I72">
        <f>I71</f>
        <v>4094.3929048862674</v>
      </c>
      <c r="J72">
        <f>J71</f>
        <v>22.46</v>
      </c>
      <c r="K72">
        <v>21.406943999999999</v>
      </c>
      <c r="L72">
        <v>-158.15138899999999</v>
      </c>
      <c r="M72" s="43">
        <f t="shared" si="57"/>
        <v>2047</v>
      </c>
      <c r="AA72" s="22"/>
      <c r="AB72" s="22"/>
      <c r="AC72" s="22"/>
      <c r="AD72" s="22"/>
      <c r="AE72" s="22"/>
      <c r="AF72" t="str">
        <f t="shared" si="58"/>
        <v>Aloha Solar Energy Fund 1 PK1</v>
      </c>
      <c r="AG72" s="42">
        <v>0.14499999999999999</v>
      </c>
      <c r="AH72" s="48">
        <v>63455.12</v>
      </c>
      <c r="AI72" s="48"/>
      <c r="AJ72" s="22"/>
      <c r="AK72">
        <f t="shared" si="59"/>
        <v>117023.53227051391</v>
      </c>
      <c r="AL72" s="22">
        <f t="shared" si="56"/>
        <v>1.4487470319634705</v>
      </c>
      <c r="AM72" s="22"/>
      <c r="AN72">
        <f t="shared" si="54"/>
        <v>1.844193695804435E-3</v>
      </c>
      <c r="AO72" s="51">
        <f t="shared" si="60"/>
        <v>2.6268115942028995E-2</v>
      </c>
      <c r="AP72" s="23"/>
      <c r="AQ72" s="22"/>
      <c r="AR72" s="22"/>
      <c r="AS72" s="23"/>
      <c r="AT72" s="23"/>
      <c r="AU72" s="22"/>
      <c r="AV72" s="24"/>
      <c r="AW72" s="25"/>
      <c r="BD72" s="19"/>
    </row>
    <row r="73" spans="1:58" hidden="1">
      <c r="A73" t="s">
        <v>110</v>
      </c>
      <c r="B73" t="s">
        <v>80</v>
      </c>
      <c r="C73" t="s">
        <v>111</v>
      </c>
      <c r="D73" t="str">
        <f>SUBSTITUTE(C73, "_", " ")</f>
        <v>IC Schofield</v>
      </c>
      <c r="E73" t="s">
        <v>100</v>
      </c>
      <c r="F73" t="s">
        <v>100</v>
      </c>
      <c r="G73">
        <v>2018</v>
      </c>
      <c r="H73">
        <v>48.84</v>
      </c>
      <c r="M73" s="43">
        <f>G73+30</f>
        <v>2048</v>
      </c>
      <c r="T73" s="32"/>
      <c r="AF73" t="str">
        <f t="shared" ref="AF73" si="61">D73</f>
        <v>IC Schofield</v>
      </c>
      <c r="AH73" s="53">
        <v>31231</v>
      </c>
      <c r="AI73" s="53">
        <v>272164</v>
      </c>
      <c r="AJ73" s="18"/>
      <c r="AL73" s="22">
        <f t="shared" ref="AL73" si="62">AH73/H73/8760</f>
        <v>7.2997187723215104E-2</v>
      </c>
      <c r="AM73" s="22">
        <f t="shared" ref="AM73" si="63">AI73/AH73</f>
        <v>8.7145464442380973</v>
      </c>
    </row>
    <row r="74" spans="1:58" hidden="1">
      <c r="A74" t="s">
        <v>110</v>
      </c>
      <c r="B74" t="s">
        <v>80</v>
      </c>
      <c r="C74" t="s">
        <v>3</v>
      </c>
      <c r="D74" t="s">
        <v>304</v>
      </c>
      <c r="G74">
        <v>2019</v>
      </c>
      <c r="H74">
        <v>14.7</v>
      </c>
      <c r="K74">
        <v>21.426177150000001</v>
      </c>
      <c r="L74">
        <v>-158.01846026999999</v>
      </c>
      <c r="M74" s="43">
        <f>G74+30</f>
        <v>2049</v>
      </c>
      <c r="AH74" s="18"/>
      <c r="AI74" s="18"/>
    </row>
    <row r="75" spans="1:58" hidden="1">
      <c r="A75" t="s">
        <v>110</v>
      </c>
      <c r="B75" t="s">
        <v>80</v>
      </c>
      <c r="C75" t="s">
        <v>3</v>
      </c>
      <c r="D75" t="s">
        <v>306</v>
      </c>
      <c r="G75">
        <v>2019</v>
      </c>
      <c r="H75">
        <v>20</v>
      </c>
      <c r="K75">
        <v>21.33756</v>
      </c>
      <c r="L75">
        <v>-158.01067900000001</v>
      </c>
      <c r="M75" s="43">
        <f t="shared" ref="M75" si="64">G75+30</f>
        <v>2049</v>
      </c>
      <c r="AH75" s="18"/>
      <c r="AI75" s="18"/>
    </row>
    <row r="76" spans="1:58" hidden="1">
      <c r="A76" t="s">
        <v>110</v>
      </c>
      <c r="B76" t="s">
        <v>80</v>
      </c>
      <c r="C76" t="s">
        <v>3</v>
      </c>
      <c r="D76" t="s">
        <v>305</v>
      </c>
      <c r="G76">
        <v>2019</v>
      </c>
      <c r="H76">
        <v>45.9</v>
      </c>
      <c r="K76">
        <v>21.430603488757999</v>
      </c>
      <c r="L76">
        <v>-157.99464762209999</v>
      </c>
      <c r="M76" s="43">
        <f>G76+30</f>
        <v>2049</v>
      </c>
      <c r="AH76" s="18"/>
      <c r="AI76" s="18"/>
    </row>
    <row r="77" spans="1:58" hidden="1">
      <c r="A77" t="s">
        <v>110</v>
      </c>
      <c r="B77" t="s">
        <v>80</v>
      </c>
      <c r="C77" t="s">
        <v>3</v>
      </c>
      <c r="D77" t="s">
        <v>303</v>
      </c>
      <c r="G77">
        <v>2019</v>
      </c>
      <c r="H77">
        <v>49</v>
      </c>
      <c r="K77">
        <v>21.636347000413998</v>
      </c>
      <c r="L77">
        <v>-158.0607533454</v>
      </c>
      <c r="M77" s="43">
        <f>G77+30</f>
        <v>2049</v>
      </c>
      <c r="AH77" s="18"/>
      <c r="AI77" s="18"/>
    </row>
    <row r="78" spans="1:58">
      <c r="A78" t="s">
        <v>110</v>
      </c>
      <c r="B78" t="s">
        <v>80</v>
      </c>
      <c r="C78" t="s">
        <v>139</v>
      </c>
      <c r="D78" t="s">
        <v>302</v>
      </c>
      <c r="G78">
        <f>A101</f>
        <v>2013</v>
      </c>
      <c r="H78">
        <f>F101</f>
        <v>70.209999999999994</v>
      </c>
      <c r="I78">
        <v>6126.9115598461467</v>
      </c>
      <c r="J78">
        <v>0</v>
      </c>
      <c r="M78" s="43"/>
      <c r="AH78" s="18"/>
      <c r="AI78" s="18"/>
    </row>
    <row r="79" spans="1:58">
      <c r="A79" t="s">
        <v>110</v>
      </c>
      <c r="B79" t="s">
        <v>80</v>
      </c>
      <c r="C79" t="s">
        <v>139</v>
      </c>
      <c r="D79" t="s">
        <v>302</v>
      </c>
      <c r="G79">
        <f>A102</f>
        <v>2014</v>
      </c>
      <c r="H79">
        <f>F102</f>
        <v>73.440000000000012</v>
      </c>
      <c r="I79">
        <v>6126.9115598461467</v>
      </c>
      <c r="J79">
        <v>0</v>
      </c>
      <c r="M79" s="43"/>
      <c r="AH79" s="18"/>
      <c r="AI79" s="18"/>
    </row>
    <row r="80" spans="1:58">
      <c r="A80" t="s">
        <v>110</v>
      </c>
      <c r="B80" t="s">
        <v>80</v>
      </c>
      <c r="C80" t="s">
        <v>139</v>
      </c>
      <c r="D80" t="s">
        <v>302</v>
      </c>
      <c r="G80">
        <f>A103</f>
        <v>2015</v>
      </c>
      <c r="H80">
        <f>F103</f>
        <v>45.960000000000008</v>
      </c>
      <c r="I80">
        <v>6126.9115598461467</v>
      </c>
      <c r="J80">
        <v>0</v>
      </c>
      <c r="M80" s="43"/>
      <c r="AH80" s="18"/>
      <c r="AI80" s="18"/>
    </row>
    <row r="81" spans="1:35">
      <c r="A81" t="s">
        <v>110</v>
      </c>
      <c r="B81" t="s">
        <v>80</v>
      </c>
      <c r="C81" t="s">
        <v>139</v>
      </c>
      <c r="D81" t="s">
        <v>302</v>
      </c>
      <c r="G81">
        <f>A104</f>
        <v>2016</v>
      </c>
      <c r="H81">
        <f>F104</f>
        <v>26.47999999999999</v>
      </c>
      <c r="I81">
        <v>6126.9115598461467</v>
      </c>
      <c r="J81">
        <v>0</v>
      </c>
      <c r="M81" s="43"/>
      <c r="AH81" s="18"/>
      <c r="AI81" s="18"/>
    </row>
    <row r="82" spans="1:35">
      <c r="A82" t="s">
        <v>110</v>
      </c>
      <c r="B82" t="s">
        <v>80</v>
      </c>
      <c r="C82" t="s">
        <v>139</v>
      </c>
      <c r="D82" t="s">
        <v>302</v>
      </c>
      <c r="G82">
        <f>A105</f>
        <v>2017</v>
      </c>
      <c r="H82">
        <f>F105</f>
        <v>34.620000000000005</v>
      </c>
      <c r="I82">
        <v>6126.9115598461467</v>
      </c>
      <c r="J82">
        <v>0</v>
      </c>
      <c r="M82" s="43"/>
      <c r="AH82" s="18"/>
      <c r="AI82" s="18"/>
    </row>
    <row r="83" spans="1:35">
      <c r="A83" t="s">
        <v>110</v>
      </c>
      <c r="B83" t="s">
        <v>80</v>
      </c>
      <c r="C83" t="s">
        <v>139</v>
      </c>
      <c r="D83" t="s">
        <v>302</v>
      </c>
      <c r="G83">
        <f>A106</f>
        <v>2018</v>
      </c>
      <c r="H83">
        <f>F106</f>
        <v>20.370000000000033</v>
      </c>
      <c r="M83" s="43"/>
      <c r="AH83" s="18"/>
      <c r="AI83" s="18"/>
    </row>
    <row r="84" spans="1:35">
      <c r="A84" t="s">
        <v>110</v>
      </c>
      <c r="B84" t="s">
        <v>80</v>
      </c>
      <c r="C84" t="s">
        <v>139</v>
      </c>
      <c r="D84" t="s">
        <v>302</v>
      </c>
      <c r="G84">
        <f>A107</f>
        <v>2019</v>
      </c>
      <c r="H84">
        <f>F107</f>
        <v>16.739999999999952</v>
      </c>
      <c r="M84" s="43"/>
      <c r="AH84" s="18"/>
      <c r="AI84" s="18"/>
    </row>
    <row r="85" spans="1:35">
      <c r="A85" t="s">
        <v>110</v>
      </c>
      <c r="B85" t="s">
        <v>80</v>
      </c>
      <c r="C85" t="s">
        <v>139</v>
      </c>
      <c r="D85" t="s">
        <v>302</v>
      </c>
      <c r="G85">
        <f>A108</f>
        <v>2020</v>
      </c>
      <c r="H85">
        <f>F108</f>
        <v>15.480000000000018</v>
      </c>
      <c r="M85" s="43"/>
      <c r="AH85" s="18"/>
      <c r="AI85" s="18"/>
    </row>
    <row r="86" spans="1:35">
      <c r="A86" t="s">
        <v>110</v>
      </c>
      <c r="B86" t="s">
        <v>80</v>
      </c>
      <c r="C86" t="s">
        <v>140</v>
      </c>
      <c r="D86" t="s">
        <v>301</v>
      </c>
      <c r="G86">
        <f>A101</f>
        <v>2013</v>
      </c>
      <c r="H86">
        <f>G101</f>
        <v>48.790000000000006</v>
      </c>
      <c r="I86">
        <v>4207.70870974221</v>
      </c>
      <c r="J86">
        <v>0</v>
      </c>
      <c r="M86" s="43"/>
      <c r="AH86" s="18"/>
      <c r="AI86" s="18"/>
    </row>
    <row r="87" spans="1:35">
      <c r="A87" t="s">
        <v>110</v>
      </c>
      <c r="B87" t="s">
        <v>80</v>
      </c>
      <c r="C87" t="s">
        <v>140</v>
      </c>
      <c r="D87" t="s">
        <v>301</v>
      </c>
      <c r="G87">
        <f>A102</f>
        <v>2014</v>
      </c>
      <c r="H87">
        <f>G102</f>
        <v>28.559999999999988</v>
      </c>
      <c r="I87">
        <v>4207.70870974221</v>
      </c>
      <c r="J87">
        <v>0</v>
      </c>
      <c r="M87" s="43"/>
      <c r="AH87" s="18"/>
      <c r="AI87" s="18"/>
    </row>
    <row r="88" spans="1:35">
      <c r="A88" t="s">
        <v>110</v>
      </c>
      <c r="B88" t="s">
        <v>80</v>
      </c>
      <c r="C88" t="s">
        <v>140</v>
      </c>
      <c r="D88" t="s">
        <v>301</v>
      </c>
      <c r="G88">
        <f>A103</f>
        <v>2015</v>
      </c>
      <c r="H88">
        <f>G103</f>
        <v>16.039999999999992</v>
      </c>
      <c r="I88">
        <v>4207.70870974221</v>
      </c>
      <c r="J88">
        <v>0</v>
      </c>
      <c r="M88" s="43"/>
      <c r="AH88" s="18"/>
      <c r="AI88" s="18"/>
    </row>
    <row r="89" spans="1:35">
      <c r="A89" t="s">
        <v>110</v>
      </c>
      <c r="B89" t="s">
        <v>80</v>
      </c>
      <c r="C89" t="s">
        <v>140</v>
      </c>
      <c r="D89" t="s">
        <v>301</v>
      </c>
      <c r="G89">
        <f>A104</f>
        <v>2016</v>
      </c>
      <c r="H89">
        <f>G104</f>
        <v>33.52000000000001</v>
      </c>
      <c r="I89">
        <v>4207.70870974221</v>
      </c>
      <c r="J89">
        <v>0</v>
      </c>
      <c r="M89" s="43"/>
      <c r="AH89" s="18"/>
      <c r="AI89" s="18"/>
    </row>
    <row r="90" spans="1:35">
      <c r="A90" t="s">
        <v>110</v>
      </c>
      <c r="B90" t="s">
        <v>80</v>
      </c>
      <c r="C90" t="s">
        <v>140</v>
      </c>
      <c r="D90" t="s">
        <v>301</v>
      </c>
      <c r="G90">
        <f>A105</f>
        <v>2017</v>
      </c>
      <c r="H90">
        <f>G105</f>
        <v>33.379999999999995</v>
      </c>
      <c r="I90">
        <v>4207.70870974221</v>
      </c>
      <c r="J90">
        <v>0</v>
      </c>
      <c r="M90" s="43"/>
      <c r="AH90" s="18"/>
      <c r="AI90" s="18"/>
    </row>
    <row r="91" spans="1:35">
      <c r="A91" t="s">
        <v>110</v>
      </c>
      <c r="B91" t="s">
        <v>80</v>
      </c>
      <c r="C91" t="s">
        <v>140</v>
      </c>
      <c r="D91" t="s">
        <v>301</v>
      </c>
      <c r="G91">
        <f>A106</f>
        <v>2018</v>
      </c>
      <c r="H91">
        <f>G106</f>
        <v>70.63</v>
      </c>
      <c r="M91" s="43"/>
      <c r="AH91" s="18"/>
      <c r="AI91" s="18"/>
    </row>
    <row r="92" spans="1:35">
      <c r="A92" t="s">
        <v>110</v>
      </c>
      <c r="B92" t="s">
        <v>80</v>
      </c>
      <c r="C92" t="s">
        <v>140</v>
      </c>
      <c r="D92" t="s">
        <v>301</v>
      </c>
      <c r="G92">
        <f>A107</f>
        <v>2019</v>
      </c>
      <c r="H92">
        <f>G107</f>
        <v>14.259999999999991</v>
      </c>
      <c r="M92" s="43"/>
      <c r="AH92" s="18"/>
      <c r="AI92" s="18"/>
    </row>
    <row r="93" spans="1:35">
      <c r="A93" t="s">
        <v>110</v>
      </c>
      <c r="B93" t="s">
        <v>80</v>
      </c>
      <c r="C93" t="s">
        <v>140</v>
      </c>
      <c r="D93" t="s">
        <v>301</v>
      </c>
      <c r="G93">
        <f>A108</f>
        <v>2020</v>
      </c>
      <c r="H93">
        <f>G108</f>
        <v>125.52000000000007</v>
      </c>
      <c r="M93" s="43"/>
      <c r="AH93" s="18"/>
      <c r="AI93" s="18"/>
    </row>
    <row r="94" spans="1:35">
      <c r="M94" s="43"/>
      <c r="AH94" s="18"/>
      <c r="AI94" s="18"/>
    </row>
    <row r="95" spans="1:35">
      <c r="M95" s="43"/>
      <c r="AH95" s="18"/>
      <c r="AI95" s="18"/>
    </row>
    <row r="96" spans="1:35">
      <c r="A96" t="s">
        <v>330</v>
      </c>
      <c r="M96" s="43"/>
      <c r="AH96" s="18"/>
      <c r="AI96" s="18"/>
    </row>
    <row r="97" spans="1:35">
      <c r="A97" t="s">
        <v>317</v>
      </c>
      <c r="M97" s="43"/>
      <c r="AH97" s="18"/>
      <c r="AI97" s="18"/>
    </row>
    <row r="98" spans="1:35">
      <c r="A98" t="s">
        <v>318</v>
      </c>
      <c r="M98" s="43"/>
      <c r="AH98" s="18"/>
      <c r="AI98" s="18"/>
    </row>
    <row r="99" spans="1:35">
      <c r="J99" t="s">
        <v>334</v>
      </c>
      <c r="M99" s="43"/>
      <c r="AH99" s="18"/>
      <c r="AI99" s="18"/>
    </row>
    <row r="100" spans="1:35">
      <c r="A100" t="s">
        <v>331</v>
      </c>
      <c r="B100" t="s">
        <v>332</v>
      </c>
      <c r="C100" t="s">
        <v>319</v>
      </c>
      <c r="D100" t="s">
        <v>321</v>
      </c>
      <c r="E100" t="s">
        <v>320</v>
      </c>
      <c r="F100" t="s">
        <v>322</v>
      </c>
      <c r="G100" t="s">
        <v>323</v>
      </c>
      <c r="J100" t="s">
        <v>333</v>
      </c>
      <c r="K100" t="s">
        <v>319</v>
      </c>
      <c r="L100" t="s">
        <v>321</v>
      </c>
      <c r="M100" t="s">
        <v>320</v>
      </c>
      <c r="AH100" s="18"/>
      <c r="AI100" s="18"/>
    </row>
    <row r="101" spans="1:35">
      <c r="A101">
        <f>B101+1</f>
        <v>2013</v>
      </c>
      <c r="B101">
        <v>2012</v>
      </c>
      <c r="C101">
        <v>119</v>
      </c>
      <c r="D101">
        <v>0.59</v>
      </c>
      <c r="E101">
        <f t="shared" ref="E101:E107" si="65">1-D101</f>
        <v>0.41000000000000003</v>
      </c>
      <c r="F101">
        <f>D101*$C101</f>
        <v>70.209999999999994</v>
      </c>
      <c r="G101">
        <f>E101*$C101</f>
        <v>48.790000000000006</v>
      </c>
      <c r="J101">
        <v>2012</v>
      </c>
      <c r="K101">
        <v>90.6</v>
      </c>
      <c r="L101">
        <v>0.59</v>
      </c>
      <c r="M101">
        <v>0.41</v>
      </c>
      <c r="AH101" s="18"/>
      <c r="AI101" s="18"/>
    </row>
    <row r="102" spans="1:35">
      <c r="A102">
        <f t="shared" ref="A102:A108" si="66">B102+1</f>
        <v>2014</v>
      </c>
      <c r="B102">
        <v>2013</v>
      </c>
      <c r="C102">
        <v>221</v>
      </c>
      <c r="D102">
        <v>0.65</v>
      </c>
      <c r="E102">
        <f t="shared" si="65"/>
        <v>0.35</v>
      </c>
      <c r="F102">
        <f>D102*$C102-D101*$C101</f>
        <v>73.440000000000012</v>
      </c>
      <c r="G102">
        <f>E102*$C102-E101*$C101</f>
        <v>28.559999999999988</v>
      </c>
      <c r="J102">
        <v>2013</v>
      </c>
      <c r="K102">
        <v>170</v>
      </c>
      <c r="L102">
        <v>0.65</v>
      </c>
      <c r="M102">
        <v>0.35</v>
      </c>
      <c r="AH102" s="18"/>
      <c r="AI102" s="18"/>
    </row>
    <row r="103" spans="1:35">
      <c r="A103">
        <f t="shared" si="66"/>
        <v>2015</v>
      </c>
      <c r="B103">
        <v>2014</v>
      </c>
      <c r="C103">
        <v>283</v>
      </c>
      <c r="D103">
        <v>0.67</v>
      </c>
      <c r="E103">
        <f t="shared" si="65"/>
        <v>0.32999999999999996</v>
      </c>
      <c r="F103">
        <f>D103*$C103-D102*$C102</f>
        <v>45.960000000000008</v>
      </c>
      <c r="G103">
        <f>E103*$C103-E102*$C102</f>
        <v>16.039999999999992</v>
      </c>
      <c r="J103">
        <v>2014</v>
      </c>
      <c r="K103">
        <v>254</v>
      </c>
      <c r="L103">
        <v>0.67</v>
      </c>
      <c r="M103">
        <v>0.33</v>
      </c>
      <c r="AH103" s="18"/>
      <c r="AI103" s="18"/>
    </row>
    <row r="104" spans="1:35">
      <c r="A104">
        <f t="shared" si="66"/>
        <v>2016</v>
      </c>
      <c r="B104">
        <v>2015</v>
      </c>
      <c r="C104">
        <v>343</v>
      </c>
      <c r="D104">
        <v>0.63</v>
      </c>
      <c r="E104">
        <f t="shared" si="65"/>
        <v>0.37</v>
      </c>
      <c r="F104">
        <f>D104*$C104-D103*$C103</f>
        <v>26.47999999999999</v>
      </c>
      <c r="G104">
        <f>E104*$C104-E103*$C103</f>
        <v>33.52000000000001</v>
      </c>
      <c r="J104">
        <v>2015</v>
      </c>
      <c r="K104">
        <v>310</v>
      </c>
      <c r="L104">
        <v>0.64</v>
      </c>
      <c r="M104">
        <v>0.36</v>
      </c>
      <c r="AH104" s="18"/>
      <c r="AI104" s="18"/>
    </row>
    <row r="105" spans="1:35">
      <c r="A105">
        <f t="shared" si="66"/>
        <v>2017</v>
      </c>
      <c r="B105">
        <v>2016</v>
      </c>
      <c r="C105">
        <v>411</v>
      </c>
      <c r="D105">
        <v>0.61</v>
      </c>
      <c r="E105">
        <f t="shared" si="65"/>
        <v>0.39</v>
      </c>
      <c r="F105">
        <f>D105*$C105-D104*$C104</f>
        <v>34.620000000000005</v>
      </c>
      <c r="G105">
        <f>E105*$C105-E104*$C104</f>
        <v>33.379999999999995</v>
      </c>
      <c r="J105">
        <v>2016</v>
      </c>
      <c r="K105">
        <v>371</v>
      </c>
      <c r="L105">
        <v>0.64</v>
      </c>
      <c r="M105">
        <v>0.36</v>
      </c>
      <c r="AH105" s="18"/>
      <c r="AI105" s="18"/>
    </row>
    <row r="106" spans="1:35">
      <c r="A106">
        <f t="shared" si="66"/>
        <v>2018</v>
      </c>
      <c r="B106">
        <v>2017</v>
      </c>
      <c r="C106">
        <v>502</v>
      </c>
      <c r="D106">
        <v>0.54</v>
      </c>
      <c r="E106">
        <f t="shared" si="65"/>
        <v>0.45999999999999996</v>
      </c>
      <c r="F106">
        <f>D106*$C106-D105*$C105</f>
        <v>20.370000000000033</v>
      </c>
      <c r="G106">
        <f>E106*$C106-E105*$C105</f>
        <v>70.63</v>
      </c>
      <c r="J106">
        <v>2017</v>
      </c>
      <c r="K106">
        <v>480</v>
      </c>
      <c r="L106">
        <v>0.55000000000000004</v>
      </c>
      <c r="M106">
        <v>0.45</v>
      </c>
      <c r="AH106" s="18"/>
      <c r="AI106" s="18"/>
    </row>
    <row r="107" spans="1:35">
      <c r="A107">
        <f t="shared" si="66"/>
        <v>2019</v>
      </c>
      <c r="B107">
        <v>2018</v>
      </c>
      <c r="C107">
        <v>533</v>
      </c>
      <c r="D107">
        <v>0.54</v>
      </c>
      <c r="E107">
        <f t="shared" si="65"/>
        <v>0.45999999999999996</v>
      </c>
      <c r="F107">
        <f>D107*$C107-D106*$C106</f>
        <v>16.739999999999952</v>
      </c>
      <c r="G107">
        <f>E107*$C107-E106*$C106</f>
        <v>14.259999999999991</v>
      </c>
      <c r="J107">
        <v>2018</v>
      </c>
      <c r="K107">
        <v>519</v>
      </c>
      <c r="L107">
        <v>0.54</v>
      </c>
      <c r="M107">
        <v>0.46</v>
      </c>
      <c r="AH107" s="18"/>
      <c r="AI107" s="18"/>
    </row>
    <row r="108" spans="1:35">
      <c r="A108">
        <f t="shared" si="66"/>
        <v>2020</v>
      </c>
      <c r="B108">
        <v>2019</v>
      </c>
      <c r="C108">
        <v>674</v>
      </c>
      <c r="D108">
        <v>0.45</v>
      </c>
      <c r="E108">
        <f>1-D108</f>
        <v>0.55000000000000004</v>
      </c>
      <c r="F108">
        <f>D108*$C108-D107*$C107</f>
        <v>15.480000000000018</v>
      </c>
      <c r="G108">
        <f>E108*$C108-E107*$C107</f>
        <v>125.52000000000007</v>
      </c>
      <c r="J108">
        <v>2019</v>
      </c>
      <c r="K108">
        <v>547</v>
      </c>
      <c r="L108">
        <v>0.54</v>
      </c>
      <c r="M108">
        <v>0.46</v>
      </c>
      <c r="AH108" s="18"/>
      <c r="AI108" s="18"/>
    </row>
    <row r="109" spans="1:35">
      <c r="M109" s="43"/>
      <c r="AH109" s="18"/>
      <c r="AI109" s="18"/>
    </row>
    <row r="110" spans="1:35">
      <c r="M110" s="43"/>
      <c r="AH110" s="18"/>
      <c r="AI110" s="18"/>
    </row>
    <row r="111" spans="1:35">
      <c r="M111" s="43"/>
      <c r="AH111" s="18"/>
      <c r="AI111" s="18"/>
    </row>
    <row r="112" spans="1:35">
      <c r="M112" s="43"/>
      <c r="AH112" s="18"/>
      <c r="AI112" s="18"/>
    </row>
    <row r="113" spans="1:35">
      <c r="AH113" s="18"/>
      <c r="AI113" s="18"/>
    </row>
    <row r="114" spans="1:35">
      <c r="A114" t="s">
        <v>316</v>
      </c>
      <c r="AH114" s="18"/>
      <c r="AI114" s="18"/>
    </row>
    <row r="115" spans="1:35">
      <c r="A115" t="s">
        <v>110</v>
      </c>
      <c r="B115" t="s">
        <v>80</v>
      </c>
      <c r="C115" t="s">
        <v>3</v>
      </c>
      <c r="D115" t="s">
        <v>315</v>
      </c>
      <c r="G115">
        <v>2020</v>
      </c>
      <c r="H115">
        <v>3.5</v>
      </c>
      <c r="AH115" s="18"/>
      <c r="AI115" s="18"/>
    </row>
    <row r="116" spans="1:35">
      <c r="A116" t="s">
        <v>110</v>
      </c>
      <c r="B116" t="s">
        <v>80</v>
      </c>
      <c r="C116" t="s">
        <v>3</v>
      </c>
      <c r="D116" t="s">
        <v>314</v>
      </c>
      <c r="G116">
        <v>2020</v>
      </c>
      <c r="H116">
        <v>5</v>
      </c>
      <c r="K116">
        <v>21.3035</v>
      </c>
      <c r="L116">
        <v>-158.0598</v>
      </c>
    </row>
    <row r="118" spans="1:35">
      <c r="A118" t="s">
        <v>135</v>
      </c>
      <c r="K118" s="27"/>
    </row>
    <row r="119" spans="1:35">
      <c r="A119" s="18" t="s">
        <v>131</v>
      </c>
      <c r="E119" t="s">
        <v>128</v>
      </c>
      <c r="K119" s="27"/>
    </row>
    <row r="120" spans="1:35" ht="136">
      <c r="A120" s="33" t="s">
        <v>124</v>
      </c>
      <c r="B120" s="33" t="s">
        <v>119</v>
      </c>
      <c r="C120" s="33" t="s">
        <v>120</v>
      </c>
      <c r="D120" s="33" t="s">
        <v>121</v>
      </c>
      <c r="E120" s="33" t="s">
        <v>122</v>
      </c>
      <c r="F120" s="33" t="s">
        <v>123</v>
      </c>
      <c r="G120" s="33"/>
      <c r="H120" s="33" t="s">
        <v>127</v>
      </c>
      <c r="I120" s="33" t="s">
        <v>134</v>
      </c>
      <c r="K120" s="27"/>
    </row>
    <row r="121" spans="1:35">
      <c r="A121">
        <v>2016</v>
      </c>
      <c r="B121" t="e">
        <f>#REF!</f>
        <v>#REF!</v>
      </c>
      <c r="C121">
        <v>0</v>
      </c>
      <c r="D121" s="27" t="e">
        <f t="shared" ref="D121:D128" si="67">SUM(B121:C121)</f>
        <v>#REF!</v>
      </c>
      <c r="E121">
        <v>0</v>
      </c>
      <c r="H121">
        <v>471</v>
      </c>
      <c r="I121">
        <v>400</v>
      </c>
      <c r="K121" s="18" t="s">
        <v>133</v>
      </c>
    </row>
    <row r="122" spans="1:35">
      <c r="A122">
        <v>2020</v>
      </c>
      <c r="B122" s="27">
        <v>606.29999999999995</v>
      </c>
      <c r="C122">
        <v>0</v>
      </c>
      <c r="D122" s="27">
        <f t="shared" si="67"/>
        <v>606.29999999999995</v>
      </c>
      <c r="E122">
        <v>0</v>
      </c>
      <c r="F122" t="e">
        <f>D122-D121+E122</f>
        <v>#REF!</v>
      </c>
      <c r="H122">
        <v>856</v>
      </c>
      <c r="I122">
        <v>600</v>
      </c>
      <c r="K122" s="21" t="e">
        <f t="shared" ref="K122:K128" si="68">"("&amp;A122&amp;", "&amp;CHAR(34)&amp;"DistPV"&amp;CHAR(34)&amp;", "&amp;F122&amp;"),"</f>
        <v>#REF!</v>
      </c>
    </row>
    <row r="123" spans="1:35">
      <c r="A123">
        <v>2022</v>
      </c>
      <c r="B123" s="27">
        <v>606.29999999999995</v>
      </c>
      <c r="C123">
        <v>74</v>
      </c>
      <c r="D123" s="27">
        <f t="shared" si="67"/>
        <v>680.3</v>
      </c>
      <c r="E123">
        <v>0</v>
      </c>
      <c r="F123">
        <f t="shared" ref="F123:F128" si="69">D123-D122+E123</f>
        <v>74</v>
      </c>
      <c r="K123" s="21" t="str">
        <f t="shared" si="68"/>
        <v>(2022, "DistPV", 74),</v>
      </c>
    </row>
    <row r="124" spans="1:35">
      <c r="A124">
        <v>2025</v>
      </c>
      <c r="B124" s="27">
        <v>606.29999999999995</v>
      </c>
      <c r="C124">
        <v>138.6</v>
      </c>
      <c r="D124" s="27">
        <f t="shared" si="67"/>
        <v>744.9</v>
      </c>
      <c r="E124">
        <v>0</v>
      </c>
      <c r="F124">
        <f t="shared" si="69"/>
        <v>64.600000000000023</v>
      </c>
      <c r="H124">
        <v>1169</v>
      </c>
      <c r="I124">
        <v>720</v>
      </c>
      <c r="K124" s="21" t="str">
        <f t="shared" si="68"/>
        <v>(2025, "DistPV", 64.6),</v>
      </c>
    </row>
    <row r="125" spans="1:35">
      <c r="A125">
        <v>2030</v>
      </c>
      <c r="B125" s="27">
        <v>606.29999999999995</v>
      </c>
      <c r="C125">
        <v>262.39999999999998</v>
      </c>
      <c r="D125" s="27">
        <f t="shared" si="67"/>
        <v>868.69999999999993</v>
      </c>
      <c r="E125">
        <v>0</v>
      </c>
      <c r="F125">
        <f t="shared" si="69"/>
        <v>123.79999999999995</v>
      </c>
      <c r="I125">
        <v>865</v>
      </c>
      <c r="K125" s="21" t="str">
        <f t="shared" si="68"/>
        <v>(2030, "DistPV", 123.8),</v>
      </c>
    </row>
    <row r="126" spans="1:35">
      <c r="A126">
        <v>2035</v>
      </c>
      <c r="B126" s="27">
        <v>606.29999999999995</v>
      </c>
      <c r="C126">
        <v>409.1</v>
      </c>
      <c r="D126" s="27">
        <f t="shared" si="67"/>
        <v>1015.4</v>
      </c>
      <c r="E126">
        <v>0</v>
      </c>
      <c r="F126">
        <f t="shared" si="69"/>
        <v>146.70000000000005</v>
      </c>
      <c r="I126">
        <v>1020</v>
      </c>
      <c r="K126" s="21" t="str">
        <f t="shared" si="68"/>
        <v>(2035, "DistPV", 146.7),</v>
      </c>
    </row>
    <row r="127" spans="1:35">
      <c r="A127">
        <v>2040</v>
      </c>
      <c r="B127" s="27">
        <v>606.29999999999995</v>
      </c>
      <c r="C127">
        <v>557.1</v>
      </c>
      <c r="D127" s="27">
        <f t="shared" si="67"/>
        <v>1163.4000000000001</v>
      </c>
      <c r="E127" s="18" t="e">
        <f>F122</f>
        <v>#REF!</v>
      </c>
      <c r="F127" t="e">
        <f t="shared" si="69"/>
        <v>#REF!</v>
      </c>
      <c r="H127">
        <v>1517</v>
      </c>
      <c r="I127">
        <v>1160</v>
      </c>
      <c r="K127" s="21" t="e">
        <f t="shared" si="68"/>
        <v>#REF!</v>
      </c>
    </row>
    <row r="128" spans="1:35">
      <c r="A128">
        <v>2045</v>
      </c>
      <c r="B128" s="27">
        <v>606.29999999999995</v>
      </c>
      <c r="C128">
        <v>701.6</v>
      </c>
      <c r="D128" s="27">
        <f t="shared" si="67"/>
        <v>1307.9000000000001</v>
      </c>
      <c r="E128" s="18">
        <f>F123+F124</f>
        <v>138.60000000000002</v>
      </c>
      <c r="F128">
        <f t="shared" si="69"/>
        <v>283.10000000000002</v>
      </c>
      <c r="H128">
        <v>1697</v>
      </c>
      <c r="I128">
        <v>1300</v>
      </c>
      <c r="K128" s="21" t="str">
        <f t="shared" si="68"/>
        <v>(2045, "DistPV", 283.1),</v>
      </c>
    </row>
    <row r="129" spans="1:11">
      <c r="B129" s="27"/>
      <c r="D129" s="27"/>
      <c r="E129" s="18"/>
      <c r="K129" s="27"/>
    </row>
    <row r="130" spans="1:11">
      <c r="A130" s="18" t="s">
        <v>129</v>
      </c>
      <c r="B130" s="27"/>
      <c r="D130" s="27"/>
      <c r="E130" s="18"/>
      <c r="K130" s="27"/>
    </row>
    <row r="131" spans="1:11">
      <c r="A131" t="str">
        <f>"("&amp;G63&amp;", "&amp;CHAR(34)&amp;C63&amp;CHAR(34)&amp;", "&amp;H63&amp;"),"</f>
        <v>(2011, "OnshoreWind", 30),</v>
      </c>
      <c r="B131" s="27"/>
      <c r="D131" s="27"/>
      <c r="E131" s="18"/>
      <c r="K131" s="27"/>
    </row>
    <row r="132" spans="1:11">
      <c r="A132" t="str">
        <f>"("&amp;G64&amp;", "&amp;CHAR(34)&amp;C64&amp;CHAR(34)&amp;", "&amp;H64&amp;"),"</f>
        <v>(2012, "OnshoreWind", 69),</v>
      </c>
      <c r="B132" s="27"/>
      <c r="D132" s="27"/>
      <c r="K132" s="27"/>
    </row>
    <row r="133" spans="1:11">
      <c r="A133" t="str">
        <f>"("&amp;G67&amp;", "&amp;CHAR(34)&amp;C67&amp;CHAR(34)&amp;", "&amp;H67&amp;"),"</f>
        <v>(2012, "CentralTrackingPV", 5),</v>
      </c>
      <c r="B133" s="27"/>
      <c r="D133" s="27"/>
      <c r="K133" s="27"/>
    </row>
    <row r="134" spans="1:11">
      <c r="A134" t="str">
        <f>"("&amp;G71&amp;", "&amp;CHAR(34)&amp;C71&amp;CHAR(34)&amp;", "&amp;H71&amp;"),"</f>
        <v>(2017, "CentralTrackingPV", 27.6),</v>
      </c>
      <c r="B134" s="27"/>
      <c r="D134" s="27"/>
      <c r="K134" s="27"/>
    </row>
    <row r="135" spans="1:11">
      <c r="A135" t="e">
        <f>"("&amp;#REF!&amp;", "&amp;CHAR(34)&amp;#REF!&amp;CHAR(34)&amp;", "&amp;#REF!&amp;"),"</f>
        <v>#REF!</v>
      </c>
      <c r="B135" s="27"/>
      <c r="D135" s="27"/>
      <c r="K135" s="27"/>
    </row>
    <row r="136" spans="1:11">
      <c r="A136" t="str">
        <f>"("&amp;G73&amp;", "&amp;CHAR(34)&amp;C73&amp;CHAR(34)&amp;", "&amp;H73&amp;"),"</f>
        <v>(2018, "IC_Schofield", 48.84),</v>
      </c>
      <c r="B136" s="27"/>
      <c r="D136" s="27"/>
      <c r="K136" s="27"/>
    </row>
    <row r="137" spans="1:11">
      <c r="A137" t="str">
        <f>"("&amp;G77&amp;", "&amp;CHAR(34)&amp;C77&amp;CHAR(34)&amp;", "&amp;H77&amp;"),"</f>
        <v>(2019, "CentralTrackingPV", 49),</v>
      </c>
      <c r="B137" s="27"/>
      <c r="D137" s="27"/>
      <c r="K137" s="27"/>
    </row>
    <row r="138" spans="1:11">
      <c r="A138" t="str">
        <f>"("&amp;G74&amp;", "&amp;CHAR(34)&amp;C74&amp;CHAR(34)&amp;", "&amp;H74&amp;"),"</f>
        <v>(2019, "CentralTrackingPV", 14.7),</v>
      </c>
      <c r="B138" s="27"/>
      <c r="D138" s="27"/>
      <c r="K138" s="27"/>
    </row>
    <row r="139" spans="1:11">
      <c r="A139" t="str">
        <f>"("&amp;G76&amp;", "&amp;CHAR(34)&amp;C76&amp;CHAR(34)&amp;", "&amp;H76&amp;"),"</f>
        <v>(2019, "CentralTrackingPV", 45.9),</v>
      </c>
      <c r="B139" s="27"/>
      <c r="D139" s="27"/>
      <c r="E139" s="18"/>
      <c r="K139" s="27"/>
    </row>
    <row r="140" spans="1:11">
      <c r="A140" t="e">
        <f>"("&amp;#REF!&amp;", "&amp;CHAR(34)&amp;#REF!&amp;CHAR(34)&amp;", "&amp;#REF!&amp;"),"</f>
        <v>#REF!</v>
      </c>
      <c r="B140" s="27"/>
      <c r="D140" s="27"/>
      <c r="E140" s="18"/>
      <c r="K140" s="27"/>
    </row>
    <row r="141" spans="1:11">
      <c r="B141" s="27"/>
      <c r="D141" s="27"/>
      <c r="E141" s="18"/>
      <c r="K141" s="27"/>
    </row>
    <row r="142" spans="1:11">
      <c r="A142" t="s">
        <v>125</v>
      </c>
      <c r="B142" s="27"/>
      <c r="D142" s="27"/>
      <c r="E142" s="18"/>
      <c r="K142" s="27"/>
    </row>
    <row r="143" spans="1:11">
      <c r="A143" t="s">
        <v>116</v>
      </c>
      <c r="K143" s="27"/>
    </row>
    <row r="144" spans="1:11">
      <c r="A144" t="s">
        <v>112</v>
      </c>
      <c r="K144" s="27"/>
    </row>
    <row r="145" spans="1:11">
      <c r="A145" t="s">
        <v>113</v>
      </c>
    </row>
    <row r="146" spans="1:11">
      <c r="A146" t="s">
        <v>114</v>
      </c>
      <c r="K146" s="27"/>
    </row>
    <row r="147" spans="1:11">
      <c r="A147" t="s">
        <v>115</v>
      </c>
    </row>
    <row r="149" spans="1:11">
      <c r="K149" s="27"/>
    </row>
    <row r="150" spans="1:11">
      <c r="A150" t="s">
        <v>117</v>
      </c>
    </row>
    <row r="151" spans="1:11">
      <c r="A151" t="s">
        <v>118</v>
      </c>
    </row>
    <row r="152" spans="1:11">
      <c r="A152" t="s">
        <v>132</v>
      </c>
      <c r="K152" s="27"/>
    </row>
    <row r="155" spans="1:11">
      <c r="A155" t="s">
        <v>71</v>
      </c>
    </row>
    <row r="156" spans="1:11">
      <c r="A156" t="s">
        <v>61</v>
      </c>
    </row>
    <row r="157" spans="1:11">
      <c r="A157" t="s">
        <v>62</v>
      </c>
    </row>
    <row r="158" spans="1:11">
      <c r="A158" t="s">
        <v>63</v>
      </c>
    </row>
    <row r="159" spans="1:11">
      <c r="A159" t="s">
        <v>64</v>
      </c>
    </row>
    <row r="160" spans="1:11">
      <c r="A160" t="s">
        <v>65</v>
      </c>
    </row>
    <row r="162" spans="1:11">
      <c r="A162" s="21" t="s">
        <v>94</v>
      </c>
      <c r="B162" s="18"/>
      <c r="C162" s="18"/>
      <c r="D162" s="18"/>
    </row>
    <row r="163" spans="1:11">
      <c r="A163" s="21" t="s">
        <v>107</v>
      </c>
      <c r="B163" s="18"/>
      <c r="C163" s="18"/>
      <c r="D163" s="18"/>
    </row>
    <row r="164" spans="1:11">
      <c r="B164" s="18"/>
      <c r="C164" s="18"/>
      <c r="D164" s="18"/>
      <c r="K164" t="s">
        <v>95</v>
      </c>
    </row>
    <row r="165" spans="1:11">
      <c r="B165" s="21"/>
      <c r="C165" s="21"/>
      <c r="D165" s="21"/>
      <c r="K165" t="s">
        <v>96</v>
      </c>
    </row>
    <row r="166" spans="1:11">
      <c r="A166" s="21" t="s">
        <v>69</v>
      </c>
    </row>
    <row r="167" spans="1:11">
      <c r="A167" s="21" t="s">
        <v>92</v>
      </c>
    </row>
    <row r="168" spans="1:11">
      <c r="A168" s="21" t="s">
        <v>60</v>
      </c>
    </row>
    <row r="169" spans="1:11">
      <c r="A169" t="s">
        <v>67</v>
      </c>
    </row>
    <row r="170" spans="1:11">
      <c r="A170" t="s">
        <v>66</v>
      </c>
    </row>
    <row r="171" spans="1:11">
      <c r="A171" t="s">
        <v>56</v>
      </c>
    </row>
    <row r="172" spans="1:11">
      <c r="A172" t="s">
        <v>58</v>
      </c>
    </row>
    <row r="173" spans="1:11">
      <c r="A173" s="21" t="s">
        <v>68</v>
      </c>
    </row>
    <row r="174" spans="1:11">
      <c r="A174" s="21" t="s">
        <v>108</v>
      </c>
    </row>
    <row r="178" spans="1:4">
      <c r="A178" s="21" t="s">
        <v>70</v>
      </c>
    </row>
    <row r="179" spans="1:4">
      <c r="A179" s="21" t="s">
        <v>86</v>
      </c>
    </row>
    <row r="180" spans="1:4">
      <c r="A180" s="21" t="s">
        <v>85</v>
      </c>
    </row>
    <row r="181" spans="1:4">
      <c r="A181" s="21" t="s">
        <v>105</v>
      </c>
      <c r="B181" s="26"/>
      <c r="C181" s="26"/>
      <c r="D181" s="26"/>
    </row>
    <row r="182" spans="1:4">
      <c r="A182" s="21" t="s">
        <v>106</v>
      </c>
      <c r="B182" s="26"/>
      <c r="C182" s="26"/>
      <c r="D182" s="26"/>
    </row>
    <row r="183" spans="1:4">
      <c r="A183" t="s">
        <v>91</v>
      </c>
      <c r="B183" s="27"/>
      <c r="C183" s="27"/>
      <c r="D183" s="27"/>
    </row>
    <row r="184" spans="1:4">
      <c r="B184" s="26"/>
      <c r="C184" s="26"/>
      <c r="D184" s="26"/>
    </row>
    <row r="185" spans="1:4">
      <c r="B185" s="28"/>
      <c r="C185" s="28"/>
      <c r="D185" s="28"/>
    </row>
    <row r="186" spans="1:4">
      <c r="A186" s="27"/>
      <c r="B186" s="26"/>
      <c r="C186" s="26"/>
      <c r="D186" s="26"/>
    </row>
    <row r="187" spans="1:4">
      <c r="A187" s="26"/>
    </row>
    <row r="188" spans="1:4">
      <c r="A188" s="26"/>
    </row>
    <row r="189" spans="1:4">
      <c r="A189" s="26"/>
    </row>
    <row r="190" spans="1:4" ht="39" customHeight="1">
      <c r="A190" s="28"/>
    </row>
    <row r="191" spans="1:4">
      <c r="A191" s="26"/>
    </row>
    <row r="193" spans="1:1">
      <c r="A193" s="27"/>
    </row>
    <row r="197" spans="1:1">
      <c r="A197" s="27"/>
    </row>
  </sheetData>
  <autoFilter ref="A37:AD93" xr:uid="{09E917CB-D0A7-5747-A5FE-988CF179FBD1}">
    <filterColumn colId="2">
      <filters>
        <filter val="FlatDistPV"/>
        <filter val="SlopedDistPV"/>
      </filters>
    </filterColumn>
  </autoFilter>
  <mergeCells count="4">
    <mergeCell ref="F5:J5"/>
    <mergeCell ref="K5:N5"/>
    <mergeCell ref="P5:Q5"/>
    <mergeCell ref="S5:W5"/>
  </mergeCells>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B10C4-CA26-F74B-A03E-0D92DD81989A}">
  <dimension ref="A1:CS31"/>
  <sheetViews>
    <sheetView topLeftCell="A8" workbookViewId="0">
      <selection activeCell="G22" sqref="G22:G25"/>
    </sheetView>
  </sheetViews>
  <sheetFormatPr baseColWidth="10" defaultRowHeight="16"/>
  <cols>
    <col min="1" max="1" width="33.83203125" customWidth="1"/>
    <col min="2" max="2" width="25.33203125" customWidth="1"/>
    <col min="3" max="3" width="17.6640625" customWidth="1"/>
    <col min="7" max="7" width="11.1640625" bestFit="1" customWidth="1"/>
    <col min="9" max="9" width="15.83203125" customWidth="1"/>
    <col min="10" max="10" width="13.33203125" customWidth="1"/>
  </cols>
  <sheetData>
    <row r="1" spans="1:97">
      <c r="A1" t="s">
        <v>289</v>
      </c>
    </row>
    <row r="3" spans="1:97">
      <c r="A3" s="34" t="s">
        <v>284</v>
      </c>
      <c r="B3" s="34" t="s">
        <v>285</v>
      </c>
      <c r="C3" s="34" t="s">
        <v>286</v>
      </c>
      <c r="D3" s="34" t="s">
        <v>145</v>
      </c>
      <c r="E3" s="34" t="s">
        <v>146</v>
      </c>
      <c r="F3" s="34" t="s">
        <v>147</v>
      </c>
      <c r="G3" s="34" t="s">
        <v>148</v>
      </c>
      <c r="H3" s="34" t="s">
        <v>149</v>
      </c>
      <c r="I3" s="34" t="s">
        <v>150</v>
      </c>
      <c r="J3" s="34" t="s">
        <v>151</v>
      </c>
      <c r="K3" s="34" t="s">
        <v>152</v>
      </c>
      <c r="L3" s="34" t="s">
        <v>153</v>
      </c>
      <c r="M3" s="34" t="s">
        <v>154</v>
      </c>
      <c r="N3" s="34" t="s">
        <v>155</v>
      </c>
      <c r="O3" s="34" t="s">
        <v>156</v>
      </c>
      <c r="P3" s="34" t="s">
        <v>157</v>
      </c>
      <c r="Q3" s="35" t="s">
        <v>151</v>
      </c>
      <c r="R3" s="35" t="s">
        <v>151</v>
      </c>
      <c r="S3" s="35" t="s">
        <v>158</v>
      </c>
      <c r="T3" s="35" t="s">
        <v>159</v>
      </c>
      <c r="U3" s="35" t="s">
        <v>160</v>
      </c>
      <c r="V3" s="35" t="s">
        <v>161</v>
      </c>
      <c r="W3" s="35" t="s">
        <v>162</v>
      </c>
      <c r="X3" s="35" t="s">
        <v>163</v>
      </c>
      <c r="Y3" s="35" t="s">
        <v>164</v>
      </c>
      <c r="Z3" s="35" t="s">
        <v>165</v>
      </c>
      <c r="AA3" s="35" t="s">
        <v>166</v>
      </c>
      <c r="AB3" s="35" t="s">
        <v>167</v>
      </c>
      <c r="AC3" s="35" t="s">
        <v>168</v>
      </c>
      <c r="AD3" s="35" t="s">
        <v>169</v>
      </c>
      <c r="AE3" s="35" t="s">
        <v>170</v>
      </c>
      <c r="AF3" s="35" t="s">
        <v>171</v>
      </c>
      <c r="AG3" s="35" t="s">
        <v>172</v>
      </c>
      <c r="AH3" s="35" t="s">
        <v>173</v>
      </c>
      <c r="AI3" s="35" t="s">
        <v>174</v>
      </c>
      <c r="AJ3" s="35" t="s">
        <v>175</v>
      </c>
      <c r="AK3" s="35" t="s">
        <v>176</v>
      </c>
      <c r="AL3" s="35" t="s">
        <v>177</v>
      </c>
      <c r="AM3" s="35" t="s">
        <v>178</v>
      </c>
      <c r="AN3" s="35" t="s">
        <v>179</v>
      </c>
      <c r="AO3" s="36" t="s">
        <v>180</v>
      </c>
      <c r="AP3" s="36" t="s">
        <v>181</v>
      </c>
      <c r="AQ3" s="36" t="s">
        <v>182</v>
      </c>
      <c r="AR3" s="36" t="s">
        <v>183</v>
      </c>
      <c r="AS3" s="36" t="s">
        <v>184</v>
      </c>
      <c r="AT3" s="36" t="s">
        <v>185</v>
      </c>
      <c r="AU3" s="36" t="s">
        <v>186</v>
      </c>
      <c r="AV3" s="36" t="s">
        <v>187</v>
      </c>
      <c r="AW3" s="36" t="s">
        <v>188</v>
      </c>
      <c r="AX3" s="36" t="s">
        <v>189</v>
      </c>
      <c r="AY3" s="36" t="s">
        <v>190</v>
      </c>
      <c r="AZ3" s="36" t="s">
        <v>191</v>
      </c>
      <c r="BA3" s="35" t="s">
        <v>192</v>
      </c>
      <c r="BB3" s="35" t="s">
        <v>193</v>
      </c>
      <c r="BC3" s="35" t="s">
        <v>194</v>
      </c>
      <c r="BD3" s="35" t="s">
        <v>195</v>
      </c>
      <c r="BE3" s="35" t="s">
        <v>196</v>
      </c>
      <c r="BF3" s="35" t="s">
        <v>197</v>
      </c>
      <c r="BG3" s="35" t="s">
        <v>198</v>
      </c>
      <c r="BH3" s="35" t="s">
        <v>199</v>
      </c>
      <c r="BI3" s="35" t="s">
        <v>200</v>
      </c>
      <c r="BJ3" s="35" t="s">
        <v>201</v>
      </c>
      <c r="BK3" s="35" t="s">
        <v>202</v>
      </c>
      <c r="BL3" s="35" t="s">
        <v>203</v>
      </c>
      <c r="BM3" s="35" t="s">
        <v>204</v>
      </c>
      <c r="BN3" s="35" t="s">
        <v>205</v>
      </c>
      <c r="BO3" s="35" t="s">
        <v>206</v>
      </c>
      <c r="BP3" s="35" t="s">
        <v>207</v>
      </c>
      <c r="BQ3" s="35" t="s">
        <v>208</v>
      </c>
      <c r="BR3" s="35" t="s">
        <v>209</v>
      </c>
      <c r="BS3" s="35" t="s">
        <v>210</v>
      </c>
      <c r="BT3" s="35" t="s">
        <v>211</v>
      </c>
      <c r="BU3" s="35" t="s">
        <v>212</v>
      </c>
      <c r="BV3" s="35" t="s">
        <v>213</v>
      </c>
      <c r="BW3" s="35" t="s">
        <v>214</v>
      </c>
      <c r="BX3" s="35" t="s">
        <v>215</v>
      </c>
      <c r="BY3" s="35" t="s">
        <v>216</v>
      </c>
      <c r="BZ3" s="35" t="s">
        <v>217</v>
      </c>
      <c r="CA3" s="35" t="s">
        <v>218</v>
      </c>
      <c r="CB3" s="35" t="s">
        <v>219</v>
      </c>
      <c r="CC3" s="35" t="s">
        <v>220</v>
      </c>
      <c r="CD3" s="35" t="s">
        <v>221</v>
      </c>
      <c r="CE3" s="35" t="s">
        <v>222</v>
      </c>
      <c r="CF3" s="35" t="s">
        <v>223</v>
      </c>
      <c r="CG3" s="35" t="s">
        <v>224</v>
      </c>
      <c r="CH3" s="35" t="s">
        <v>225</v>
      </c>
      <c r="CI3" s="35" t="s">
        <v>226</v>
      </c>
      <c r="CJ3" s="35" t="s">
        <v>227</v>
      </c>
      <c r="CK3" s="35" t="s">
        <v>228</v>
      </c>
      <c r="CL3" s="35" t="s">
        <v>229</v>
      </c>
      <c r="CM3" s="35" t="s">
        <v>230</v>
      </c>
      <c r="CN3" s="35" t="s">
        <v>231</v>
      </c>
      <c r="CO3" s="35" t="s">
        <v>232</v>
      </c>
      <c r="CP3" s="34" t="s">
        <v>233</v>
      </c>
      <c r="CQ3" t="s">
        <v>234</v>
      </c>
      <c r="CR3" t="s">
        <v>235</v>
      </c>
      <c r="CS3" t="s">
        <v>236</v>
      </c>
    </row>
    <row r="4" spans="1:97">
      <c r="A4" s="37">
        <v>765</v>
      </c>
      <c r="B4" s="37" t="s">
        <v>287</v>
      </c>
      <c r="C4" s="38" t="s">
        <v>259</v>
      </c>
      <c r="D4" s="37" t="s">
        <v>237</v>
      </c>
      <c r="E4" s="37" t="s">
        <v>238</v>
      </c>
      <c r="F4" s="37">
        <v>19547</v>
      </c>
      <c r="G4" s="37" t="s">
        <v>239</v>
      </c>
      <c r="H4" s="38" t="s">
        <v>240</v>
      </c>
      <c r="I4" s="38" t="s">
        <v>241</v>
      </c>
      <c r="J4" s="37" t="s">
        <v>242</v>
      </c>
      <c r="K4" s="37">
        <v>22</v>
      </c>
      <c r="L4" s="37">
        <v>1</v>
      </c>
      <c r="M4" s="37" t="s">
        <v>243</v>
      </c>
      <c r="N4" s="37" t="s">
        <v>244</v>
      </c>
      <c r="O4" s="37" t="s">
        <v>245</v>
      </c>
      <c r="P4" s="37" t="s">
        <v>245</v>
      </c>
      <c r="Q4" s="39" t="s">
        <v>242</v>
      </c>
      <c r="R4" s="39" t="s">
        <v>242</v>
      </c>
      <c r="S4" s="39" t="s">
        <v>246</v>
      </c>
      <c r="T4" s="39">
        <v>0</v>
      </c>
      <c r="U4" s="39">
        <v>0</v>
      </c>
      <c r="V4" s="39">
        <v>0</v>
      </c>
      <c r="W4" s="39">
        <v>0</v>
      </c>
      <c r="X4" s="39">
        <v>0</v>
      </c>
      <c r="Y4" s="39">
        <v>0</v>
      </c>
      <c r="Z4" s="39">
        <v>0</v>
      </c>
      <c r="AA4" s="39">
        <v>0</v>
      </c>
      <c r="AB4" s="39">
        <v>0</v>
      </c>
      <c r="AC4" s="39">
        <v>0</v>
      </c>
      <c r="AD4" s="39">
        <v>0</v>
      </c>
      <c r="AE4" s="39">
        <v>0</v>
      </c>
      <c r="AF4" s="39">
        <v>0</v>
      </c>
      <c r="AG4" s="39">
        <v>0</v>
      </c>
      <c r="AH4" s="39">
        <v>0</v>
      </c>
      <c r="AI4" s="39">
        <v>0</v>
      </c>
      <c r="AJ4" s="39">
        <v>0</v>
      </c>
      <c r="AK4" s="39">
        <v>0</v>
      </c>
      <c r="AL4" s="39">
        <v>0</v>
      </c>
      <c r="AM4" s="39">
        <v>0</v>
      </c>
      <c r="AN4" s="39">
        <v>0</v>
      </c>
      <c r="AO4" s="40">
        <v>0</v>
      </c>
      <c r="AP4" s="40">
        <v>0</v>
      </c>
      <c r="AQ4" s="40">
        <v>0</v>
      </c>
      <c r="AR4" s="40">
        <v>0</v>
      </c>
      <c r="AS4" s="40">
        <v>0</v>
      </c>
      <c r="AT4" s="40">
        <v>0</v>
      </c>
      <c r="AU4" s="40">
        <v>0</v>
      </c>
      <c r="AV4" s="40">
        <v>0</v>
      </c>
      <c r="AW4" s="40">
        <v>0</v>
      </c>
      <c r="AX4" s="40">
        <v>0</v>
      </c>
      <c r="AY4" s="40">
        <v>0</v>
      </c>
      <c r="AZ4" s="40">
        <v>0</v>
      </c>
      <c r="BA4" s="39">
        <v>0</v>
      </c>
      <c r="BB4" s="39">
        <v>0</v>
      </c>
      <c r="BC4" s="39">
        <v>0</v>
      </c>
      <c r="BD4" s="39">
        <v>0</v>
      </c>
      <c r="BE4" s="39">
        <v>0</v>
      </c>
      <c r="BF4" s="39">
        <v>0</v>
      </c>
      <c r="BG4" s="39">
        <v>0</v>
      </c>
      <c r="BH4" s="39">
        <v>0</v>
      </c>
      <c r="BI4" s="39">
        <v>0</v>
      </c>
      <c r="BJ4" s="39">
        <v>0</v>
      </c>
      <c r="BK4" s="39">
        <v>0</v>
      </c>
      <c r="BL4" s="39">
        <v>0</v>
      </c>
      <c r="BM4" s="39">
        <v>0</v>
      </c>
      <c r="BN4" s="39">
        <v>0</v>
      </c>
      <c r="BO4" s="39">
        <v>0</v>
      </c>
      <c r="BP4" s="39">
        <v>0</v>
      </c>
      <c r="BQ4" s="39">
        <v>0</v>
      </c>
      <c r="BR4" s="39">
        <v>0</v>
      </c>
      <c r="BS4" s="39">
        <v>0</v>
      </c>
      <c r="BT4" s="39">
        <v>0</v>
      </c>
      <c r="BU4" s="39">
        <v>0</v>
      </c>
      <c r="BV4" s="39">
        <v>0</v>
      </c>
      <c r="BW4" s="39">
        <v>0</v>
      </c>
      <c r="BX4" s="39">
        <v>0</v>
      </c>
      <c r="BY4" s="39">
        <v>0</v>
      </c>
      <c r="BZ4" s="39">
        <v>0</v>
      </c>
      <c r="CA4" s="39">
        <v>0</v>
      </c>
      <c r="CB4" s="39">
        <v>0</v>
      </c>
      <c r="CC4" s="39">
        <v>0</v>
      </c>
      <c r="CD4" s="39">
        <v>0</v>
      </c>
      <c r="CE4" s="39">
        <v>0</v>
      </c>
      <c r="CF4" s="39">
        <v>0</v>
      </c>
      <c r="CG4" s="39">
        <v>0</v>
      </c>
      <c r="CH4" s="39">
        <v>0</v>
      </c>
      <c r="CI4" s="39">
        <v>0</v>
      </c>
      <c r="CJ4" s="39">
        <v>0</v>
      </c>
      <c r="CK4" s="39">
        <v>0</v>
      </c>
      <c r="CL4" s="39">
        <v>0</v>
      </c>
      <c r="CM4" s="39">
        <v>0</v>
      </c>
      <c r="CN4" s="39">
        <v>0</v>
      </c>
      <c r="CO4" s="39">
        <v>0</v>
      </c>
      <c r="CP4" s="38">
        <v>0</v>
      </c>
      <c r="CQ4">
        <v>0</v>
      </c>
      <c r="CR4">
        <v>0</v>
      </c>
      <c r="CS4">
        <v>2018</v>
      </c>
    </row>
    <row r="5" spans="1:97">
      <c r="A5" s="37">
        <v>765</v>
      </c>
      <c r="B5" s="37" t="s">
        <v>287</v>
      </c>
      <c r="C5" s="38" t="s">
        <v>259</v>
      </c>
      <c r="D5" s="37" t="s">
        <v>237</v>
      </c>
      <c r="E5" s="37" t="s">
        <v>238</v>
      </c>
      <c r="F5" s="37">
        <v>19547</v>
      </c>
      <c r="G5" s="37" t="s">
        <v>239</v>
      </c>
      <c r="H5" s="38" t="s">
        <v>240</v>
      </c>
      <c r="I5" s="38" t="s">
        <v>241</v>
      </c>
      <c r="J5" s="37" t="s">
        <v>242</v>
      </c>
      <c r="K5" s="37">
        <v>22</v>
      </c>
      <c r="L5" s="37">
        <v>1</v>
      </c>
      <c r="M5" s="37" t="s">
        <v>243</v>
      </c>
      <c r="N5" s="37" t="s">
        <v>244</v>
      </c>
      <c r="O5" s="37" t="s">
        <v>247</v>
      </c>
      <c r="P5" s="37" t="s">
        <v>248</v>
      </c>
      <c r="Q5" s="39" t="s">
        <v>242</v>
      </c>
      <c r="R5" s="39" t="s">
        <v>242</v>
      </c>
      <c r="S5" s="39" t="s">
        <v>249</v>
      </c>
      <c r="T5" s="39">
        <v>0</v>
      </c>
      <c r="U5" s="39">
        <v>0</v>
      </c>
      <c r="V5" s="39">
        <v>0</v>
      </c>
      <c r="W5" s="39">
        <v>0</v>
      </c>
      <c r="X5" s="39">
        <v>0</v>
      </c>
      <c r="Y5" s="39">
        <v>0</v>
      </c>
      <c r="Z5" s="39">
        <v>0</v>
      </c>
      <c r="AA5" s="39">
        <v>0</v>
      </c>
      <c r="AB5" s="39">
        <v>0</v>
      </c>
      <c r="AC5" s="39">
        <v>0</v>
      </c>
      <c r="AD5" s="39">
        <v>0</v>
      </c>
      <c r="AE5" s="39">
        <v>0</v>
      </c>
      <c r="AF5" s="39">
        <v>0</v>
      </c>
      <c r="AG5" s="39">
        <v>0</v>
      </c>
      <c r="AH5" s="39">
        <v>0</v>
      </c>
      <c r="AI5" s="39">
        <v>0</v>
      </c>
      <c r="AJ5" s="39">
        <v>0</v>
      </c>
      <c r="AK5" s="39">
        <v>0</v>
      </c>
      <c r="AL5" s="39">
        <v>0</v>
      </c>
      <c r="AM5" s="39">
        <v>0</v>
      </c>
      <c r="AN5" s="39">
        <v>0</v>
      </c>
      <c r="AO5" s="40">
        <v>0</v>
      </c>
      <c r="AP5" s="40">
        <v>0</v>
      </c>
      <c r="AQ5" s="40">
        <v>0</v>
      </c>
      <c r="AR5" s="40">
        <v>0</v>
      </c>
      <c r="AS5" s="40">
        <v>0</v>
      </c>
      <c r="AT5" s="40">
        <v>0</v>
      </c>
      <c r="AU5" s="40">
        <v>0</v>
      </c>
      <c r="AV5" s="40">
        <v>0</v>
      </c>
      <c r="AW5" s="40">
        <v>0</v>
      </c>
      <c r="AX5" s="40">
        <v>0</v>
      </c>
      <c r="AY5" s="40">
        <v>0</v>
      </c>
      <c r="AZ5" s="40">
        <v>0</v>
      </c>
      <c r="BA5" s="39">
        <v>0</v>
      </c>
      <c r="BB5" s="39">
        <v>0</v>
      </c>
      <c r="BC5" s="39">
        <v>0</v>
      </c>
      <c r="BD5" s="39">
        <v>0</v>
      </c>
      <c r="BE5" s="39">
        <v>0</v>
      </c>
      <c r="BF5" s="39">
        <v>0</v>
      </c>
      <c r="BG5" s="39">
        <v>0</v>
      </c>
      <c r="BH5" s="39">
        <v>0</v>
      </c>
      <c r="BI5" s="39">
        <v>0</v>
      </c>
      <c r="BJ5" s="39">
        <v>0</v>
      </c>
      <c r="BK5" s="39">
        <v>0</v>
      </c>
      <c r="BL5" s="39">
        <v>0</v>
      </c>
      <c r="BM5" s="39">
        <v>0</v>
      </c>
      <c r="BN5" s="39">
        <v>0</v>
      </c>
      <c r="BO5" s="39">
        <v>0</v>
      </c>
      <c r="BP5" s="39">
        <v>0</v>
      </c>
      <c r="BQ5" s="39">
        <v>0</v>
      </c>
      <c r="BR5" s="39">
        <v>0</v>
      </c>
      <c r="BS5" s="39">
        <v>0</v>
      </c>
      <c r="BT5" s="39">
        <v>0</v>
      </c>
      <c r="BU5" s="39">
        <v>0</v>
      </c>
      <c r="BV5" s="39">
        <v>0</v>
      </c>
      <c r="BW5" s="39">
        <v>0</v>
      </c>
      <c r="BX5" s="39">
        <v>0</v>
      </c>
      <c r="BY5" s="39">
        <v>0</v>
      </c>
      <c r="BZ5" s="39">
        <v>0</v>
      </c>
      <c r="CA5" s="39">
        <v>0</v>
      </c>
      <c r="CB5" s="39">
        <v>0</v>
      </c>
      <c r="CC5" s="39">
        <v>0</v>
      </c>
      <c r="CD5" s="39">
        <v>0</v>
      </c>
      <c r="CE5" s="39">
        <v>0</v>
      </c>
      <c r="CF5" s="39">
        <v>0</v>
      </c>
      <c r="CG5" s="39">
        <v>0</v>
      </c>
      <c r="CH5" s="39">
        <v>0</v>
      </c>
      <c r="CI5" s="39">
        <v>0</v>
      </c>
      <c r="CJ5" s="39">
        <v>0</v>
      </c>
      <c r="CK5" s="39">
        <v>0</v>
      </c>
      <c r="CL5" s="39">
        <v>0</v>
      </c>
      <c r="CM5" s="39">
        <v>0</v>
      </c>
      <c r="CN5" s="39">
        <v>0</v>
      </c>
      <c r="CO5" s="39">
        <v>0</v>
      </c>
      <c r="CP5" s="38">
        <v>0</v>
      </c>
      <c r="CQ5">
        <v>0</v>
      </c>
      <c r="CR5">
        <v>0</v>
      </c>
      <c r="CS5">
        <v>2018</v>
      </c>
    </row>
    <row r="6" spans="1:97">
      <c r="A6" s="37">
        <v>765</v>
      </c>
      <c r="B6" s="37" t="s">
        <v>287</v>
      </c>
      <c r="C6" s="38" t="s">
        <v>259</v>
      </c>
      <c r="D6" s="37" t="s">
        <v>237</v>
      </c>
      <c r="E6" s="37" t="s">
        <v>238</v>
      </c>
      <c r="F6" s="37">
        <v>19547</v>
      </c>
      <c r="G6" s="37" t="s">
        <v>239</v>
      </c>
      <c r="H6" s="38" t="s">
        <v>240</v>
      </c>
      <c r="I6" s="38" t="s">
        <v>241</v>
      </c>
      <c r="J6" s="37" t="s">
        <v>242</v>
      </c>
      <c r="K6" s="37">
        <v>22</v>
      </c>
      <c r="L6" s="37">
        <v>1</v>
      </c>
      <c r="M6" s="37" t="s">
        <v>243</v>
      </c>
      <c r="N6" s="37" t="s">
        <v>244</v>
      </c>
      <c r="O6" s="37" t="s">
        <v>250</v>
      </c>
      <c r="P6" s="37" t="s">
        <v>250</v>
      </c>
      <c r="Q6" s="39" t="s">
        <v>242</v>
      </c>
      <c r="R6" s="39" t="s">
        <v>242</v>
      </c>
      <c r="S6" s="39" t="s">
        <v>246</v>
      </c>
      <c r="T6" s="39">
        <v>334829</v>
      </c>
      <c r="U6" s="39">
        <v>318654</v>
      </c>
      <c r="V6" s="39">
        <v>291176</v>
      </c>
      <c r="W6" s="39">
        <v>328339</v>
      </c>
      <c r="X6" s="39">
        <v>384634</v>
      </c>
      <c r="Y6" s="39">
        <v>360017</v>
      </c>
      <c r="Z6" s="39">
        <v>368762</v>
      </c>
      <c r="AA6" s="39">
        <v>373610</v>
      </c>
      <c r="AB6" s="39">
        <v>368950</v>
      </c>
      <c r="AC6" s="39">
        <v>383533</v>
      </c>
      <c r="AD6" s="39">
        <v>318772</v>
      </c>
      <c r="AE6" s="39">
        <v>299366</v>
      </c>
      <c r="AF6" s="39">
        <v>334829</v>
      </c>
      <c r="AG6" s="39">
        <v>318654</v>
      </c>
      <c r="AH6" s="39">
        <v>291176</v>
      </c>
      <c r="AI6" s="39">
        <v>328339</v>
      </c>
      <c r="AJ6" s="39">
        <v>384634</v>
      </c>
      <c r="AK6" s="39">
        <v>360017</v>
      </c>
      <c r="AL6" s="39">
        <v>368762</v>
      </c>
      <c r="AM6" s="39">
        <v>373610</v>
      </c>
      <c r="AN6" s="39">
        <v>368950</v>
      </c>
      <c r="AO6" s="40">
        <v>383533</v>
      </c>
      <c r="AP6" s="40">
        <v>318772</v>
      </c>
      <c r="AQ6" s="40">
        <v>299366</v>
      </c>
      <c r="AR6" s="40">
        <v>6.3179999999999996</v>
      </c>
      <c r="AS6" s="40">
        <v>6.2850000000000001</v>
      </c>
      <c r="AT6" s="40">
        <v>6.3330000000000002</v>
      </c>
      <c r="AU6" s="40">
        <v>6.3250000000000002</v>
      </c>
      <c r="AV6" s="40">
        <v>6.32</v>
      </c>
      <c r="AW6" s="40">
        <v>6.327</v>
      </c>
      <c r="AX6" s="40">
        <v>6.3140000000000001</v>
      </c>
      <c r="AY6" s="40">
        <v>6.327</v>
      </c>
      <c r="AZ6" s="40">
        <v>6.33</v>
      </c>
      <c r="BA6" s="39">
        <v>6.3049999999999997</v>
      </c>
      <c r="BB6" s="39">
        <v>6.3230000000000004</v>
      </c>
      <c r="BC6" s="39">
        <v>6.3109999999999999</v>
      </c>
      <c r="BD6" s="39">
        <v>2115450</v>
      </c>
      <c r="BE6" s="39">
        <v>2002740</v>
      </c>
      <c r="BF6" s="39">
        <v>1844018</v>
      </c>
      <c r="BG6" s="39">
        <v>2076744</v>
      </c>
      <c r="BH6" s="39">
        <v>2430887</v>
      </c>
      <c r="BI6" s="39">
        <v>2277828</v>
      </c>
      <c r="BJ6" s="39">
        <v>2328363</v>
      </c>
      <c r="BK6" s="39">
        <v>2363830</v>
      </c>
      <c r="BL6" s="39">
        <v>2335454</v>
      </c>
      <c r="BM6" s="39">
        <v>2418176</v>
      </c>
      <c r="BN6" s="39">
        <v>2015595</v>
      </c>
      <c r="BO6" s="39">
        <v>1889299</v>
      </c>
      <c r="BP6" s="39">
        <v>2115450</v>
      </c>
      <c r="BQ6" s="39">
        <v>2002740</v>
      </c>
      <c r="BR6" s="39">
        <v>1844018</v>
      </c>
      <c r="BS6" s="39">
        <v>2076744</v>
      </c>
      <c r="BT6" s="39">
        <v>2430887</v>
      </c>
      <c r="BU6" s="39">
        <v>2277828</v>
      </c>
      <c r="BV6" s="39">
        <v>2328363</v>
      </c>
      <c r="BW6" s="39">
        <v>2363830</v>
      </c>
      <c r="BX6" s="39">
        <v>2335454</v>
      </c>
      <c r="BY6" s="39">
        <v>2418176</v>
      </c>
      <c r="BZ6" s="39">
        <v>2015595</v>
      </c>
      <c r="CA6" s="39">
        <v>1889299</v>
      </c>
      <c r="CB6" s="39">
        <v>200295</v>
      </c>
      <c r="CC6" s="39">
        <v>190460</v>
      </c>
      <c r="CD6" s="39">
        <v>172811</v>
      </c>
      <c r="CE6" s="39">
        <v>191971</v>
      </c>
      <c r="CF6" s="39">
        <v>229500</v>
      </c>
      <c r="CG6" s="39">
        <v>212707</v>
      </c>
      <c r="CH6" s="39">
        <v>217755</v>
      </c>
      <c r="CI6" s="39">
        <v>220740</v>
      </c>
      <c r="CJ6" s="39">
        <v>218968</v>
      </c>
      <c r="CK6" s="39">
        <v>224506</v>
      </c>
      <c r="CL6" s="39">
        <v>193297</v>
      </c>
      <c r="CM6" s="39">
        <v>173459</v>
      </c>
      <c r="CN6" s="39">
        <v>4130642</v>
      </c>
      <c r="CO6" s="39">
        <v>4130642</v>
      </c>
      <c r="CP6" s="38">
        <v>26098384</v>
      </c>
      <c r="CQ6">
        <v>26098384</v>
      </c>
      <c r="CR6">
        <v>2446469</v>
      </c>
      <c r="CS6">
        <v>2018</v>
      </c>
    </row>
    <row r="7" spans="1:97">
      <c r="A7" s="37">
        <v>766</v>
      </c>
      <c r="B7" s="37" t="s">
        <v>287</v>
      </c>
      <c r="C7" s="38" t="s">
        <v>259</v>
      </c>
      <c r="D7" s="37" t="s">
        <v>251</v>
      </c>
      <c r="E7" s="37" t="s">
        <v>238</v>
      </c>
      <c r="F7" s="37">
        <v>19547</v>
      </c>
      <c r="G7" s="37" t="s">
        <v>239</v>
      </c>
      <c r="H7" s="38" t="s">
        <v>240</v>
      </c>
      <c r="I7" s="38" t="s">
        <v>241</v>
      </c>
      <c r="J7" s="37" t="s">
        <v>242</v>
      </c>
      <c r="K7" s="37">
        <v>22</v>
      </c>
      <c r="L7" s="37">
        <v>1</v>
      </c>
      <c r="M7" s="37" t="s">
        <v>243</v>
      </c>
      <c r="N7" s="37" t="s">
        <v>252</v>
      </c>
      <c r="O7" s="37" t="s">
        <v>245</v>
      </c>
      <c r="P7" s="37" t="s">
        <v>245</v>
      </c>
      <c r="Q7" s="39" t="s">
        <v>242</v>
      </c>
      <c r="R7" s="39" t="s">
        <v>242</v>
      </c>
      <c r="S7" s="39" t="s">
        <v>246</v>
      </c>
      <c r="T7" s="39">
        <v>8282</v>
      </c>
      <c r="U7" s="39">
        <v>13347</v>
      </c>
      <c r="V7" s="39">
        <v>6303</v>
      </c>
      <c r="W7" s="39">
        <v>11270</v>
      </c>
      <c r="X7" s="39">
        <v>4034</v>
      </c>
      <c r="Y7" s="39">
        <v>5635</v>
      </c>
      <c r="Z7" s="39">
        <v>4672</v>
      </c>
      <c r="AA7" s="39">
        <v>9579</v>
      </c>
      <c r="AB7" s="39">
        <v>10960</v>
      </c>
      <c r="AC7" s="39">
        <v>12401</v>
      </c>
      <c r="AD7" s="39">
        <v>4362</v>
      </c>
      <c r="AE7" s="39">
        <v>1267</v>
      </c>
      <c r="AF7" s="39">
        <v>8282</v>
      </c>
      <c r="AG7" s="39">
        <v>13347</v>
      </c>
      <c r="AH7" s="39">
        <v>6303</v>
      </c>
      <c r="AI7" s="39">
        <v>11270</v>
      </c>
      <c r="AJ7" s="39">
        <v>4034</v>
      </c>
      <c r="AK7" s="39">
        <v>5635</v>
      </c>
      <c r="AL7" s="39">
        <v>4672</v>
      </c>
      <c r="AM7" s="39">
        <v>9579</v>
      </c>
      <c r="AN7" s="39">
        <v>10960</v>
      </c>
      <c r="AO7" s="40">
        <v>12401</v>
      </c>
      <c r="AP7" s="40">
        <v>4362</v>
      </c>
      <c r="AQ7" s="40">
        <v>1267</v>
      </c>
      <c r="AR7" s="40">
        <v>5.726</v>
      </c>
      <c r="AS7" s="40">
        <v>5.7190000000000003</v>
      </c>
      <c r="AT7" s="40">
        <v>5.718</v>
      </c>
      <c r="AU7" s="40">
        <v>5.7169999999999996</v>
      </c>
      <c r="AV7" s="40">
        <v>5.7290000000000001</v>
      </c>
      <c r="AW7" s="40">
        <v>5.7590000000000003</v>
      </c>
      <c r="AX7" s="40">
        <v>5.7590000000000003</v>
      </c>
      <c r="AY7" s="40">
        <v>5.7220000000000004</v>
      </c>
      <c r="AZ7" s="40">
        <v>5.7160000000000002</v>
      </c>
      <c r="BA7" s="39">
        <v>5.72</v>
      </c>
      <c r="BB7" s="39">
        <v>5.7350000000000003</v>
      </c>
      <c r="BC7" s="39">
        <v>5.7350000000000003</v>
      </c>
      <c r="BD7" s="39">
        <v>47423</v>
      </c>
      <c r="BE7" s="39">
        <v>76331</v>
      </c>
      <c r="BF7" s="39">
        <v>36041</v>
      </c>
      <c r="BG7" s="39">
        <v>64431</v>
      </c>
      <c r="BH7" s="39">
        <v>23111</v>
      </c>
      <c r="BI7" s="39">
        <v>32452</v>
      </c>
      <c r="BJ7" s="39">
        <v>26906</v>
      </c>
      <c r="BK7" s="39">
        <v>54811</v>
      </c>
      <c r="BL7" s="39">
        <v>62647</v>
      </c>
      <c r="BM7" s="39">
        <v>70934</v>
      </c>
      <c r="BN7" s="39">
        <v>25016</v>
      </c>
      <c r="BO7" s="39">
        <v>7266</v>
      </c>
      <c r="BP7" s="39">
        <v>47423</v>
      </c>
      <c r="BQ7" s="39">
        <v>76331</v>
      </c>
      <c r="BR7" s="39">
        <v>36041</v>
      </c>
      <c r="BS7" s="39">
        <v>64431</v>
      </c>
      <c r="BT7" s="39">
        <v>23111</v>
      </c>
      <c r="BU7" s="39">
        <v>32452</v>
      </c>
      <c r="BV7" s="39">
        <v>26906</v>
      </c>
      <c r="BW7" s="39">
        <v>54811</v>
      </c>
      <c r="BX7" s="39">
        <v>62647</v>
      </c>
      <c r="BY7" s="39">
        <v>70934</v>
      </c>
      <c r="BZ7" s="39">
        <v>25016</v>
      </c>
      <c r="CA7" s="39">
        <v>7266</v>
      </c>
      <c r="CB7" s="39">
        <v>1656</v>
      </c>
      <c r="CC7" s="39">
        <v>2930</v>
      </c>
      <c r="CD7" s="39">
        <v>1083</v>
      </c>
      <c r="CE7" s="39">
        <v>2297</v>
      </c>
      <c r="CF7" s="39">
        <v>804</v>
      </c>
      <c r="CG7" s="39">
        <v>835</v>
      </c>
      <c r="CH7" s="39">
        <v>980</v>
      </c>
      <c r="CI7" s="39">
        <v>2062</v>
      </c>
      <c r="CJ7" s="39">
        <v>3072</v>
      </c>
      <c r="CK7" s="39">
        <v>3486</v>
      </c>
      <c r="CL7" s="39">
        <v>1283</v>
      </c>
      <c r="CM7" s="39">
        <v>278</v>
      </c>
      <c r="CN7" s="39">
        <v>92112</v>
      </c>
      <c r="CO7" s="39">
        <v>92112</v>
      </c>
      <c r="CP7" s="38">
        <v>527369</v>
      </c>
      <c r="CQ7">
        <v>527369</v>
      </c>
      <c r="CR7">
        <v>20766</v>
      </c>
      <c r="CS7">
        <v>2018</v>
      </c>
    </row>
    <row r="8" spans="1:97">
      <c r="A8" s="37">
        <v>766</v>
      </c>
      <c r="B8" s="37" t="s">
        <v>287</v>
      </c>
      <c r="C8" s="38" t="s">
        <v>259</v>
      </c>
      <c r="D8" s="37" t="s">
        <v>251</v>
      </c>
      <c r="E8" s="37" t="s">
        <v>238</v>
      </c>
      <c r="F8" s="37">
        <v>19547</v>
      </c>
      <c r="G8" s="37" t="s">
        <v>239</v>
      </c>
      <c r="H8" s="38" t="s">
        <v>240</v>
      </c>
      <c r="I8" s="38" t="s">
        <v>241</v>
      </c>
      <c r="J8" s="37" t="s">
        <v>242</v>
      </c>
      <c r="K8" s="37">
        <v>22</v>
      </c>
      <c r="L8" s="37">
        <v>1</v>
      </c>
      <c r="M8" s="37" t="s">
        <v>243</v>
      </c>
      <c r="N8" s="37" t="s">
        <v>244</v>
      </c>
      <c r="O8" s="37" t="s">
        <v>245</v>
      </c>
      <c r="P8" s="37" t="s">
        <v>245</v>
      </c>
      <c r="Q8" s="39" t="s">
        <v>242</v>
      </c>
      <c r="R8" s="39" t="s">
        <v>242</v>
      </c>
      <c r="S8" s="39" t="s">
        <v>246</v>
      </c>
      <c r="T8" s="39">
        <v>0</v>
      </c>
      <c r="U8" s="39">
        <v>0</v>
      </c>
      <c r="V8" s="39">
        <v>0</v>
      </c>
      <c r="W8" s="39">
        <v>0</v>
      </c>
      <c r="X8" s="39">
        <v>0</v>
      </c>
      <c r="Y8" s="39">
        <v>0</v>
      </c>
      <c r="Z8" s="39">
        <v>0</v>
      </c>
      <c r="AA8" s="39">
        <v>0</v>
      </c>
      <c r="AB8" s="39">
        <v>0</v>
      </c>
      <c r="AC8" s="39">
        <v>0</v>
      </c>
      <c r="AD8" s="39">
        <v>0</v>
      </c>
      <c r="AE8" s="39">
        <v>0</v>
      </c>
      <c r="AF8" s="39">
        <v>0</v>
      </c>
      <c r="AG8" s="39">
        <v>0</v>
      </c>
      <c r="AH8" s="39">
        <v>0</v>
      </c>
      <c r="AI8" s="39">
        <v>0</v>
      </c>
      <c r="AJ8" s="39">
        <v>0</v>
      </c>
      <c r="AK8" s="39">
        <v>0</v>
      </c>
      <c r="AL8" s="39">
        <v>0</v>
      </c>
      <c r="AM8" s="39">
        <v>0</v>
      </c>
      <c r="AN8" s="39">
        <v>0</v>
      </c>
      <c r="AO8" s="40">
        <v>0</v>
      </c>
      <c r="AP8" s="40">
        <v>0</v>
      </c>
      <c r="AQ8" s="40">
        <v>0</v>
      </c>
      <c r="AR8" s="40">
        <v>0</v>
      </c>
      <c r="AS8" s="40">
        <v>0</v>
      </c>
      <c r="AT8" s="40">
        <v>0</v>
      </c>
      <c r="AU8" s="40">
        <v>0</v>
      </c>
      <c r="AV8" s="40">
        <v>0</v>
      </c>
      <c r="AW8" s="40">
        <v>0</v>
      </c>
      <c r="AX8" s="40">
        <v>0</v>
      </c>
      <c r="AY8" s="40">
        <v>0</v>
      </c>
      <c r="AZ8" s="40">
        <v>0</v>
      </c>
      <c r="BA8" s="39">
        <v>0</v>
      </c>
      <c r="BB8" s="39">
        <v>0</v>
      </c>
      <c r="BC8" s="39">
        <v>0</v>
      </c>
      <c r="BD8" s="39">
        <v>0</v>
      </c>
      <c r="BE8" s="39">
        <v>0</v>
      </c>
      <c r="BF8" s="39">
        <v>0</v>
      </c>
      <c r="BG8" s="39">
        <v>0</v>
      </c>
      <c r="BH8" s="39">
        <v>0</v>
      </c>
      <c r="BI8" s="39">
        <v>0</v>
      </c>
      <c r="BJ8" s="39">
        <v>0</v>
      </c>
      <c r="BK8" s="39">
        <v>0</v>
      </c>
      <c r="BL8" s="39">
        <v>0</v>
      </c>
      <c r="BM8" s="39">
        <v>0</v>
      </c>
      <c r="BN8" s="39">
        <v>0</v>
      </c>
      <c r="BO8" s="39">
        <v>0</v>
      </c>
      <c r="BP8" s="39">
        <v>0</v>
      </c>
      <c r="BQ8" s="39">
        <v>0</v>
      </c>
      <c r="BR8" s="39">
        <v>0</v>
      </c>
      <c r="BS8" s="39">
        <v>0</v>
      </c>
      <c r="BT8" s="39">
        <v>0</v>
      </c>
      <c r="BU8" s="39">
        <v>0</v>
      </c>
      <c r="BV8" s="39">
        <v>0</v>
      </c>
      <c r="BW8" s="39">
        <v>0</v>
      </c>
      <c r="BX8" s="39">
        <v>0</v>
      </c>
      <c r="BY8" s="39">
        <v>0</v>
      </c>
      <c r="BZ8" s="39">
        <v>0</v>
      </c>
      <c r="CA8" s="39">
        <v>0</v>
      </c>
      <c r="CB8" s="39">
        <v>0</v>
      </c>
      <c r="CC8" s="39">
        <v>0</v>
      </c>
      <c r="CD8" s="39">
        <v>0</v>
      </c>
      <c r="CE8" s="39">
        <v>0</v>
      </c>
      <c r="CF8" s="39">
        <v>0</v>
      </c>
      <c r="CG8" s="39">
        <v>0</v>
      </c>
      <c r="CH8" s="39">
        <v>0</v>
      </c>
      <c r="CI8" s="39">
        <v>0</v>
      </c>
      <c r="CJ8" s="39">
        <v>0</v>
      </c>
      <c r="CK8" s="39">
        <v>0</v>
      </c>
      <c r="CL8" s="39">
        <v>0</v>
      </c>
      <c r="CM8" s="39">
        <v>0</v>
      </c>
      <c r="CN8" s="39">
        <v>0</v>
      </c>
      <c r="CO8" s="39">
        <v>0</v>
      </c>
      <c r="CP8" s="38">
        <v>0</v>
      </c>
      <c r="CQ8">
        <v>0</v>
      </c>
      <c r="CR8">
        <v>0</v>
      </c>
      <c r="CS8">
        <v>2018</v>
      </c>
    </row>
    <row r="9" spans="1:97">
      <c r="A9" s="37">
        <v>766</v>
      </c>
      <c r="B9" s="37" t="s">
        <v>287</v>
      </c>
      <c r="C9" s="38" t="s">
        <v>259</v>
      </c>
      <c r="D9" s="37" t="s">
        <v>251</v>
      </c>
      <c r="E9" s="37" t="s">
        <v>238</v>
      </c>
      <c r="F9" s="37">
        <v>19547</v>
      </c>
      <c r="G9" s="37" t="s">
        <v>239</v>
      </c>
      <c r="H9" s="38" t="s">
        <v>240</v>
      </c>
      <c r="I9" s="38" t="s">
        <v>241</v>
      </c>
      <c r="J9" s="37" t="s">
        <v>242</v>
      </c>
      <c r="K9" s="37">
        <v>22</v>
      </c>
      <c r="L9" s="37">
        <v>1</v>
      </c>
      <c r="M9" s="37" t="s">
        <v>243</v>
      </c>
      <c r="N9" s="37" t="s">
        <v>244</v>
      </c>
      <c r="O9" s="37" t="s">
        <v>247</v>
      </c>
      <c r="P9" s="37" t="s">
        <v>248</v>
      </c>
      <c r="Q9" s="39" t="s">
        <v>242</v>
      </c>
      <c r="R9" s="39" t="s">
        <v>242</v>
      </c>
      <c r="S9" s="39" t="s">
        <v>249</v>
      </c>
      <c r="T9" s="39">
        <v>0</v>
      </c>
      <c r="U9" s="39">
        <v>0</v>
      </c>
      <c r="V9" s="39">
        <v>0</v>
      </c>
      <c r="W9" s="39">
        <v>0</v>
      </c>
      <c r="X9" s="39">
        <v>0</v>
      </c>
      <c r="Y9" s="39">
        <v>0</v>
      </c>
      <c r="Z9" s="39">
        <v>0</v>
      </c>
      <c r="AA9" s="39">
        <v>0</v>
      </c>
      <c r="AB9" s="39">
        <v>0</v>
      </c>
      <c r="AC9" s="39">
        <v>0</v>
      </c>
      <c r="AD9" s="39">
        <v>0</v>
      </c>
      <c r="AE9" s="39">
        <v>0</v>
      </c>
      <c r="AF9" s="39">
        <v>0</v>
      </c>
      <c r="AG9" s="39">
        <v>0</v>
      </c>
      <c r="AH9" s="39">
        <v>0</v>
      </c>
      <c r="AI9" s="39">
        <v>0</v>
      </c>
      <c r="AJ9" s="39">
        <v>0</v>
      </c>
      <c r="AK9" s="39">
        <v>0</v>
      </c>
      <c r="AL9" s="39">
        <v>0</v>
      </c>
      <c r="AM9" s="39">
        <v>0</v>
      </c>
      <c r="AN9" s="39">
        <v>0</v>
      </c>
      <c r="AO9" s="40">
        <v>0</v>
      </c>
      <c r="AP9" s="40">
        <v>0</v>
      </c>
      <c r="AQ9" s="40">
        <v>0</v>
      </c>
      <c r="AR9" s="40">
        <v>0</v>
      </c>
      <c r="AS9" s="40">
        <v>0</v>
      </c>
      <c r="AT9" s="40">
        <v>0</v>
      </c>
      <c r="AU9" s="40">
        <v>0</v>
      </c>
      <c r="AV9" s="40">
        <v>0</v>
      </c>
      <c r="AW9" s="40">
        <v>0</v>
      </c>
      <c r="AX9" s="40">
        <v>0</v>
      </c>
      <c r="AY9" s="40">
        <v>0</v>
      </c>
      <c r="AZ9" s="40">
        <v>0</v>
      </c>
      <c r="BA9" s="39">
        <v>0</v>
      </c>
      <c r="BB9" s="39">
        <v>0</v>
      </c>
      <c r="BC9" s="39">
        <v>0</v>
      </c>
      <c r="BD9" s="39">
        <v>0</v>
      </c>
      <c r="BE9" s="39">
        <v>0</v>
      </c>
      <c r="BF9" s="39">
        <v>0</v>
      </c>
      <c r="BG9" s="39">
        <v>0</v>
      </c>
      <c r="BH9" s="39">
        <v>0</v>
      </c>
      <c r="BI9" s="39">
        <v>0</v>
      </c>
      <c r="BJ9" s="39">
        <v>0</v>
      </c>
      <c r="BK9" s="39">
        <v>0</v>
      </c>
      <c r="BL9" s="39">
        <v>0</v>
      </c>
      <c r="BM9" s="39">
        <v>0</v>
      </c>
      <c r="BN9" s="39">
        <v>0</v>
      </c>
      <c r="BO9" s="39">
        <v>0</v>
      </c>
      <c r="BP9" s="39">
        <v>0</v>
      </c>
      <c r="BQ9" s="39">
        <v>0</v>
      </c>
      <c r="BR9" s="39">
        <v>0</v>
      </c>
      <c r="BS9" s="39">
        <v>0</v>
      </c>
      <c r="BT9" s="39">
        <v>0</v>
      </c>
      <c r="BU9" s="39">
        <v>0</v>
      </c>
      <c r="BV9" s="39">
        <v>0</v>
      </c>
      <c r="BW9" s="39">
        <v>0</v>
      </c>
      <c r="BX9" s="39">
        <v>0</v>
      </c>
      <c r="BY9" s="39">
        <v>0</v>
      </c>
      <c r="BZ9" s="39">
        <v>0</v>
      </c>
      <c r="CA9" s="39">
        <v>0</v>
      </c>
      <c r="CB9" s="39">
        <v>0</v>
      </c>
      <c r="CC9" s="39">
        <v>0</v>
      </c>
      <c r="CD9" s="39">
        <v>0</v>
      </c>
      <c r="CE9" s="39">
        <v>0</v>
      </c>
      <c r="CF9" s="39">
        <v>0</v>
      </c>
      <c r="CG9" s="39">
        <v>0</v>
      </c>
      <c r="CH9" s="39">
        <v>0</v>
      </c>
      <c r="CI9" s="39">
        <v>0</v>
      </c>
      <c r="CJ9" s="39">
        <v>0</v>
      </c>
      <c r="CK9" s="39">
        <v>0</v>
      </c>
      <c r="CL9" s="39">
        <v>0</v>
      </c>
      <c r="CM9" s="39">
        <v>0</v>
      </c>
      <c r="CN9" s="39">
        <v>0</v>
      </c>
      <c r="CO9" s="39">
        <v>0</v>
      </c>
      <c r="CP9" s="38">
        <v>0</v>
      </c>
      <c r="CQ9">
        <v>0</v>
      </c>
      <c r="CR9">
        <v>0</v>
      </c>
      <c r="CS9">
        <v>2018</v>
      </c>
    </row>
    <row r="10" spans="1:97">
      <c r="A10" s="37">
        <v>766</v>
      </c>
      <c r="B10" s="37" t="s">
        <v>287</v>
      </c>
      <c r="C10" s="38" t="s">
        <v>259</v>
      </c>
      <c r="D10" s="37" t="s">
        <v>251</v>
      </c>
      <c r="E10" s="37" t="s">
        <v>238</v>
      </c>
      <c r="F10" s="37">
        <v>19547</v>
      </c>
      <c r="G10" s="37" t="s">
        <v>239</v>
      </c>
      <c r="H10" s="38" t="s">
        <v>240</v>
      </c>
      <c r="I10" s="38" t="s">
        <v>241</v>
      </c>
      <c r="J10" s="37" t="s">
        <v>242</v>
      </c>
      <c r="K10" s="37">
        <v>22</v>
      </c>
      <c r="L10" s="37">
        <v>1</v>
      </c>
      <c r="M10" s="37" t="s">
        <v>243</v>
      </c>
      <c r="N10" s="37" t="s">
        <v>244</v>
      </c>
      <c r="O10" s="37" t="s">
        <v>250</v>
      </c>
      <c r="P10" s="37" t="s">
        <v>250</v>
      </c>
      <c r="Q10" s="39" t="s">
        <v>242</v>
      </c>
      <c r="R10" s="39" t="s">
        <v>242</v>
      </c>
      <c r="S10" s="39" t="s">
        <v>246</v>
      </c>
      <c r="T10" s="39">
        <v>153975</v>
      </c>
      <c r="U10" s="39">
        <v>154583</v>
      </c>
      <c r="V10" s="39">
        <v>120960</v>
      </c>
      <c r="W10" s="39">
        <v>123828</v>
      </c>
      <c r="X10" s="39">
        <v>141214</v>
      </c>
      <c r="Y10" s="39">
        <v>104710</v>
      </c>
      <c r="Z10" s="39">
        <v>134373</v>
      </c>
      <c r="AA10" s="39">
        <v>130340</v>
      </c>
      <c r="AB10" s="39">
        <v>161168</v>
      </c>
      <c r="AC10" s="39">
        <v>165183</v>
      </c>
      <c r="AD10" s="39">
        <v>156740</v>
      </c>
      <c r="AE10" s="39">
        <v>136208</v>
      </c>
      <c r="AF10" s="39">
        <v>153975</v>
      </c>
      <c r="AG10" s="39">
        <v>154583</v>
      </c>
      <c r="AH10" s="39">
        <v>120960</v>
      </c>
      <c r="AI10" s="39">
        <v>123828</v>
      </c>
      <c r="AJ10" s="39">
        <v>141214</v>
      </c>
      <c r="AK10" s="39">
        <v>104710</v>
      </c>
      <c r="AL10" s="39">
        <v>134373</v>
      </c>
      <c r="AM10" s="39">
        <v>130340</v>
      </c>
      <c r="AN10" s="39">
        <v>161168</v>
      </c>
      <c r="AO10" s="40">
        <v>165183</v>
      </c>
      <c r="AP10" s="40">
        <v>156740</v>
      </c>
      <c r="AQ10" s="40">
        <v>136208</v>
      </c>
      <c r="AR10" s="40">
        <v>6.181</v>
      </c>
      <c r="AS10" s="40">
        <v>6.2910000000000004</v>
      </c>
      <c r="AT10" s="40">
        <v>6.3129999999999997</v>
      </c>
      <c r="AU10" s="40">
        <v>6.3419999999999996</v>
      </c>
      <c r="AV10" s="40">
        <v>6.2779999999999996</v>
      </c>
      <c r="AW10" s="40">
        <v>6.3239999999999998</v>
      </c>
      <c r="AX10" s="40">
        <v>6.3230000000000004</v>
      </c>
      <c r="AY10" s="40">
        <v>6.3159999999999998</v>
      </c>
      <c r="AZ10" s="40">
        <v>6.3049999999999997</v>
      </c>
      <c r="BA10" s="39">
        <v>6.3049999999999997</v>
      </c>
      <c r="BB10" s="39">
        <v>6.3220000000000001</v>
      </c>
      <c r="BC10" s="39">
        <v>6.3090000000000002</v>
      </c>
      <c r="BD10" s="39">
        <v>951719</v>
      </c>
      <c r="BE10" s="39">
        <v>972482</v>
      </c>
      <c r="BF10" s="39">
        <v>763620</v>
      </c>
      <c r="BG10" s="39">
        <v>785317</v>
      </c>
      <c r="BH10" s="39">
        <v>886541</v>
      </c>
      <c r="BI10" s="39">
        <v>662186</v>
      </c>
      <c r="BJ10" s="39">
        <v>849640</v>
      </c>
      <c r="BK10" s="39">
        <v>823227</v>
      </c>
      <c r="BL10" s="39">
        <v>1016164</v>
      </c>
      <c r="BM10" s="39">
        <v>1041479</v>
      </c>
      <c r="BN10" s="39">
        <v>990910</v>
      </c>
      <c r="BO10" s="39">
        <v>859336</v>
      </c>
      <c r="BP10" s="39">
        <v>951719</v>
      </c>
      <c r="BQ10" s="39">
        <v>972482</v>
      </c>
      <c r="BR10" s="39">
        <v>763620</v>
      </c>
      <c r="BS10" s="39">
        <v>785317</v>
      </c>
      <c r="BT10" s="39">
        <v>886541</v>
      </c>
      <c r="BU10" s="39">
        <v>662186</v>
      </c>
      <c r="BV10" s="39">
        <v>849640</v>
      </c>
      <c r="BW10" s="39">
        <v>823227</v>
      </c>
      <c r="BX10" s="39">
        <v>1016164</v>
      </c>
      <c r="BY10" s="39">
        <v>1041479</v>
      </c>
      <c r="BZ10" s="39">
        <v>990910</v>
      </c>
      <c r="CA10" s="39">
        <v>859336</v>
      </c>
      <c r="CB10" s="39">
        <v>86289</v>
      </c>
      <c r="CC10" s="39">
        <v>88699</v>
      </c>
      <c r="CD10" s="39">
        <v>70611</v>
      </c>
      <c r="CE10" s="39">
        <v>70776</v>
      </c>
      <c r="CF10" s="39">
        <v>82573</v>
      </c>
      <c r="CG10" s="39">
        <v>59367</v>
      </c>
      <c r="CH10" s="39">
        <v>75721</v>
      </c>
      <c r="CI10" s="39">
        <v>71954</v>
      </c>
      <c r="CJ10" s="39">
        <v>92528</v>
      </c>
      <c r="CK10" s="39">
        <v>95878</v>
      </c>
      <c r="CL10" s="39">
        <v>90833</v>
      </c>
      <c r="CM10" s="39">
        <v>77900</v>
      </c>
      <c r="CN10" s="39">
        <v>1683282</v>
      </c>
      <c r="CO10" s="39">
        <v>1683282</v>
      </c>
      <c r="CP10" s="38">
        <v>10602621</v>
      </c>
      <c r="CQ10">
        <v>10602621</v>
      </c>
      <c r="CR10">
        <v>963129</v>
      </c>
      <c r="CS10">
        <v>2018</v>
      </c>
    </row>
    <row r="11" spans="1:97">
      <c r="A11" s="37">
        <v>8823</v>
      </c>
      <c r="B11" s="37" t="s">
        <v>287</v>
      </c>
      <c r="C11" s="38" t="s">
        <v>259</v>
      </c>
      <c r="D11" s="37" t="s">
        <v>253</v>
      </c>
      <c r="E11" s="37" t="s">
        <v>238</v>
      </c>
      <c r="F11" s="37">
        <v>19547</v>
      </c>
      <c r="G11" s="37" t="s">
        <v>239</v>
      </c>
      <c r="H11" s="38" t="s">
        <v>240</v>
      </c>
      <c r="I11" s="38" t="s">
        <v>242</v>
      </c>
      <c r="J11" s="37" t="s">
        <v>242</v>
      </c>
      <c r="K11" s="37">
        <v>22</v>
      </c>
      <c r="L11" s="37">
        <v>1</v>
      </c>
      <c r="M11" s="37" t="s">
        <v>243</v>
      </c>
      <c r="N11" s="37" t="s">
        <v>244</v>
      </c>
      <c r="O11" s="37" t="s">
        <v>245</v>
      </c>
      <c r="P11" s="37" t="s">
        <v>245</v>
      </c>
      <c r="Q11" s="39" t="s">
        <v>242</v>
      </c>
      <c r="R11" s="39" t="s">
        <v>242</v>
      </c>
      <c r="S11" s="39" t="s">
        <v>246</v>
      </c>
      <c r="T11" s="39">
        <v>0</v>
      </c>
      <c r="U11" s="39">
        <v>0</v>
      </c>
      <c r="V11" s="39">
        <v>0</v>
      </c>
      <c r="W11" s="39">
        <v>0</v>
      </c>
      <c r="X11" s="39">
        <v>0</v>
      </c>
      <c r="Y11" s="39">
        <v>0</v>
      </c>
      <c r="Z11" s="39">
        <v>0</v>
      </c>
      <c r="AA11" s="39">
        <v>0</v>
      </c>
      <c r="AB11" s="39">
        <v>0</v>
      </c>
      <c r="AC11" s="39">
        <v>0</v>
      </c>
      <c r="AD11" s="39">
        <v>0</v>
      </c>
      <c r="AE11" s="39">
        <v>0</v>
      </c>
      <c r="AF11" s="39">
        <v>0</v>
      </c>
      <c r="AG11" s="39">
        <v>0</v>
      </c>
      <c r="AH11" s="39">
        <v>0</v>
      </c>
      <c r="AI11" s="39">
        <v>0</v>
      </c>
      <c r="AJ11" s="39">
        <v>0</v>
      </c>
      <c r="AK11" s="39">
        <v>0</v>
      </c>
      <c r="AL11" s="39">
        <v>0</v>
      </c>
      <c r="AM11" s="39">
        <v>0</v>
      </c>
      <c r="AN11" s="39">
        <v>0</v>
      </c>
      <c r="AO11" s="40">
        <v>0</v>
      </c>
      <c r="AP11" s="40">
        <v>0</v>
      </c>
      <c r="AQ11" s="40">
        <v>0</v>
      </c>
      <c r="AR11" s="40">
        <v>0</v>
      </c>
      <c r="AS11" s="40">
        <v>0</v>
      </c>
      <c r="AT11" s="40">
        <v>0</v>
      </c>
      <c r="AU11" s="40">
        <v>0</v>
      </c>
      <c r="AV11" s="40">
        <v>0</v>
      </c>
      <c r="AW11" s="40">
        <v>0</v>
      </c>
      <c r="AX11" s="40">
        <v>0</v>
      </c>
      <c r="AY11" s="40">
        <v>0</v>
      </c>
      <c r="AZ11" s="40">
        <v>0</v>
      </c>
      <c r="BA11" s="39">
        <v>0</v>
      </c>
      <c r="BB11" s="39">
        <v>0</v>
      </c>
      <c r="BC11" s="39">
        <v>0</v>
      </c>
      <c r="BD11" s="39">
        <v>0</v>
      </c>
      <c r="BE11" s="39">
        <v>0</v>
      </c>
      <c r="BF11" s="39">
        <v>0</v>
      </c>
      <c r="BG11" s="39">
        <v>0</v>
      </c>
      <c r="BH11" s="39">
        <v>0</v>
      </c>
      <c r="BI11" s="39">
        <v>0</v>
      </c>
      <c r="BJ11" s="39">
        <v>0</v>
      </c>
      <c r="BK11" s="39">
        <v>0</v>
      </c>
      <c r="BL11" s="39">
        <v>0</v>
      </c>
      <c r="BM11" s="39">
        <v>0</v>
      </c>
      <c r="BN11" s="39">
        <v>0</v>
      </c>
      <c r="BO11" s="39">
        <v>0</v>
      </c>
      <c r="BP11" s="39">
        <v>0</v>
      </c>
      <c r="BQ11" s="39">
        <v>0</v>
      </c>
      <c r="BR11" s="39">
        <v>0</v>
      </c>
      <c r="BS11" s="39">
        <v>0</v>
      </c>
      <c r="BT11" s="39">
        <v>0</v>
      </c>
      <c r="BU11" s="39">
        <v>0</v>
      </c>
      <c r="BV11" s="39">
        <v>0</v>
      </c>
      <c r="BW11" s="39">
        <v>0</v>
      </c>
      <c r="BX11" s="39">
        <v>0</v>
      </c>
      <c r="BY11" s="39">
        <v>0</v>
      </c>
      <c r="BZ11" s="39">
        <v>0</v>
      </c>
      <c r="CA11" s="39">
        <v>0</v>
      </c>
      <c r="CB11" s="39">
        <v>0</v>
      </c>
      <c r="CC11" s="39">
        <v>0</v>
      </c>
      <c r="CD11" s="39">
        <v>0</v>
      </c>
      <c r="CE11" s="39">
        <v>0</v>
      </c>
      <c r="CF11" s="39">
        <v>0</v>
      </c>
      <c r="CG11" s="39">
        <v>0</v>
      </c>
      <c r="CH11" s="39">
        <v>0</v>
      </c>
      <c r="CI11" s="39">
        <v>0</v>
      </c>
      <c r="CJ11" s="39">
        <v>0</v>
      </c>
      <c r="CK11" s="39">
        <v>0</v>
      </c>
      <c r="CL11" s="39">
        <v>0</v>
      </c>
      <c r="CM11" s="39">
        <v>0</v>
      </c>
      <c r="CN11" s="39">
        <v>0</v>
      </c>
      <c r="CO11" s="39">
        <v>0</v>
      </c>
      <c r="CP11" s="38">
        <v>0</v>
      </c>
      <c r="CQ11">
        <v>0</v>
      </c>
      <c r="CR11">
        <v>0</v>
      </c>
      <c r="CS11">
        <v>2018</v>
      </c>
    </row>
    <row r="12" spans="1:97">
      <c r="A12" s="37">
        <v>8823</v>
      </c>
      <c r="B12" s="37" t="s">
        <v>287</v>
      </c>
      <c r="C12" s="38" t="s">
        <v>259</v>
      </c>
      <c r="D12" s="37" t="s">
        <v>253</v>
      </c>
      <c r="E12" s="37" t="s">
        <v>238</v>
      </c>
      <c r="F12" s="37">
        <v>19547</v>
      </c>
      <c r="G12" s="37" t="s">
        <v>239</v>
      </c>
      <c r="H12" s="38" t="s">
        <v>240</v>
      </c>
      <c r="I12" s="38" t="s">
        <v>242</v>
      </c>
      <c r="J12" s="37" t="s">
        <v>242</v>
      </c>
      <c r="K12" s="37">
        <v>22</v>
      </c>
      <c r="L12" s="37">
        <v>1</v>
      </c>
      <c r="M12" s="37" t="s">
        <v>243</v>
      </c>
      <c r="N12" s="37" t="s">
        <v>244</v>
      </c>
      <c r="O12" s="37" t="s">
        <v>250</v>
      </c>
      <c r="P12" s="37" t="s">
        <v>250</v>
      </c>
      <c r="Q12" s="39" t="s">
        <v>242</v>
      </c>
      <c r="R12" s="39" t="s">
        <v>242</v>
      </c>
      <c r="S12" s="39" t="s">
        <v>246</v>
      </c>
      <c r="T12" s="39">
        <v>0</v>
      </c>
      <c r="U12" s="39">
        <v>0</v>
      </c>
      <c r="V12" s="39">
        <v>0</v>
      </c>
      <c r="W12" s="39">
        <v>0</v>
      </c>
      <c r="X12" s="39">
        <v>0</v>
      </c>
      <c r="Y12" s="39">
        <v>0</v>
      </c>
      <c r="Z12" s="39">
        <v>0</v>
      </c>
      <c r="AA12" s="39">
        <v>0</v>
      </c>
      <c r="AB12" s="39">
        <v>0</v>
      </c>
      <c r="AC12" s="39">
        <v>0</v>
      </c>
      <c r="AD12" s="39">
        <v>0</v>
      </c>
      <c r="AE12" s="39">
        <v>0</v>
      </c>
      <c r="AF12" s="39">
        <v>0</v>
      </c>
      <c r="AG12" s="39">
        <v>0</v>
      </c>
      <c r="AH12" s="39">
        <v>0</v>
      </c>
      <c r="AI12" s="39">
        <v>0</v>
      </c>
      <c r="AJ12" s="39">
        <v>0</v>
      </c>
      <c r="AK12" s="39">
        <v>0</v>
      </c>
      <c r="AL12" s="39">
        <v>0</v>
      </c>
      <c r="AM12" s="39">
        <v>0</v>
      </c>
      <c r="AN12" s="39">
        <v>0</v>
      </c>
      <c r="AO12" s="40">
        <v>0</v>
      </c>
      <c r="AP12" s="40">
        <v>0</v>
      </c>
      <c r="AQ12" s="40">
        <v>0</v>
      </c>
      <c r="AR12" s="40">
        <v>0</v>
      </c>
      <c r="AS12" s="40">
        <v>0</v>
      </c>
      <c r="AT12" s="40">
        <v>0</v>
      </c>
      <c r="AU12" s="40">
        <v>0</v>
      </c>
      <c r="AV12" s="40">
        <v>0</v>
      </c>
      <c r="AW12" s="40">
        <v>0</v>
      </c>
      <c r="AX12" s="40">
        <v>0</v>
      </c>
      <c r="AY12" s="40">
        <v>0</v>
      </c>
      <c r="AZ12" s="40">
        <v>0</v>
      </c>
      <c r="BA12" s="39">
        <v>0</v>
      </c>
      <c r="BB12" s="39">
        <v>0</v>
      </c>
      <c r="BC12" s="39">
        <v>0</v>
      </c>
      <c r="BD12" s="39">
        <v>0</v>
      </c>
      <c r="BE12" s="39">
        <v>0</v>
      </c>
      <c r="BF12" s="39">
        <v>0</v>
      </c>
      <c r="BG12" s="39">
        <v>0</v>
      </c>
      <c r="BH12" s="39">
        <v>0</v>
      </c>
      <c r="BI12" s="39">
        <v>0</v>
      </c>
      <c r="BJ12" s="39">
        <v>0</v>
      </c>
      <c r="BK12" s="39">
        <v>0</v>
      </c>
      <c r="BL12" s="39">
        <v>0</v>
      </c>
      <c r="BM12" s="39">
        <v>0</v>
      </c>
      <c r="BN12" s="39">
        <v>0</v>
      </c>
      <c r="BO12" s="39">
        <v>0</v>
      </c>
      <c r="BP12" s="39">
        <v>0</v>
      </c>
      <c r="BQ12" s="39">
        <v>0</v>
      </c>
      <c r="BR12" s="39">
        <v>0</v>
      </c>
      <c r="BS12" s="39">
        <v>0</v>
      </c>
      <c r="BT12" s="39">
        <v>0</v>
      </c>
      <c r="BU12" s="39">
        <v>0</v>
      </c>
      <c r="BV12" s="39">
        <v>0</v>
      </c>
      <c r="BW12" s="39">
        <v>0</v>
      </c>
      <c r="BX12" s="39">
        <v>0</v>
      </c>
      <c r="BY12" s="39">
        <v>0</v>
      </c>
      <c r="BZ12" s="39">
        <v>0</v>
      </c>
      <c r="CA12" s="39">
        <v>0</v>
      </c>
      <c r="CB12" s="39">
        <v>0</v>
      </c>
      <c r="CC12" s="39">
        <v>0</v>
      </c>
      <c r="CD12" s="39">
        <v>0</v>
      </c>
      <c r="CE12" s="39">
        <v>0</v>
      </c>
      <c r="CF12" s="39">
        <v>0</v>
      </c>
      <c r="CG12" s="39">
        <v>0</v>
      </c>
      <c r="CH12" s="39">
        <v>0</v>
      </c>
      <c r="CI12" s="39">
        <v>0</v>
      </c>
      <c r="CJ12" s="39">
        <v>0</v>
      </c>
      <c r="CK12" s="39">
        <v>0</v>
      </c>
      <c r="CL12" s="39">
        <v>0</v>
      </c>
      <c r="CM12" s="39">
        <v>0</v>
      </c>
      <c r="CN12" s="39">
        <v>0</v>
      </c>
      <c r="CO12" s="39">
        <v>0</v>
      </c>
      <c r="CP12" s="38">
        <v>0</v>
      </c>
      <c r="CQ12">
        <v>0</v>
      </c>
      <c r="CR12">
        <v>0</v>
      </c>
      <c r="CS12">
        <v>2018</v>
      </c>
    </row>
    <row r="13" spans="1:97">
      <c r="A13" s="37">
        <v>56329</v>
      </c>
      <c r="B13" s="37" t="s">
        <v>287</v>
      </c>
      <c r="C13" s="38" t="s">
        <v>259</v>
      </c>
      <c r="D13" s="37" t="s">
        <v>254</v>
      </c>
      <c r="E13" s="37" t="s">
        <v>238</v>
      </c>
      <c r="F13" s="37">
        <v>19547</v>
      </c>
      <c r="G13" s="37" t="s">
        <v>239</v>
      </c>
      <c r="H13" s="38" t="s">
        <v>240</v>
      </c>
      <c r="I13" s="38" t="s">
        <v>241</v>
      </c>
      <c r="J13" s="37" t="s">
        <v>242</v>
      </c>
      <c r="K13" s="37">
        <v>22</v>
      </c>
      <c r="L13" s="37">
        <v>1</v>
      </c>
      <c r="M13" s="37" t="s">
        <v>243</v>
      </c>
      <c r="N13" s="37" t="s">
        <v>252</v>
      </c>
      <c r="O13" s="37" t="s">
        <v>245</v>
      </c>
      <c r="P13" s="37" t="s">
        <v>245</v>
      </c>
      <c r="Q13" s="39" t="s">
        <v>242</v>
      </c>
      <c r="R13" s="39" t="s">
        <v>242</v>
      </c>
      <c r="S13" s="39" t="s">
        <v>246</v>
      </c>
      <c r="T13" s="39">
        <v>0</v>
      </c>
      <c r="U13" s="39">
        <v>0</v>
      </c>
      <c r="V13" s="39">
        <v>0</v>
      </c>
      <c r="W13" s="39">
        <v>1374</v>
      </c>
      <c r="X13" s="39">
        <v>0</v>
      </c>
      <c r="Y13" s="39">
        <v>0</v>
      </c>
      <c r="Z13" s="39">
        <v>0</v>
      </c>
      <c r="AA13" s="39">
        <v>0</v>
      </c>
      <c r="AB13" s="39">
        <v>0</v>
      </c>
      <c r="AC13" s="39">
        <v>0</v>
      </c>
      <c r="AD13" s="39">
        <v>22711</v>
      </c>
      <c r="AE13" s="39">
        <v>13223</v>
      </c>
      <c r="AF13" s="39">
        <v>0</v>
      </c>
      <c r="AG13" s="39">
        <v>0</v>
      </c>
      <c r="AH13" s="39">
        <v>0</v>
      </c>
      <c r="AI13" s="39">
        <v>1374</v>
      </c>
      <c r="AJ13" s="39">
        <v>0</v>
      </c>
      <c r="AK13" s="39">
        <v>0</v>
      </c>
      <c r="AL13" s="39">
        <v>0</v>
      </c>
      <c r="AM13" s="39">
        <v>0</v>
      </c>
      <c r="AN13" s="39">
        <v>0</v>
      </c>
      <c r="AO13" s="40">
        <v>0</v>
      </c>
      <c r="AP13" s="40">
        <v>22711</v>
      </c>
      <c r="AQ13" s="40">
        <v>13223</v>
      </c>
      <c r="AR13" s="40">
        <v>0</v>
      </c>
      <c r="AS13" s="40">
        <v>0</v>
      </c>
      <c r="AT13" s="40">
        <v>0</v>
      </c>
      <c r="AU13" s="40">
        <v>5.71</v>
      </c>
      <c r="AV13" s="40">
        <v>0</v>
      </c>
      <c r="AW13" s="40">
        <v>0</v>
      </c>
      <c r="AX13" s="40">
        <v>0</v>
      </c>
      <c r="AY13" s="40">
        <v>0</v>
      </c>
      <c r="AZ13" s="40">
        <v>0</v>
      </c>
      <c r="BA13" s="39">
        <v>0</v>
      </c>
      <c r="BB13" s="39">
        <v>5.7309999999999999</v>
      </c>
      <c r="BC13" s="39">
        <v>5.7279999999999998</v>
      </c>
      <c r="BD13" s="39">
        <v>0</v>
      </c>
      <c r="BE13" s="39">
        <v>0</v>
      </c>
      <c r="BF13" s="39">
        <v>0</v>
      </c>
      <c r="BG13" s="39">
        <v>7846</v>
      </c>
      <c r="BH13" s="39">
        <v>0</v>
      </c>
      <c r="BI13" s="39">
        <v>0</v>
      </c>
      <c r="BJ13" s="39">
        <v>0</v>
      </c>
      <c r="BK13" s="39">
        <v>0</v>
      </c>
      <c r="BL13" s="39">
        <v>0</v>
      </c>
      <c r="BM13" s="39">
        <v>0</v>
      </c>
      <c r="BN13" s="39">
        <v>130157</v>
      </c>
      <c r="BO13" s="39">
        <v>75741</v>
      </c>
      <c r="BP13" s="39">
        <v>0</v>
      </c>
      <c r="BQ13" s="39">
        <v>0</v>
      </c>
      <c r="BR13" s="39">
        <v>0</v>
      </c>
      <c r="BS13" s="39">
        <v>7846</v>
      </c>
      <c r="BT13" s="39">
        <v>0</v>
      </c>
      <c r="BU13" s="39">
        <v>0</v>
      </c>
      <c r="BV13" s="39">
        <v>0</v>
      </c>
      <c r="BW13" s="39">
        <v>0</v>
      </c>
      <c r="BX13" s="39">
        <v>0</v>
      </c>
      <c r="BY13" s="39">
        <v>0</v>
      </c>
      <c r="BZ13" s="39">
        <v>130157</v>
      </c>
      <c r="CA13" s="39">
        <v>75741</v>
      </c>
      <c r="CB13" s="39">
        <v>0</v>
      </c>
      <c r="CC13" s="39">
        <v>0</v>
      </c>
      <c r="CD13" s="39">
        <v>0</v>
      </c>
      <c r="CE13" s="39">
        <v>500.66899999999998</v>
      </c>
      <c r="CF13" s="39">
        <v>0</v>
      </c>
      <c r="CG13" s="39">
        <v>0</v>
      </c>
      <c r="CH13" s="39">
        <v>0</v>
      </c>
      <c r="CI13" s="39">
        <v>0</v>
      </c>
      <c r="CJ13" s="39">
        <v>0</v>
      </c>
      <c r="CK13" s="39">
        <v>0</v>
      </c>
      <c r="CL13" s="39">
        <v>8084</v>
      </c>
      <c r="CM13" s="39">
        <v>4162</v>
      </c>
      <c r="CN13" s="39">
        <v>37308</v>
      </c>
      <c r="CO13" s="39">
        <v>37308</v>
      </c>
      <c r="CP13" s="38">
        <v>213744</v>
      </c>
      <c r="CQ13">
        <v>213744</v>
      </c>
      <c r="CR13">
        <v>12746.669</v>
      </c>
      <c r="CS13">
        <v>2018</v>
      </c>
    </row>
    <row r="14" spans="1:97">
      <c r="A14" s="37">
        <v>56329</v>
      </c>
      <c r="B14" s="37" t="s">
        <v>287</v>
      </c>
      <c r="C14" s="38" t="s">
        <v>259</v>
      </c>
      <c r="D14" s="37" t="s">
        <v>254</v>
      </c>
      <c r="E14" s="37" t="s">
        <v>238</v>
      </c>
      <c r="F14" s="37">
        <v>19547</v>
      </c>
      <c r="G14" s="37" t="s">
        <v>239</v>
      </c>
      <c r="H14" s="38" t="s">
        <v>240</v>
      </c>
      <c r="I14" s="38" t="s">
        <v>241</v>
      </c>
      <c r="J14" s="37" t="s">
        <v>242</v>
      </c>
      <c r="K14" s="37">
        <v>22</v>
      </c>
      <c r="L14" s="37">
        <v>1</v>
      </c>
      <c r="M14" s="37" t="s">
        <v>243</v>
      </c>
      <c r="N14" s="37" t="s">
        <v>252</v>
      </c>
      <c r="O14" s="37" t="s">
        <v>255</v>
      </c>
      <c r="P14" s="37" t="s">
        <v>256</v>
      </c>
      <c r="Q14" s="39" t="s">
        <v>242</v>
      </c>
      <c r="R14" s="39" t="s">
        <v>242</v>
      </c>
      <c r="S14" s="39" t="s">
        <v>246</v>
      </c>
      <c r="T14" s="39">
        <v>23567</v>
      </c>
      <c r="U14" s="39">
        <v>10867</v>
      </c>
      <c r="V14" s="39">
        <v>6860</v>
      </c>
      <c r="W14" s="39">
        <v>17779</v>
      </c>
      <c r="X14" s="39">
        <v>3481</v>
      </c>
      <c r="Y14" s="39">
        <v>0</v>
      </c>
      <c r="Z14" s="39">
        <v>0</v>
      </c>
      <c r="AA14" s="39">
        <v>0</v>
      </c>
      <c r="AB14" s="39">
        <v>0</v>
      </c>
      <c r="AC14" s="39">
        <v>6894</v>
      </c>
      <c r="AD14" s="39">
        <v>0</v>
      </c>
      <c r="AE14" s="39">
        <v>0</v>
      </c>
      <c r="AF14" s="39">
        <v>23567</v>
      </c>
      <c r="AG14" s="39">
        <v>10867</v>
      </c>
      <c r="AH14" s="39">
        <v>6860</v>
      </c>
      <c r="AI14" s="39">
        <v>17779</v>
      </c>
      <c r="AJ14" s="39">
        <v>3481</v>
      </c>
      <c r="AK14" s="39">
        <v>0</v>
      </c>
      <c r="AL14" s="39">
        <v>0</v>
      </c>
      <c r="AM14" s="39">
        <v>0</v>
      </c>
      <c r="AN14" s="39">
        <v>0</v>
      </c>
      <c r="AO14" s="40">
        <v>6894</v>
      </c>
      <c r="AP14" s="40">
        <v>0</v>
      </c>
      <c r="AQ14" s="40">
        <v>0</v>
      </c>
      <c r="AR14" s="40">
        <v>5.3209999999999997</v>
      </c>
      <c r="AS14" s="40">
        <v>5.3250000000000002</v>
      </c>
      <c r="AT14" s="40">
        <v>5.2990000000000004</v>
      </c>
      <c r="AU14" s="40">
        <v>5.2930000000000001</v>
      </c>
      <c r="AV14" s="40">
        <v>5.2530000000000001</v>
      </c>
      <c r="AW14" s="40">
        <v>0</v>
      </c>
      <c r="AX14" s="40">
        <v>0</v>
      </c>
      <c r="AY14" s="40">
        <v>0</v>
      </c>
      <c r="AZ14" s="40">
        <v>0</v>
      </c>
      <c r="BA14" s="39">
        <v>5.7249999999999996</v>
      </c>
      <c r="BB14" s="39">
        <v>0</v>
      </c>
      <c r="BC14" s="39">
        <v>0</v>
      </c>
      <c r="BD14" s="39">
        <v>125400</v>
      </c>
      <c r="BE14" s="39">
        <v>57867</v>
      </c>
      <c r="BF14" s="39">
        <v>36351</v>
      </c>
      <c r="BG14" s="39">
        <v>94104</v>
      </c>
      <c r="BH14" s="39">
        <v>18286</v>
      </c>
      <c r="BI14" s="39">
        <v>0</v>
      </c>
      <c r="BJ14" s="39">
        <v>0</v>
      </c>
      <c r="BK14" s="39">
        <v>0</v>
      </c>
      <c r="BL14" s="39">
        <v>0</v>
      </c>
      <c r="BM14" s="39">
        <v>39468</v>
      </c>
      <c r="BN14" s="39">
        <v>0</v>
      </c>
      <c r="BO14" s="39">
        <v>0</v>
      </c>
      <c r="BP14" s="39">
        <v>125400</v>
      </c>
      <c r="BQ14" s="39">
        <v>57867</v>
      </c>
      <c r="BR14" s="39">
        <v>36351</v>
      </c>
      <c r="BS14" s="39">
        <v>94104</v>
      </c>
      <c r="BT14" s="39">
        <v>18286</v>
      </c>
      <c r="BU14" s="39">
        <v>0</v>
      </c>
      <c r="BV14" s="39">
        <v>0</v>
      </c>
      <c r="BW14" s="39">
        <v>0</v>
      </c>
      <c r="BX14" s="39">
        <v>0</v>
      </c>
      <c r="BY14" s="39">
        <v>39468</v>
      </c>
      <c r="BZ14" s="39">
        <v>0</v>
      </c>
      <c r="CA14" s="39">
        <v>0</v>
      </c>
      <c r="CB14" s="39">
        <v>7726</v>
      </c>
      <c r="CC14" s="39">
        <v>3420</v>
      </c>
      <c r="CD14" s="39">
        <v>1992</v>
      </c>
      <c r="CE14" s="39">
        <v>6005.3310000000001</v>
      </c>
      <c r="CF14" s="39">
        <v>857</v>
      </c>
      <c r="CG14" s="39">
        <v>-190</v>
      </c>
      <c r="CH14" s="39">
        <v>-104</v>
      </c>
      <c r="CI14" s="39">
        <v>-344</v>
      </c>
      <c r="CJ14" s="39">
        <v>-333</v>
      </c>
      <c r="CK14" s="39">
        <v>2431</v>
      </c>
      <c r="CL14" s="39">
        <v>0</v>
      </c>
      <c r="CM14" s="39">
        <v>0</v>
      </c>
      <c r="CN14" s="39">
        <v>69448</v>
      </c>
      <c r="CO14" s="39">
        <v>69448</v>
      </c>
      <c r="CP14" s="38">
        <v>371476</v>
      </c>
      <c r="CQ14">
        <v>371476</v>
      </c>
      <c r="CR14">
        <v>21460.330999999998</v>
      </c>
      <c r="CS14">
        <v>2018</v>
      </c>
    </row>
    <row r="15" spans="1:97">
      <c r="A15" s="37">
        <v>58469</v>
      </c>
      <c r="B15" s="37" t="s">
        <v>287</v>
      </c>
      <c r="C15" s="38" t="s">
        <v>259</v>
      </c>
      <c r="D15" s="37" t="s">
        <v>257</v>
      </c>
      <c r="E15" s="37" t="s">
        <v>238</v>
      </c>
      <c r="F15" s="37">
        <v>19547</v>
      </c>
      <c r="G15" s="37" t="s">
        <v>239</v>
      </c>
      <c r="H15" s="38" t="s">
        <v>240</v>
      </c>
      <c r="I15" s="38" t="s">
        <v>241</v>
      </c>
      <c r="J15" s="37" t="s">
        <v>242</v>
      </c>
      <c r="K15" s="37">
        <v>22</v>
      </c>
      <c r="L15" s="37">
        <v>1</v>
      </c>
      <c r="M15" s="37" t="s">
        <v>243</v>
      </c>
      <c r="N15" s="37" t="s">
        <v>258</v>
      </c>
      <c r="O15" s="37" t="s">
        <v>245</v>
      </c>
      <c r="P15" s="37" t="s">
        <v>245</v>
      </c>
      <c r="Q15" s="39" t="s">
        <v>242</v>
      </c>
      <c r="R15" s="39" t="s">
        <v>242</v>
      </c>
      <c r="S15" s="39" t="s">
        <v>246</v>
      </c>
      <c r="T15" s="39">
        <v>0</v>
      </c>
      <c r="U15" s="39">
        <v>0</v>
      </c>
      <c r="V15" s="39">
        <v>0</v>
      </c>
      <c r="W15" s="39">
        <v>0</v>
      </c>
      <c r="X15" s="39">
        <v>0</v>
      </c>
      <c r="Y15" s="39">
        <v>0</v>
      </c>
      <c r="Z15" s="39">
        <v>0</v>
      </c>
      <c r="AA15" s="39">
        <v>0</v>
      </c>
      <c r="AB15" s="39">
        <v>0</v>
      </c>
      <c r="AC15" s="39">
        <v>0</v>
      </c>
      <c r="AD15" s="39">
        <v>0</v>
      </c>
      <c r="AE15" s="39">
        <v>0</v>
      </c>
      <c r="AF15" s="39">
        <v>0</v>
      </c>
      <c r="AG15" s="39">
        <v>0</v>
      </c>
      <c r="AH15" s="39">
        <v>0</v>
      </c>
      <c r="AI15" s="39">
        <v>0</v>
      </c>
      <c r="AJ15" s="39">
        <v>0</v>
      </c>
      <c r="AK15" s="39">
        <v>0</v>
      </c>
      <c r="AL15" s="39">
        <v>0</v>
      </c>
      <c r="AM15" s="39">
        <v>0</v>
      </c>
      <c r="AN15" s="39">
        <v>0</v>
      </c>
      <c r="AO15" s="40">
        <v>0</v>
      </c>
      <c r="AP15" s="40">
        <v>0</v>
      </c>
      <c r="AQ15" s="40">
        <v>0</v>
      </c>
      <c r="AR15" s="40">
        <v>0</v>
      </c>
      <c r="AS15" s="40">
        <v>0</v>
      </c>
      <c r="AT15" s="40">
        <v>0</v>
      </c>
      <c r="AU15" s="40">
        <v>0</v>
      </c>
      <c r="AV15" s="40">
        <v>0</v>
      </c>
      <c r="AW15" s="40">
        <v>0</v>
      </c>
      <c r="AX15" s="40">
        <v>0</v>
      </c>
      <c r="AY15" s="40">
        <v>0</v>
      </c>
      <c r="AZ15" s="40">
        <v>0</v>
      </c>
      <c r="BA15" s="39">
        <v>0</v>
      </c>
      <c r="BB15" s="39">
        <v>0</v>
      </c>
      <c r="BC15" s="39">
        <v>0</v>
      </c>
      <c r="BD15" s="39">
        <v>0</v>
      </c>
      <c r="BE15" s="39">
        <v>0</v>
      </c>
      <c r="BF15" s="39">
        <v>0</v>
      </c>
      <c r="BG15" s="39">
        <v>0</v>
      </c>
      <c r="BH15" s="39">
        <v>0</v>
      </c>
      <c r="BI15" s="39">
        <v>0</v>
      </c>
      <c r="BJ15" s="39">
        <v>0</v>
      </c>
      <c r="BK15" s="39">
        <v>0</v>
      </c>
      <c r="BL15" s="39">
        <v>0</v>
      </c>
      <c r="BM15" s="39">
        <v>0</v>
      </c>
      <c r="BN15" s="39">
        <v>0</v>
      </c>
      <c r="BO15" s="39">
        <v>0</v>
      </c>
      <c r="BP15" s="39">
        <v>0</v>
      </c>
      <c r="BQ15" s="39">
        <v>0</v>
      </c>
      <c r="BR15" s="39">
        <v>0</v>
      </c>
      <c r="BS15" s="39">
        <v>0</v>
      </c>
      <c r="BT15" s="39">
        <v>0</v>
      </c>
      <c r="BU15" s="39">
        <v>0</v>
      </c>
      <c r="BV15" s="39">
        <v>0</v>
      </c>
      <c r="BW15" s="39">
        <v>0</v>
      </c>
      <c r="BX15" s="39">
        <v>0</v>
      </c>
      <c r="BY15" s="39">
        <v>0</v>
      </c>
      <c r="BZ15" s="39">
        <v>0</v>
      </c>
      <c r="CA15" s="39">
        <v>0</v>
      </c>
      <c r="CB15" s="39">
        <v>0</v>
      </c>
      <c r="CC15" s="39">
        <v>0</v>
      </c>
      <c r="CD15" s="39">
        <v>0</v>
      </c>
      <c r="CE15" s="39">
        <v>0</v>
      </c>
      <c r="CF15" s="39">
        <v>0</v>
      </c>
      <c r="CG15" s="39">
        <v>0</v>
      </c>
      <c r="CH15" s="39">
        <v>0</v>
      </c>
      <c r="CI15" s="39">
        <v>0</v>
      </c>
      <c r="CJ15" s="39">
        <v>0</v>
      </c>
      <c r="CK15" s="39">
        <v>0</v>
      </c>
      <c r="CL15" s="39">
        <v>0</v>
      </c>
      <c r="CM15" s="39">
        <v>0</v>
      </c>
      <c r="CN15" s="39">
        <v>0</v>
      </c>
      <c r="CO15" s="39">
        <v>0</v>
      </c>
      <c r="CP15" s="38">
        <v>0</v>
      </c>
      <c r="CQ15">
        <v>0</v>
      </c>
      <c r="CR15">
        <v>0</v>
      </c>
      <c r="CS15">
        <v>2018</v>
      </c>
    </row>
    <row r="16" spans="1:97">
      <c r="A16" s="37">
        <v>58469</v>
      </c>
      <c r="B16" s="37" t="s">
        <v>287</v>
      </c>
      <c r="C16" s="38" t="s">
        <v>259</v>
      </c>
      <c r="D16" s="37" t="s">
        <v>257</v>
      </c>
      <c r="E16" s="37" t="s">
        <v>238</v>
      </c>
      <c r="F16" s="37">
        <v>19547</v>
      </c>
      <c r="G16" s="37" t="s">
        <v>239</v>
      </c>
      <c r="H16" s="38" t="s">
        <v>240</v>
      </c>
      <c r="I16" s="38" t="s">
        <v>241</v>
      </c>
      <c r="J16" s="37" t="s">
        <v>242</v>
      </c>
      <c r="K16" s="37">
        <v>22</v>
      </c>
      <c r="L16" s="37">
        <v>1</v>
      </c>
      <c r="M16" s="37" t="s">
        <v>243</v>
      </c>
      <c r="N16" s="37" t="s">
        <v>258</v>
      </c>
      <c r="O16" s="37" t="s">
        <v>255</v>
      </c>
      <c r="P16" s="37" t="s">
        <v>256</v>
      </c>
      <c r="Q16" s="39" t="s">
        <v>242</v>
      </c>
      <c r="R16" s="39" t="s">
        <v>242</v>
      </c>
      <c r="S16" s="39" t="s">
        <v>246</v>
      </c>
      <c r="T16" s="39">
        <v>92</v>
      </c>
      <c r="U16" s="39">
        <v>87</v>
      </c>
      <c r="V16" s="39">
        <v>93</v>
      </c>
      <c r="W16" s="39">
        <v>87</v>
      </c>
      <c r="X16" s="39">
        <v>88</v>
      </c>
      <c r="Y16" s="39">
        <v>89</v>
      </c>
      <c r="Z16" s="39">
        <v>92</v>
      </c>
      <c r="AA16" s="39">
        <v>92</v>
      </c>
      <c r="AB16" s="39">
        <v>83</v>
      </c>
      <c r="AC16" s="39">
        <v>91</v>
      </c>
      <c r="AD16" s="39">
        <v>90</v>
      </c>
      <c r="AE16" s="39">
        <v>94</v>
      </c>
      <c r="AF16" s="39">
        <v>92</v>
      </c>
      <c r="AG16" s="39">
        <v>87</v>
      </c>
      <c r="AH16" s="39">
        <v>93</v>
      </c>
      <c r="AI16" s="39">
        <v>87</v>
      </c>
      <c r="AJ16" s="39">
        <v>88</v>
      </c>
      <c r="AK16" s="39">
        <v>89</v>
      </c>
      <c r="AL16" s="39">
        <v>92</v>
      </c>
      <c r="AM16" s="39">
        <v>92</v>
      </c>
      <c r="AN16" s="39">
        <v>83</v>
      </c>
      <c r="AO16" s="40">
        <v>91</v>
      </c>
      <c r="AP16" s="40">
        <v>90</v>
      </c>
      <c r="AQ16" s="40">
        <v>94</v>
      </c>
      <c r="AR16" s="40">
        <v>5.2709999999999999</v>
      </c>
      <c r="AS16" s="40">
        <v>5.2709999999999999</v>
      </c>
      <c r="AT16" s="40">
        <v>5.2709999999999999</v>
      </c>
      <c r="AU16" s="40">
        <v>5.2709999999999999</v>
      </c>
      <c r="AV16" s="40">
        <v>5.2709999999999999</v>
      </c>
      <c r="AW16" s="40">
        <v>5.2709999999999999</v>
      </c>
      <c r="AX16" s="40">
        <v>5.2709999999999999</v>
      </c>
      <c r="AY16" s="40">
        <v>5.2709999999999999</v>
      </c>
      <c r="AZ16" s="40">
        <v>5.2709999999999999</v>
      </c>
      <c r="BA16" s="39">
        <v>5.2709999999999999</v>
      </c>
      <c r="BB16" s="39">
        <v>5.2709999999999999</v>
      </c>
      <c r="BC16" s="39">
        <v>5.2709999999999999</v>
      </c>
      <c r="BD16" s="39">
        <v>485</v>
      </c>
      <c r="BE16" s="39">
        <v>459</v>
      </c>
      <c r="BF16" s="39">
        <v>490</v>
      </c>
      <c r="BG16" s="39">
        <v>459</v>
      </c>
      <c r="BH16" s="39">
        <v>464</v>
      </c>
      <c r="BI16" s="39">
        <v>469</v>
      </c>
      <c r="BJ16" s="39">
        <v>485</v>
      </c>
      <c r="BK16" s="39">
        <v>485</v>
      </c>
      <c r="BL16" s="39">
        <v>437</v>
      </c>
      <c r="BM16" s="39">
        <v>480</v>
      </c>
      <c r="BN16" s="39">
        <v>474</v>
      </c>
      <c r="BO16" s="39">
        <v>495</v>
      </c>
      <c r="BP16" s="39">
        <v>485</v>
      </c>
      <c r="BQ16" s="39">
        <v>459</v>
      </c>
      <c r="BR16" s="39">
        <v>490</v>
      </c>
      <c r="BS16" s="39">
        <v>459</v>
      </c>
      <c r="BT16" s="39">
        <v>464</v>
      </c>
      <c r="BU16" s="39">
        <v>469</v>
      </c>
      <c r="BV16" s="39">
        <v>485</v>
      </c>
      <c r="BW16" s="39">
        <v>485</v>
      </c>
      <c r="BX16" s="39">
        <v>437</v>
      </c>
      <c r="BY16" s="39">
        <v>480</v>
      </c>
      <c r="BZ16" s="39">
        <v>474</v>
      </c>
      <c r="CA16" s="39">
        <v>495</v>
      </c>
      <c r="CB16" s="39">
        <v>51.526000000000003</v>
      </c>
      <c r="CC16" s="39">
        <v>48.497999999999998</v>
      </c>
      <c r="CD16" s="39">
        <v>52.343000000000004</v>
      </c>
      <c r="CE16" s="39">
        <v>48.904000000000003</v>
      </c>
      <c r="CF16" s="39">
        <v>49.2</v>
      </c>
      <c r="CG16" s="39">
        <v>49.832000000000001</v>
      </c>
      <c r="CH16" s="39">
        <v>51.276000000000003</v>
      </c>
      <c r="CI16" s="39">
        <v>51.482999999999997</v>
      </c>
      <c r="CJ16" s="39">
        <v>46.558</v>
      </c>
      <c r="CK16" s="39">
        <v>50.911000000000001</v>
      </c>
      <c r="CL16" s="39">
        <v>50.567</v>
      </c>
      <c r="CM16" s="39">
        <v>52.902000000000001</v>
      </c>
      <c r="CN16" s="39">
        <v>1078</v>
      </c>
      <c r="CO16" s="39">
        <v>1078</v>
      </c>
      <c r="CP16" s="38">
        <v>5682</v>
      </c>
      <c r="CQ16">
        <v>5682</v>
      </c>
      <c r="CR16">
        <v>604</v>
      </c>
      <c r="CS16">
        <v>2018</v>
      </c>
    </row>
    <row r="17" spans="1:97">
      <c r="A17" s="37">
        <v>60328</v>
      </c>
      <c r="B17" s="37" t="s">
        <v>287</v>
      </c>
      <c r="C17" s="38" t="s">
        <v>259</v>
      </c>
      <c r="D17" s="37" t="s">
        <v>288</v>
      </c>
      <c r="E17" s="37" t="s">
        <v>238</v>
      </c>
      <c r="F17" s="37">
        <v>19547</v>
      </c>
      <c r="G17" s="37" t="s">
        <v>239</v>
      </c>
      <c r="H17" s="38" t="s">
        <v>240</v>
      </c>
      <c r="I17" s="38" t="s">
        <v>242</v>
      </c>
      <c r="J17" s="37" t="s">
        <v>242</v>
      </c>
      <c r="K17" s="37">
        <v>22</v>
      </c>
      <c r="L17" s="37">
        <v>1</v>
      </c>
      <c r="M17" s="37" t="s">
        <v>243</v>
      </c>
      <c r="N17" s="37" t="s">
        <v>258</v>
      </c>
      <c r="O17" s="37" t="s">
        <v>245</v>
      </c>
      <c r="P17" s="37" t="s">
        <v>245</v>
      </c>
      <c r="Q17" s="39" t="s">
        <v>242</v>
      </c>
      <c r="R17" s="39" t="s">
        <v>242</v>
      </c>
      <c r="S17" s="39" t="s">
        <v>246</v>
      </c>
      <c r="T17" s="39" t="s">
        <v>259</v>
      </c>
      <c r="U17" s="39" t="s">
        <v>259</v>
      </c>
      <c r="V17" s="39" t="s">
        <v>259</v>
      </c>
      <c r="W17" s="39" t="s">
        <v>259</v>
      </c>
      <c r="X17" s="39" t="s">
        <v>259</v>
      </c>
      <c r="Y17" s="39">
        <v>0</v>
      </c>
      <c r="Z17" s="39">
        <v>0</v>
      </c>
      <c r="AA17" s="39">
        <v>0</v>
      </c>
      <c r="AB17" s="39">
        <v>0</v>
      </c>
      <c r="AC17" s="39">
        <v>0</v>
      </c>
      <c r="AD17" s="39">
        <v>0</v>
      </c>
      <c r="AE17" s="39">
        <v>0</v>
      </c>
      <c r="AF17" s="39" t="s">
        <v>259</v>
      </c>
      <c r="AG17" s="39" t="s">
        <v>259</v>
      </c>
      <c r="AH17" s="39" t="s">
        <v>259</v>
      </c>
      <c r="AI17" s="39" t="s">
        <v>259</v>
      </c>
      <c r="AJ17" s="39" t="s">
        <v>259</v>
      </c>
      <c r="AK17" s="39">
        <v>0</v>
      </c>
      <c r="AL17" s="39">
        <v>0</v>
      </c>
      <c r="AM17" s="39">
        <v>0</v>
      </c>
      <c r="AN17" s="39">
        <v>0</v>
      </c>
      <c r="AO17" s="40">
        <v>0</v>
      </c>
      <c r="AP17" s="40">
        <v>0</v>
      </c>
      <c r="AQ17" s="40">
        <v>0</v>
      </c>
      <c r="AR17" s="40" t="s">
        <v>259</v>
      </c>
      <c r="AS17" s="40" t="s">
        <v>259</v>
      </c>
      <c r="AT17" s="40" t="s">
        <v>259</v>
      </c>
      <c r="AU17" s="40" t="s">
        <v>259</v>
      </c>
      <c r="AV17" s="40" t="s">
        <v>259</v>
      </c>
      <c r="AW17" s="40">
        <v>0</v>
      </c>
      <c r="AX17" s="40">
        <v>0</v>
      </c>
      <c r="AY17" s="40">
        <v>0</v>
      </c>
      <c r="AZ17" s="40">
        <v>0</v>
      </c>
      <c r="BA17" s="39">
        <v>0</v>
      </c>
      <c r="BB17" s="39">
        <v>0</v>
      </c>
      <c r="BC17" s="39">
        <v>0</v>
      </c>
      <c r="BD17" s="39" t="s">
        <v>259</v>
      </c>
      <c r="BE17" s="39" t="s">
        <v>259</v>
      </c>
      <c r="BF17" s="39" t="s">
        <v>259</v>
      </c>
      <c r="BG17" s="39" t="s">
        <v>259</v>
      </c>
      <c r="BH17" s="39" t="s">
        <v>259</v>
      </c>
      <c r="BI17" s="39">
        <v>0</v>
      </c>
      <c r="BJ17" s="39">
        <v>0</v>
      </c>
      <c r="BK17" s="39">
        <v>0</v>
      </c>
      <c r="BL17" s="39">
        <v>0</v>
      </c>
      <c r="BM17" s="39">
        <v>0</v>
      </c>
      <c r="BN17" s="39">
        <v>0</v>
      </c>
      <c r="BO17" s="39">
        <v>0</v>
      </c>
      <c r="BP17" s="39" t="s">
        <v>259</v>
      </c>
      <c r="BQ17" s="39" t="s">
        <v>259</v>
      </c>
      <c r="BR17" s="39" t="s">
        <v>259</v>
      </c>
      <c r="BS17" s="39" t="s">
        <v>259</v>
      </c>
      <c r="BT17" s="39" t="s">
        <v>259</v>
      </c>
      <c r="BU17" s="39">
        <v>0</v>
      </c>
      <c r="BV17" s="39">
        <v>0</v>
      </c>
      <c r="BW17" s="39">
        <v>0</v>
      </c>
      <c r="BX17" s="39">
        <v>0</v>
      </c>
      <c r="BY17" s="39">
        <v>0</v>
      </c>
      <c r="BZ17" s="39">
        <v>0</v>
      </c>
      <c r="CA17" s="39">
        <v>0</v>
      </c>
      <c r="CB17" s="39" t="s">
        <v>259</v>
      </c>
      <c r="CC17" s="39" t="s">
        <v>259</v>
      </c>
      <c r="CD17" s="39" t="s">
        <v>259</v>
      </c>
      <c r="CE17" s="39" t="s">
        <v>259</v>
      </c>
      <c r="CF17" s="39" t="s">
        <v>259</v>
      </c>
      <c r="CG17" s="39">
        <v>0</v>
      </c>
      <c r="CH17" s="39">
        <v>0</v>
      </c>
      <c r="CI17" s="39">
        <v>0</v>
      </c>
      <c r="CJ17" s="39">
        <v>0</v>
      </c>
      <c r="CK17" s="39">
        <v>0</v>
      </c>
      <c r="CL17" s="39">
        <v>0</v>
      </c>
      <c r="CM17" s="39">
        <v>0</v>
      </c>
      <c r="CN17" s="39">
        <v>0</v>
      </c>
      <c r="CO17" s="39">
        <v>0</v>
      </c>
      <c r="CP17" s="38">
        <v>0</v>
      </c>
      <c r="CQ17">
        <v>0</v>
      </c>
      <c r="CR17">
        <v>0</v>
      </c>
      <c r="CS17">
        <v>2018</v>
      </c>
    </row>
    <row r="18" spans="1:97">
      <c r="A18" s="44">
        <v>60328</v>
      </c>
      <c r="B18" s="44" t="s">
        <v>287</v>
      </c>
      <c r="C18" s="45" t="s">
        <v>259</v>
      </c>
      <c r="D18" s="44" t="s">
        <v>288</v>
      </c>
      <c r="E18" s="44" t="s">
        <v>238</v>
      </c>
      <c r="F18" s="44">
        <v>19547</v>
      </c>
      <c r="G18" s="44" t="s">
        <v>239</v>
      </c>
      <c r="H18" s="45" t="s">
        <v>240</v>
      </c>
      <c r="I18" s="45" t="s">
        <v>242</v>
      </c>
      <c r="J18" s="44" t="s">
        <v>242</v>
      </c>
      <c r="K18" s="44">
        <v>22</v>
      </c>
      <c r="L18" s="44">
        <v>1</v>
      </c>
      <c r="M18" s="44" t="s">
        <v>243</v>
      </c>
      <c r="N18" s="44" t="s">
        <v>258</v>
      </c>
      <c r="O18" s="44" t="s">
        <v>255</v>
      </c>
      <c r="P18" s="44" t="s">
        <v>256</v>
      </c>
      <c r="Q18" s="46" t="s">
        <v>242</v>
      </c>
      <c r="R18" s="46" t="s">
        <v>242</v>
      </c>
      <c r="S18" s="46" t="s">
        <v>246</v>
      </c>
      <c r="T18" s="46" t="s">
        <v>259</v>
      </c>
      <c r="U18" s="46" t="s">
        <v>259</v>
      </c>
      <c r="V18" s="46" t="s">
        <v>259</v>
      </c>
      <c r="W18" s="46" t="s">
        <v>259</v>
      </c>
      <c r="X18" s="46" t="s">
        <v>259</v>
      </c>
      <c r="Y18" s="46">
        <v>3933</v>
      </c>
      <c r="Z18" s="46">
        <v>9243</v>
      </c>
      <c r="AA18" s="46">
        <v>8020</v>
      </c>
      <c r="AB18" s="46">
        <v>7797</v>
      </c>
      <c r="AC18" s="46">
        <v>8020</v>
      </c>
      <c r="AD18" s="46">
        <v>8494</v>
      </c>
      <c r="AE18" s="46">
        <v>6064</v>
      </c>
      <c r="AF18" s="46" t="s">
        <v>259</v>
      </c>
      <c r="AG18" s="46" t="s">
        <v>259</v>
      </c>
      <c r="AH18" s="46" t="s">
        <v>259</v>
      </c>
      <c r="AI18" s="46" t="s">
        <v>259</v>
      </c>
      <c r="AJ18" s="46" t="s">
        <v>259</v>
      </c>
      <c r="AK18" s="46">
        <v>3933</v>
      </c>
      <c r="AL18" s="46">
        <v>9243</v>
      </c>
      <c r="AM18" s="46">
        <v>8020</v>
      </c>
      <c r="AN18" s="46">
        <v>7797</v>
      </c>
      <c r="AO18" s="47">
        <v>8020</v>
      </c>
      <c r="AP18" s="47">
        <v>8494</v>
      </c>
      <c r="AQ18" s="47">
        <v>6064</v>
      </c>
      <c r="AR18" s="47" t="s">
        <v>259</v>
      </c>
      <c r="AS18" s="47" t="s">
        <v>259</v>
      </c>
      <c r="AT18" s="47" t="s">
        <v>259</v>
      </c>
      <c r="AU18" s="47" t="s">
        <v>259</v>
      </c>
      <c r="AV18" s="47" t="s">
        <v>259</v>
      </c>
      <c r="AW18" s="47">
        <v>5.2930000000000001</v>
      </c>
      <c r="AX18" s="47">
        <v>5.2679999999999998</v>
      </c>
      <c r="AY18" s="47">
        <v>5.2709999999999999</v>
      </c>
      <c r="AZ18" s="47">
        <v>5.2640000000000002</v>
      </c>
      <c r="BA18" s="46">
        <v>5.29</v>
      </c>
      <c r="BB18" s="46">
        <v>5.282</v>
      </c>
      <c r="BC18" s="46">
        <v>5.2850000000000001</v>
      </c>
      <c r="BD18" s="46" t="s">
        <v>259</v>
      </c>
      <c r="BE18" s="46" t="s">
        <v>259</v>
      </c>
      <c r="BF18" s="46" t="s">
        <v>259</v>
      </c>
      <c r="BG18" s="46" t="s">
        <v>259</v>
      </c>
      <c r="BH18" s="46" t="s">
        <v>259</v>
      </c>
      <c r="BI18" s="46">
        <v>20817</v>
      </c>
      <c r="BJ18" s="46">
        <v>48692</v>
      </c>
      <c r="BK18" s="46">
        <v>42273</v>
      </c>
      <c r="BL18" s="46">
        <v>41043</v>
      </c>
      <c r="BM18" s="46">
        <v>42426</v>
      </c>
      <c r="BN18" s="46">
        <v>44865</v>
      </c>
      <c r="BO18" s="46">
        <v>32048</v>
      </c>
      <c r="BP18" s="46" t="s">
        <v>259</v>
      </c>
      <c r="BQ18" s="46" t="s">
        <v>259</v>
      </c>
      <c r="BR18" s="46" t="s">
        <v>259</v>
      </c>
      <c r="BS18" s="46" t="s">
        <v>259</v>
      </c>
      <c r="BT18" s="46" t="s">
        <v>259</v>
      </c>
      <c r="BU18" s="46">
        <v>20817</v>
      </c>
      <c r="BV18" s="46">
        <v>48692</v>
      </c>
      <c r="BW18" s="46">
        <v>42273</v>
      </c>
      <c r="BX18" s="46">
        <v>41043</v>
      </c>
      <c r="BY18" s="46">
        <v>42426</v>
      </c>
      <c r="BZ18" s="46">
        <v>44865</v>
      </c>
      <c r="CA18" s="46">
        <v>32048</v>
      </c>
      <c r="CB18" s="46" t="s">
        <v>259</v>
      </c>
      <c r="CC18" s="46" t="s">
        <v>259</v>
      </c>
      <c r="CD18" s="46" t="s">
        <v>259</v>
      </c>
      <c r="CE18" s="46" t="s">
        <v>259</v>
      </c>
      <c r="CF18" s="46" t="s">
        <v>259</v>
      </c>
      <c r="CG18" s="46">
        <v>2171</v>
      </c>
      <c r="CH18" s="46">
        <v>5647</v>
      </c>
      <c r="CI18" s="46">
        <v>4830</v>
      </c>
      <c r="CJ18" s="46">
        <v>4750</v>
      </c>
      <c r="CK18" s="46">
        <v>4921</v>
      </c>
      <c r="CL18" s="46">
        <v>5221</v>
      </c>
      <c r="CM18" s="46">
        <v>3691</v>
      </c>
      <c r="CN18" s="46">
        <v>51571</v>
      </c>
      <c r="CO18" s="46">
        <v>51571</v>
      </c>
      <c r="CP18" s="45">
        <v>272164</v>
      </c>
      <c r="CQ18">
        <v>272164</v>
      </c>
      <c r="CR18">
        <v>31231</v>
      </c>
      <c r="CS18">
        <v>2018</v>
      </c>
    </row>
    <row r="19" spans="1:97">
      <c r="A19" s="44">
        <v>61851</v>
      </c>
      <c r="B19" s="44" t="s">
        <v>287</v>
      </c>
      <c r="C19" s="45" t="s">
        <v>259</v>
      </c>
      <c r="D19" s="44" t="s">
        <v>260</v>
      </c>
      <c r="E19" s="44" t="s">
        <v>238</v>
      </c>
      <c r="F19" s="44">
        <v>19547</v>
      </c>
      <c r="G19" s="44" t="s">
        <v>239</v>
      </c>
      <c r="H19" s="45" t="s">
        <v>240</v>
      </c>
      <c r="I19" s="45" t="s">
        <v>242</v>
      </c>
      <c r="J19" s="44" t="s">
        <v>242</v>
      </c>
      <c r="K19" s="44">
        <v>22</v>
      </c>
      <c r="L19" s="44">
        <v>1</v>
      </c>
      <c r="M19" s="44" t="s">
        <v>243</v>
      </c>
      <c r="N19" s="44" t="s">
        <v>261</v>
      </c>
      <c r="O19" s="44" t="s">
        <v>262</v>
      </c>
      <c r="P19" s="44" t="s">
        <v>263</v>
      </c>
      <c r="Q19" s="46" t="s">
        <v>242</v>
      </c>
      <c r="R19" s="46" t="s">
        <v>242</v>
      </c>
      <c r="S19" s="46" t="s">
        <v>242</v>
      </c>
      <c r="T19" s="46">
        <v>27</v>
      </c>
      <c r="U19" s="46">
        <v>25</v>
      </c>
      <c r="V19" s="46">
        <v>28</v>
      </c>
      <c r="W19" s="46">
        <v>26</v>
      </c>
      <c r="X19" s="46">
        <v>27</v>
      </c>
      <c r="Y19" s="46">
        <v>29</v>
      </c>
      <c r="Z19" s="46">
        <v>29</v>
      </c>
      <c r="AA19" s="46">
        <v>29</v>
      </c>
      <c r="AB19" s="46">
        <v>25</v>
      </c>
      <c r="AC19" s="46">
        <v>28</v>
      </c>
      <c r="AD19" s="46">
        <v>28</v>
      </c>
      <c r="AE19" s="46">
        <v>29</v>
      </c>
      <c r="AF19" s="46">
        <v>27</v>
      </c>
      <c r="AG19" s="46">
        <v>25</v>
      </c>
      <c r="AH19" s="46">
        <v>28</v>
      </c>
      <c r="AI19" s="46">
        <v>26</v>
      </c>
      <c r="AJ19" s="46">
        <v>27</v>
      </c>
      <c r="AK19" s="46">
        <v>29</v>
      </c>
      <c r="AL19" s="46">
        <v>29</v>
      </c>
      <c r="AM19" s="46">
        <v>29</v>
      </c>
      <c r="AN19" s="46">
        <v>25</v>
      </c>
      <c r="AO19" s="47">
        <v>28</v>
      </c>
      <c r="AP19" s="47">
        <v>28</v>
      </c>
      <c r="AQ19" s="47">
        <v>29</v>
      </c>
      <c r="AR19" s="47">
        <v>0</v>
      </c>
      <c r="AS19" s="47">
        <v>0</v>
      </c>
      <c r="AT19" s="47">
        <v>0</v>
      </c>
      <c r="AU19" s="47">
        <v>0</v>
      </c>
      <c r="AV19" s="47">
        <v>0</v>
      </c>
      <c r="AW19" s="47">
        <v>0</v>
      </c>
      <c r="AX19" s="47">
        <v>0</v>
      </c>
      <c r="AY19" s="47">
        <v>0</v>
      </c>
      <c r="AZ19" s="47">
        <v>0</v>
      </c>
      <c r="BA19" s="46">
        <v>0</v>
      </c>
      <c r="BB19" s="46">
        <v>0</v>
      </c>
      <c r="BC19" s="46">
        <v>0</v>
      </c>
      <c r="BD19" s="46">
        <v>0</v>
      </c>
      <c r="BE19" s="46">
        <v>0</v>
      </c>
      <c r="BF19" s="46">
        <v>0</v>
      </c>
      <c r="BG19" s="46">
        <v>0</v>
      </c>
      <c r="BH19" s="46">
        <v>0</v>
      </c>
      <c r="BI19" s="46">
        <v>0</v>
      </c>
      <c r="BJ19" s="46">
        <v>0</v>
      </c>
      <c r="BK19" s="46">
        <v>0</v>
      </c>
      <c r="BL19" s="46">
        <v>0</v>
      </c>
      <c r="BM19" s="46">
        <v>0</v>
      </c>
      <c r="BN19" s="46">
        <v>0</v>
      </c>
      <c r="BO19" s="46">
        <v>0</v>
      </c>
      <c r="BP19" s="46">
        <v>0</v>
      </c>
      <c r="BQ19" s="46">
        <v>0</v>
      </c>
      <c r="BR19" s="46">
        <v>0</v>
      </c>
      <c r="BS19" s="46">
        <v>0</v>
      </c>
      <c r="BT19" s="46">
        <v>0</v>
      </c>
      <c r="BU19" s="46">
        <v>0</v>
      </c>
      <c r="BV19" s="46">
        <v>0</v>
      </c>
      <c r="BW19" s="46">
        <v>0</v>
      </c>
      <c r="BX19" s="46">
        <v>0</v>
      </c>
      <c r="BY19" s="46">
        <v>0</v>
      </c>
      <c r="BZ19" s="46">
        <v>0</v>
      </c>
      <c r="CA19" s="46">
        <v>0</v>
      </c>
      <c r="CB19" s="46">
        <v>-16.074999999999999</v>
      </c>
      <c r="CC19" s="46">
        <v>-14.529</v>
      </c>
      <c r="CD19" s="46">
        <v>-16.382999999999999</v>
      </c>
      <c r="CE19" s="46">
        <v>-15.247999999999999</v>
      </c>
      <c r="CF19" s="46">
        <v>-15.816000000000001</v>
      </c>
      <c r="CG19" s="46">
        <v>-16.652000000000001</v>
      </c>
      <c r="CH19" s="46">
        <v>-16.696999999999999</v>
      </c>
      <c r="CI19" s="46">
        <v>-16.878</v>
      </c>
      <c r="CJ19" s="46">
        <v>-14.833</v>
      </c>
      <c r="CK19" s="46">
        <v>-16.050999999999998</v>
      </c>
      <c r="CL19" s="46">
        <v>-16.048999999999999</v>
      </c>
      <c r="CM19" s="46">
        <v>-16.789000000000001</v>
      </c>
      <c r="CN19" s="46">
        <v>330</v>
      </c>
      <c r="CO19" s="46">
        <v>330</v>
      </c>
      <c r="CP19" s="45">
        <v>0</v>
      </c>
      <c r="CQ19">
        <v>0</v>
      </c>
      <c r="CR19">
        <v>-192</v>
      </c>
      <c r="CS19">
        <v>2018</v>
      </c>
    </row>
    <row r="21" spans="1:97">
      <c r="A21" t="s">
        <v>264</v>
      </c>
      <c r="B21" t="s">
        <v>265</v>
      </c>
      <c r="C21" t="s">
        <v>266</v>
      </c>
      <c r="D21" t="s">
        <v>267</v>
      </c>
      <c r="E21" t="s">
        <v>270</v>
      </c>
      <c r="F21" t="s">
        <v>291</v>
      </c>
      <c r="G21" t="s">
        <v>290</v>
      </c>
    </row>
    <row r="22" spans="1:97">
      <c r="A22" t="s">
        <v>244</v>
      </c>
      <c r="B22">
        <f>'technologies and projects'!J38</f>
        <v>9.8583306746073944</v>
      </c>
      <c r="C22">
        <f>'technologies and projects'!P38</f>
        <v>9.6723244354638602</v>
      </c>
      <c r="D22" t="s">
        <v>268</v>
      </c>
      <c r="E22">
        <f>SUM('technologies and projects'!H40:H45,'technologies and projects'!H48:H53)</f>
        <v>974.50000000000011</v>
      </c>
      <c r="F22" cm="1">
        <f t="array" ref="F22:F25">SUMIF(N4:N19, A22:A25, CR4:CR19)</f>
        <v>3409598</v>
      </c>
      <c r="G22" s="41">
        <f>E22*B22*1000+F22*C22</f>
        <v>42585681.292913616</v>
      </c>
    </row>
    <row r="23" spans="1:97">
      <c r="A23" t="s">
        <v>252</v>
      </c>
      <c r="B23">
        <f>'technologies and projects'!J46</f>
        <v>17.484586479492361</v>
      </c>
      <c r="C23">
        <f>'technologies and projects'!P46</f>
        <v>0.18600623914353576</v>
      </c>
      <c r="D23" t="s">
        <v>269</v>
      </c>
      <c r="E23">
        <f>SUM('technologies and projects'!H46:H47,'technologies and projects'!H59)</f>
        <v>215.8</v>
      </c>
      <c r="F23">
        <v>54973</v>
      </c>
      <c r="G23" s="41">
        <f t="shared" ref="G23:G25" si="0">E23*B23*1000+F23*C23</f>
        <v>3783399.0832588891</v>
      </c>
    </row>
    <row r="24" spans="1:97">
      <c r="A24" t="s">
        <v>258</v>
      </c>
      <c r="B24">
        <v>34.46</v>
      </c>
      <c r="C24">
        <v>20.96</v>
      </c>
      <c r="D24" t="s">
        <v>269</v>
      </c>
      <c r="E24">
        <f>SUM('technologies and projects'!H59,'technologies and projects'!H73)</f>
        <v>161.84</v>
      </c>
      <c r="F24">
        <v>31835</v>
      </c>
      <c r="G24" s="41">
        <f t="shared" si="0"/>
        <v>6244268</v>
      </c>
    </row>
    <row r="25" spans="1:97">
      <c r="A25" t="s">
        <v>261</v>
      </c>
      <c r="B25">
        <v>37.11</v>
      </c>
      <c r="C25">
        <v>0</v>
      </c>
      <c r="D25" t="s">
        <v>269</v>
      </c>
      <c r="E25">
        <v>1</v>
      </c>
      <c r="F25">
        <v>-192</v>
      </c>
      <c r="G25" s="41">
        <f t="shared" si="0"/>
        <v>37110</v>
      </c>
    </row>
    <row r="27" spans="1:97">
      <c r="A27" t="s">
        <v>295</v>
      </c>
      <c r="B27" t="s">
        <v>296</v>
      </c>
    </row>
    <row r="28" spans="1:97">
      <c r="A28" t="s">
        <v>298</v>
      </c>
      <c r="B28" s="41">
        <f>554942973-498422810</f>
        <v>56520163</v>
      </c>
    </row>
    <row r="29" spans="1:97">
      <c r="A29" t="s">
        <v>297</v>
      </c>
      <c r="B29" s="41">
        <f>40720671-25283049</f>
        <v>15437622</v>
      </c>
    </row>
    <row r="31" spans="1:97">
      <c r="A31" t="s">
        <v>299</v>
      </c>
      <c r="B31" s="41">
        <f>SUM(B28:B29)-SUM(G22:G25)</f>
        <v>19307326.623827495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technologies and projects</vt:lpstr>
      <vt:lpstr>HECO non-plant O&amp;M</vt:lpstr>
      <vt:lpstr>base_year</vt:lpstr>
      <vt:lpstr>build_info</vt:lpstr>
      <vt:lpstr>heat_rate_info</vt:lpstr>
      <vt:lpstr>inflator_1987</vt:lpstr>
      <vt:lpstr>inflator_2007</vt:lpstr>
      <vt:lpstr>inflator_2011</vt:lpstr>
      <vt:lpstr>inflator_2018</vt:lpstr>
      <vt:lpstr>technology_info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2016-12-06T10:24:00Z</dcterms:created>
  <dcterms:modified xsi:type="dcterms:W3CDTF">2020-06-28T20:05:14Z</dcterms:modified>
</cp:coreProperties>
</file>