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style1.xml" ContentType="application/vnd.ms-office.chartstyle+xml"/>
  <Override PartName="/xl/charts/colors1.xml" ContentType="application/vnd.ms-office.chartcolorstyle+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12080" yWindow="760" windowWidth="26600" windowHeight="18320" tabRatio="500"/>
  </bookViews>
  <sheets>
    <sheet name="hedged hubs" sheetId="1" r:id="rId1"/>
    <sheet name="physical hedge" sheetId="2" r:id="rId2"/>
    <sheet name="Sheet2" sheetId="3" r:id="rId3"/>
  </sheets>
  <externalReferences>
    <externalReference r:id="rId4"/>
  </externalReferences>
  <definedNames>
    <definedName name="base_year">'hedged hubs'!$I$43</definedName>
    <definedName name="fuel_prices">'hedged hubs'!$H$3:$O$35</definedName>
    <definedName name="inflation_rate">'hedged hubs'!$J$43</definedName>
    <definedName name="interest_rate">'hedged hubs'!$F$43</definedName>
    <definedName name="interest_rate_nominal">'hedged hubs'!$G$43</definedName>
    <definedName name="interest_rate_real">'hedged hubs'!$F$43</definedName>
    <definedName name="tier_fixed_costs">'hedged hubs'!$F$57:$M$64</definedName>
    <definedName name="tier_properties">'hedged hubs'!$Q$3:$X$5</definedName>
    <definedName name="years">'hedged hubs'!$A$5:$A$20</definedName>
  </definedName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calcChain.xml><?xml version="1.0" encoding="utf-8"?>
<calcChain xmlns="http://schemas.openxmlformats.org/spreadsheetml/2006/main">
  <c r="C6" i="1" l="1"/>
  <c r="B6" i="1"/>
  <c r="D6" i="1"/>
  <c r="E6" i="1"/>
  <c r="D7" i="1"/>
  <c r="E7" i="1"/>
  <c r="D8" i="1"/>
  <c r="E8" i="1"/>
  <c r="D9" i="1"/>
  <c r="E9" i="1"/>
  <c r="D10" i="1"/>
  <c r="E10" i="1"/>
  <c r="D11" i="1"/>
  <c r="E11" i="1"/>
  <c r="D12" i="1"/>
  <c r="E12" i="1"/>
  <c r="D13" i="1"/>
  <c r="E13" i="1"/>
  <c r="D14" i="1"/>
  <c r="E14" i="1"/>
  <c r="D15" i="1"/>
  <c r="E15" i="1"/>
  <c r="D16" i="1"/>
  <c r="E16" i="1"/>
  <c r="D17" i="1"/>
  <c r="E17" i="1"/>
  <c r="D18" i="1"/>
  <c r="E18" i="1"/>
  <c r="D19" i="1"/>
  <c r="E19" i="1"/>
  <c r="D20" i="1"/>
  <c r="E20" i="1"/>
  <c r="D21" i="1"/>
  <c r="E21" i="1"/>
  <c r="D22" i="1"/>
  <c r="E22" i="1"/>
  <c r="D23" i="1"/>
  <c r="E23" i="1"/>
  <c r="D24" i="1"/>
  <c r="E24" i="1"/>
  <c r="D25" i="1"/>
  <c r="E25" i="1"/>
  <c r="D26" i="1"/>
  <c r="E26" i="1"/>
  <c r="D27" i="1"/>
  <c r="E27" i="1"/>
  <c r="D28" i="1"/>
  <c r="E28" i="1"/>
  <c r="D29" i="1"/>
  <c r="E29" i="1"/>
  <c r="D30" i="1"/>
  <c r="E30" i="1"/>
  <c r="D31" i="1"/>
  <c r="E31" i="1"/>
  <c r="D32" i="1"/>
  <c r="E32" i="1"/>
  <c r="D33" i="1"/>
  <c r="E33" i="1"/>
  <c r="D34" i="1"/>
  <c r="E34" i="1"/>
  <c r="D35" i="1"/>
  <c r="E35" i="1"/>
  <c r="E5" i="1"/>
  <c r="D5" i="1"/>
  <c r="C31" i="1"/>
  <c r="C32" i="1"/>
  <c r="C33" i="1"/>
  <c r="C34" i="1"/>
  <c r="C35" i="1"/>
  <c r="B32" i="1"/>
  <c r="B33" i="1"/>
  <c r="B34" i="1"/>
  <c r="B35" i="1"/>
  <c r="B31" i="1"/>
  <c r="D2" i="2"/>
  <c r="C2" i="2"/>
  <c r="I6" i="1"/>
  <c r="I7" i="1"/>
  <c r="I8" i="1"/>
  <c r="I9" i="1"/>
  <c r="I10" i="1"/>
  <c r="I11" i="1"/>
  <c r="I12" i="1"/>
  <c r="I13" i="1"/>
  <c r="I14" i="1"/>
  <c r="G43" i="1"/>
  <c r="K7" i="2"/>
  <c r="L7" i="2"/>
  <c r="K8" i="2"/>
  <c r="L8" i="2"/>
  <c r="K9" i="2"/>
  <c r="L9" i="2"/>
  <c r="K10" i="2"/>
  <c r="L10" i="2"/>
  <c r="K11" i="2"/>
  <c r="L11" i="2"/>
  <c r="K12" i="2"/>
  <c r="L12" i="2"/>
  <c r="K13" i="2"/>
  <c r="L13" i="2"/>
  <c r="I14" i="2"/>
  <c r="K14" i="2"/>
  <c r="L14" i="2"/>
  <c r="B2" i="2"/>
  <c r="J15" i="2"/>
  <c r="K15" i="2"/>
  <c r="L15" i="2"/>
  <c r="I15" i="1"/>
  <c r="J16" i="2"/>
  <c r="K16" i="2"/>
  <c r="L16" i="2"/>
  <c r="I16" i="1"/>
  <c r="J17" i="2"/>
  <c r="K17" i="2"/>
  <c r="L17" i="2"/>
  <c r="I17" i="1"/>
  <c r="J18" i="2"/>
  <c r="K18" i="2"/>
  <c r="L18" i="2"/>
  <c r="I18" i="1"/>
  <c r="J19" i="2"/>
  <c r="K19" i="2"/>
  <c r="L19" i="2"/>
  <c r="A19" i="1"/>
  <c r="I19" i="1"/>
  <c r="J20" i="2"/>
  <c r="K20" i="2"/>
  <c r="L20" i="2"/>
  <c r="A20" i="1"/>
  <c r="I20" i="1"/>
  <c r="J21" i="2"/>
  <c r="K21" i="2"/>
  <c r="L21" i="2"/>
  <c r="A21" i="1"/>
  <c r="I21" i="1"/>
  <c r="J22" i="2"/>
  <c r="K22" i="2"/>
  <c r="L22" i="2"/>
  <c r="A22" i="1"/>
  <c r="I22" i="1"/>
  <c r="J23" i="2"/>
  <c r="K23" i="2"/>
  <c r="L23" i="2"/>
  <c r="A23" i="1"/>
  <c r="I23" i="1"/>
  <c r="J24" i="2"/>
  <c r="K24" i="2"/>
  <c r="L24" i="2"/>
  <c r="A24" i="1"/>
  <c r="I24" i="1"/>
  <c r="J25" i="2"/>
  <c r="K25" i="2"/>
  <c r="L25" i="2"/>
  <c r="A25" i="1"/>
  <c r="I25" i="1"/>
  <c r="J26" i="2"/>
  <c r="K26" i="2"/>
  <c r="L26" i="2"/>
  <c r="A26" i="1"/>
  <c r="I26" i="1"/>
  <c r="J27" i="2"/>
  <c r="K27" i="2"/>
  <c r="L27" i="2"/>
  <c r="A27" i="1"/>
  <c r="I27" i="1"/>
  <c r="J28" i="2"/>
  <c r="K28" i="2"/>
  <c r="L28" i="2"/>
  <c r="A28" i="1"/>
  <c r="I28" i="1"/>
  <c r="J29" i="2"/>
  <c r="K29" i="2"/>
  <c r="L29" i="2"/>
  <c r="A29" i="1"/>
  <c r="I29" i="1"/>
  <c r="J30" i="2"/>
  <c r="K30" i="2"/>
  <c r="L30" i="2"/>
  <c r="A30" i="1"/>
  <c r="I30" i="1"/>
  <c r="J31" i="2"/>
  <c r="K31" i="2"/>
  <c r="L31" i="2"/>
  <c r="A31" i="1"/>
  <c r="I31" i="1"/>
  <c r="J32" i="2"/>
  <c r="K32" i="2"/>
  <c r="L32" i="2"/>
  <c r="A32" i="1"/>
  <c r="I32" i="1"/>
  <c r="J33" i="2"/>
  <c r="K33" i="2"/>
  <c r="L33" i="2"/>
  <c r="A33" i="1"/>
  <c r="I33" i="1"/>
  <c r="J34" i="2"/>
  <c r="K34" i="2"/>
  <c r="L34" i="2"/>
  <c r="A34" i="1"/>
  <c r="I34" i="1"/>
  <c r="J35" i="2"/>
  <c r="K35" i="2"/>
  <c r="L35" i="2"/>
  <c r="A35" i="1"/>
  <c r="I35" i="1"/>
  <c r="I5" i="1"/>
  <c r="H47" i="1"/>
  <c r="G48" i="1"/>
  <c r="G49" i="1"/>
  <c r="G51" i="1"/>
  <c r="G53" i="1"/>
  <c r="B55" i="1"/>
  <c r="B54" i="1"/>
  <c r="J16" i="1"/>
  <c r="J17" i="1"/>
  <c r="J18" i="1"/>
  <c r="J19" i="1"/>
  <c r="J20" i="1"/>
  <c r="J21" i="1"/>
  <c r="J22" i="1"/>
  <c r="J23" i="1"/>
  <c r="J24" i="1"/>
  <c r="J25" i="1"/>
  <c r="J26" i="1"/>
  <c r="J27" i="1"/>
  <c r="J28" i="1"/>
  <c r="J29" i="1"/>
  <c r="J30" i="1"/>
  <c r="J31" i="1"/>
  <c r="J32" i="1"/>
  <c r="J33" i="1"/>
  <c r="J34" i="1"/>
  <c r="J35" i="1"/>
  <c r="H6" i="1"/>
  <c r="N6" i="1"/>
  <c r="O6" i="1"/>
  <c r="H7" i="1"/>
  <c r="N7" i="1"/>
  <c r="O7" i="1"/>
  <c r="H8" i="1"/>
  <c r="N8" i="1"/>
  <c r="O8" i="1"/>
  <c r="H9" i="1"/>
  <c r="N9" i="1"/>
  <c r="O9" i="1"/>
  <c r="H10" i="1"/>
  <c r="N10" i="1"/>
  <c r="O10" i="1"/>
  <c r="H11" i="1"/>
  <c r="N11" i="1"/>
  <c r="O11" i="1"/>
  <c r="H12" i="1"/>
  <c r="N12" i="1"/>
  <c r="O12" i="1"/>
  <c r="H13" i="1"/>
  <c r="N13" i="1"/>
  <c r="O13" i="1"/>
  <c r="H14" i="1"/>
  <c r="N14" i="1"/>
  <c r="O14" i="1"/>
  <c r="H15" i="1"/>
  <c r="N15" i="1"/>
  <c r="O15" i="1"/>
  <c r="H16" i="1"/>
  <c r="N16" i="1"/>
  <c r="O16" i="1"/>
  <c r="H17" i="1"/>
  <c r="N17" i="1"/>
  <c r="O17" i="1"/>
  <c r="H18" i="1"/>
  <c r="N18" i="1"/>
  <c r="O18" i="1"/>
  <c r="H19" i="1"/>
  <c r="N19" i="1"/>
  <c r="O19" i="1"/>
  <c r="H20" i="1"/>
  <c r="N20" i="1"/>
  <c r="O20" i="1"/>
  <c r="H21" i="1"/>
  <c r="N21" i="1"/>
  <c r="O21" i="1"/>
  <c r="H22" i="1"/>
  <c r="N22" i="1"/>
  <c r="O22" i="1"/>
  <c r="H23" i="1"/>
  <c r="N23" i="1"/>
  <c r="O23" i="1"/>
  <c r="H24" i="1"/>
  <c r="N24" i="1"/>
  <c r="O24" i="1"/>
  <c r="H25" i="1"/>
  <c r="N25" i="1"/>
  <c r="O25" i="1"/>
  <c r="H26" i="1"/>
  <c r="N26" i="1"/>
  <c r="O26" i="1"/>
  <c r="H27" i="1"/>
  <c r="N27" i="1"/>
  <c r="O27" i="1"/>
  <c r="H28" i="1"/>
  <c r="N28" i="1"/>
  <c r="O28" i="1"/>
  <c r="H29" i="1"/>
  <c r="N29" i="1"/>
  <c r="O29" i="1"/>
  <c r="H30" i="1"/>
  <c r="N30" i="1"/>
  <c r="O30" i="1"/>
  <c r="H31" i="1"/>
  <c r="N31" i="1"/>
  <c r="O31" i="1"/>
  <c r="H32" i="1"/>
  <c r="N32" i="1"/>
  <c r="O32" i="1"/>
  <c r="H33" i="1"/>
  <c r="N33" i="1"/>
  <c r="O33" i="1"/>
  <c r="H34" i="1"/>
  <c r="N34" i="1"/>
  <c r="O34" i="1"/>
  <c r="H35" i="1"/>
  <c r="N35" i="1"/>
  <c r="O35" i="1"/>
  <c r="H5" i="1"/>
  <c r="O5" i="1"/>
  <c r="N5" i="1"/>
  <c r="K6" i="1"/>
  <c r="L6" i="1"/>
  <c r="M6" i="1"/>
  <c r="K7" i="1"/>
  <c r="L7" i="1"/>
  <c r="M7" i="1"/>
  <c r="K8" i="1"/>
  <c r="L8" i="1"/>
  <c r="M8" i="1"/>
  <c r="K9" i="1"/>
  <c r="L9" i="1"/>
  <c r="M9" i="1"/>
  <c r="K10" i="1"/>
  <c r="L10" i="1"/>
  <c r="M10" i="1"/>
  <c r="K11" i="1"/>
  <c r="L11" i="1"/>
  <c r="M11" i="1"/>
  <c r="K12" i="1"/>
  <c r="L12" i="1"/>
  <c r="M12" i="1"/>
  <c r="K13" i="1"/>
  <c r="L13" i="1"/>
  <c r="M13" i="1"/>
  <c r="K14" i="1"/>
  <c r="L14" i="1"/>
  <c r="M14" i="1"/>
  <c r="K15" i="1"/>
  <c r="L15" i="1"/>
  <c r="M15" i="1"/>
  <c r="K16" i="1"/>
  <c r="L16" i="1"/>
  <c r="M16" i="1"/>
  <c r="K17" i="1"/>
  <c r="L17" i="1"/>
  <c r="M17" i="1"/>
  <c r="K18" i="1"/>
  <c r="L18" i="1"/>
  <c r="M18" i="1"/>
  <c r="K19" i="1"/>
  <c r="L19" i="1"/>
  <c r="M19" i="1"/>
  <c r="K20" i="1"/>
  <c r="L20" i="1"/>
  <c r="M20" i="1"/>
  <c r="K21" i="1"/>
  <c r="L21" i="1"/>
  <c r="M21" i="1"/>
  <c r="K22" i="1"/>
  <c r="L22" i="1"/>
  <c r="M22" i="1"/>
  <c r="K23" i="1"/>
  <c r="L23" i="1"/>
  <c r="M23" i="1"/>
  <c r="K24" i="1"/>
  <c r="L24" i="1"/>
  <c r="M24" i="1"/>
  <c r="K25" i="1"/>
  <c r="L25" i="1"/>
  <c r="M25" i="1"/>
  <c r="K26" i="1"/>
  <c r="L26" i="1"/>
  <c r="M26" i="1"/>
  <c r="K27" i="1"/>
  <c r="L27" i="1"/>
  <c r="M27" i="1"/>
  <c r="K28" i="1"/>
  <c r="L28" i="1"/>
  <c r="M28" i="1"/>
  <c r="K29" i="1"/>
  <c r="L29" i="1"/>
  <c r="M29" i="1"/>
  <c r="K30" i="1"/>
  <c r="L30" i="1"/>
  <c r="M30" i="1"/>
  <c r="K31" i="1"/>
  <c r="L31" i="1"/>
  <c r="M31" i="1"/>
  <c r="K32" i="1"/>
  <c r="L32" i="1"/>
  <c r="M32" i="1"/>
  <c r="K33" i="1"/>
  <c r="L33" i="1"/>
  <c r="M33" i="1"/>
  <c r="K34" i="1"/>
  <c r="L34" i="1"/>
  <c r="M34" i="1"/>
  <c r="K35" i="1"/>
  <c r="L35" i="1"/>
  <c r="M35" i="1"/>
  <c r="M5" i="1"/>
  <c r="L5" i="1"/>
  <c r="K5" i="1"/>
  <c r="J6" i="1"/>
  <c r="J7" i="1"/>
  <c r="J8" i="1"/>
  <c r="J9" i="1"/>
  <c r="J10" i="1"/>
  <c r="J11" i="1"/>
  <c r="J12" i="1"/>
  <c r="J13" i="1"/>
  <c r="J14" i="1"/>
  <c r="J15" i="1"/>
  <c r="J5" i="1"/>
  <c r="P7" i="2"/>
  <c r="Q7" i="2"/>
  <c r="R7" i="2"/>
  <c r="S7" i="2"/>
  <c r="P8" i="2"/>
  <c r="Q8" i="2"/>
  <c r="R8" i="2"/>
  <c r="S8" i="2"/>
  <c r="P9" i="2"/>
  <c r="Q9" i="2"/>
  <c r="R9" i="2"/>
  <c r="S9" i="2"/>
  <c r="P10" i="2"/>
  <c r="Q10" i="2"/>
  <c r="R10" i="2"/>
  <c r="S10" i="2"/>
  <c r="P11" i="2"/>
  <c r="Q11" i="2"/>
  <c r="R11" i="2"/>
  <c r="S11" i="2"/>
  <c r="P12" i="2"/>
  <c r="Q12" i="2"/>
  <c r="R12" i="2"/>
  <c r="S12" i="2"/>
  <c r="P13" i="2"/>
  <c r="Q13" i="2"/>
  <c r="R13" i="2"/>
  <c r="S13" i="2"/>
  <c r="P14" i="2"/>
  <c r="Q14" i="2"/>
  <c r="R14" i="2"/>
  <c r="S14" i="2"/>
  <c r="P15" i="2"/>
  <c r="Q15" i="2"/>
  <c r="R15" i="2"/>
  <c r="S15" i="2"/>
  <c r="P16" i="2"/>
  <c r="Q16" i="2"/>
  <c r="R16" i="2"/>
  <c r="S16" i="2"/>
  <c r="P17" i="2"/>
  <c r="Q17" i="2"/>
  <c r="R17" i="2"/>
  <c r="S17" i="2"/>
  <c r="P18" i="2"/>
  <c r="Q18" i="2"/>
  <c r="R18" i="2"/>
  <c r="S18" i="2"/>
  <c r="P19" i="2"/>
  <c r="Q19" i="2"/>
  <c r="R19" i="2"/>
  <c r="S19" i="2"/>
  <c r="P20" i="2"/>
  <c r="Q20" i="2"/>
  <c r="R20" i="2"/>
  <c r="S20" i="2"/>
  <c r="P21" i="2"/>
  <c r="Q21" i="2"/>
  <c r="R21" i="2"/>
  <c r="S21" i="2"/>
  <c r="P22" i="2"/>
  <c r="Q22" i="2"/>
  <c r="R22" i="2"/>
  <c r="S22" i="2"/>
  <c r="P23" i="2"/>
  <c r="Q23" i="2"/>
  <c r="R23" i="2"/>
  <c r="S23" i="2"/>
  <c r="P24" i="2"/>
  <c r="Q24" i="2"/>
  <c r="R24" i="2"/>
  <c r="S24" i="2"/>
  <c r="P25" i="2"/>
  <c r="Q25" i="2"/>
  <c r="R25" i="2"/>
  <c r="S25" i="2"/>
  <c r="P26" i="2"/>
  <c r="Q26" i="2"/>
  <c r="R26" i="2"/>
  <c r="S26" i="2"/>
  <c r="P27" i="2"/>
  <c r="Q27" i="2"/>
  <c r="R27" i="2"/>
  <c r="S27" i="2"/>
  <c r="P28" i="2"/>
  <c r="Q28" i="2"/>
  <c r="R28" i="2"/>
  <c r="S28" i="2"/>
  <c r="P29" i="2"/>
  <c r="Q29" i="2"/>
  <c r="R29" i="2"/>
  <c r="S29" i="2"/>
  <c r="P30" i="2"/>
  <c r="Q30" i="2"/>
  <c r="R30" i="2"/>
  <c r="S30" i="2"/>
  <c r="P31" i="2"/>
  <c r="Q31" i="2"/>
  <c r="R31" i="2"/>
  <c r="S31" i="2"/>
  <c r="P32" i="2"/>
  <c r="Q32" i="2"/>
  <c r="R32" i="2"/>
  <c r="S32" i="2"/>
  <c r="P33" i="2"/>
  <c r="Q33" i="2"/>
  <c r="R33" i="2"/>
  <c r="S33" i="2"/>
  <c r="P34" i="2"/>
  <c r="Q34" i="2"/>
  <c r="R34" i="2"/>
  <c r="S34" i="2"/>
  <c r="P35" i="2"/>
  <c r="Q35" i="2"/>
  <c r="R35" i="2"/>
  <c r="S35" i="2"/>
  <c r="Q6" i="2"/>
  <c r="R6" i="2"/>
  <c r="S6" i="2"/>
  <c r="L6" i="2"/>
  <c r="E6" i="2"/>
  <c r="D7" i="2"/>
  <c r="M35" i="2"/>
  <c r="M34" i="2"/>
  <c r="M33" i="2"/>
  <c r="M32" i="2"/>
  <c r="M31" i="2"/>
  <c r="M30" i="2"/>
  <c r="M29" i="2"/>
  <c r="M28" i="2"/>
  <c r="M27" i="2"/>
  <c r="M26" i="2"/>
  <c r="M25" i="2"/>
  <c r="M24" i="2"/>
  <c r="M23" i="2"/>
  <c r="M22" i="2"/>
  <c r="M21" i="2"/>
  <c r="M20" i="2"/>
  <c r="M19" i="2"/>
  <c r="M18" i="2"/>
  <c r="M17" i="2"/>
  <c r="M16" i="2"/>
  <c r="M15" i="2"/>
  <c r="M14" i="2"/>
  <c r="M13" i="2"/>
  <c r="M12" i="2"/>
  <c r="M11" i="2"/>
  <c r="M10" i="2"/>
  <c r="M9" i="2"/>
  <c r="M8" i="2"/>
  <c r="M7" i="2"/>
  <c r="M6" i="2"/>
  <c r="C35" i="2"/>
  <c r="C34" i="2"/>
  <c r="C33" i="2"/>
  <c r="C32" i="2"/>
  <c r="C31" i="2"/>
  <c r="C30" i="2"/>
  <c r="C29" i="2"/>
  <c r="C28" i="2"/>
  <c r="C27" i="2"/>
  <c r="C26" i="2"/>
  <c r="C25" i="2"/>
  <c r="C24" i="2"/>
  <c r="C23" i="2"/>
  <c r="C22" i="2"/>
  <c r="C21" i="2"/>
  <c r="C20" i="2"/>
  <c r="C19" i="2"/>
  <c r="C17" i="2"/>
  <c r="C16" i="2"/>
  <c r="C15" i="2"/>
  <c r="C14" i="2"/>
  <c r="C13" i="2"/>
  <c r="C12" i="2"/>
  <c r="C11" i="2"/>
  <c r="C10" i="2"/>
  <c r="C9" i="2"/>
  <c r="C8" i="2"/>
  <c r="C7" i="2"/>
  <c r="E7" i="2"/>
  <c r="D8" i="2"/>
  <c r="E8" i="2"/>
  <c r="D9" i="2"/>
  <c r="E9" i="2"/>
  <c r="D10" i="2"/>
  <c r="E10" i="2"/>
  <c r="D11" i="2"/>
  <c r="E11" i="2"/>
  <c r="D12" i="2"/>
  <c r="E12" i="2"/>
  <c r="D13" i="2"/>
  <c r="E13" i="2"/>
  <c r="D14" i="2"/>
  <c r="E14" i="2"/>
  <c r="D15" i="2"/>
  <c r="E15" i="2"/>
  <c r="D16" i="2"/>
  <c r="E16" i="2"/>
  <c r="D17" i="2"/>
  <c r="C18" i="2"/>
  <c r="E17" i="2"/>
  <c r="D18" i="2"/>
  <c r="E18" i="2"/>
  <c r="D19" i="2"/>
  <c r="E19" i="2"/>
  <c r="D20" i="2"/>
  <c r="E20" i="2"/>
  <c r="D21" i="2"/>
  <c r="E21" i="2"/>
  <c r="D22" i="2"/>
  <c r="E22" i="2"/>
  <c r="D23" i="2"/>
  <c r="E23" i="2"/>
  <c r="D24" i="2"/>
  <c r="E24" i="2"/>
  <c r="D25" i="2"/>
  <c r="E25" i="2"/>
  <c r="D26" i="2"/>
  <c r="E26" i="2"/>
  <c r="D27" i="2"/>
  <c r="E27" i="2"/>
  <c r="D28" i="2"/>
  <c r="E28" i="2"/>
  <c r="D29" i="2"/>
  <c r="E29" i="2"/>
  <c r="D30" i="2"/>
  <c r="E30" i="2"/>
  <c r="D31" i="2"/>
  <c r="E31" i="2"/>
  <c r="D32" i="2"/>
  <c r="E32" i="2"/>
  <c r="D33" i="2"/>
  <c r="E33" i="2"/>
  <c r="D34" i="2"/>
  <c r="E34" i="2"/>
  <c r="D35" i="2"/>
  <c r="E35" i="2"/>
  <c r="E37" i="2"/>
  <c r="F35" i="2"/>
  <c r="F19" i="2"/>
  <c r="F37" i="2"/>
  <c r="X3" i="1"/>
  <c r="M57" i="1"/>
  <c r="X4" i="1"/>
  <c r="M58" i="1"/>
  <c r="T3" i="1"/>
  <c r="I57" i="1"/>
  <c r="U3" i="1"/>
  <c r="J57" i="1"/>
  <c r="V3" i="1"/>
  <c r="K57" i="1"/>
  <c r="W3" i="1"/>
  <c r="L57" i="1"/>
  <c r="T4" i="1"/>
  <c r="I58" i="1"/>
  <c r="U4" i="1"/>
  <c r="J58" i="1"/>
  <c r="V4" i="1"/>
  <c r="K58" i="1"/>
  <c r="W4" i="1"/>
  <c r="L58" i="1"/>
  <c r="Q4" i="1"/>
  <c r="Q3" i="1"/>
  <c r="R4" i="1"/>
  <c r="G58" i="1"/>
  <c r="S4" i="1"/>
  <c r="H58" i="1"/>
  <c r="S3" i="1"/>
  <c r="H57" i="1"/>
  <c r="R3" i="1"/>
  <c r="G57" i="1"/>
  <c r="D3" i="3"/>
  <c r="AA8" i="1"/>
  <c r="AA7" i="1"/>
  <c r="AA6" i="1"/>
  <c r="AA5" i="1"/>
  <c r="AA4" i="1"/>
  <c r="AB3" i="1"/>
  <c r="AC3" i="1"/>
  <c r="AD3" i="1"/>
  <c r="AE3" i="1"/>
  <c r="AF3" i="1"/>
  <c r="AA3" i="1"/>
  <c r="Z8" i="1"/>
  <c r="Z7" i="1"/>
  <c r="Z6" i="1"/>
  <c r="Z5" i="1"/>
  <c r="Z4" i="1"/>
  <c r="AB4" i="1"/>
  <c r="AC4" i="1"/>
  <c r="AD4" i="1"/>
  <c r="AE4" i="1"/>
  <c r="AF4" i="1"/>
  <c r="AB5" i="1"/>
  <c r="AC5" i="1"/>
  <c r="AD5" i="1"/>
  <c r="AE5" i="1"/>
  <c r="AF5" i="1"/>
  <c r="AB6" i="1"/>
  <c r="AC6" i="1"/>
  <c r="AD6" i="1"/>
  <c r="AE6" i="1"/>
  <c r="AF6" i="1"/>
  <c r="AB7" i="1"/>
  <c r="AC7" i="1"/>
  <c r="AD7" i="1"/>
  <c r="AE7" i="1"/>
  <c r="AF7" i="1"/>
  <c r="AB8" i="1"/>
  <c r="AC8" i="1"/>
  <c r="AD8" i="1"/>
  <c r="AE8" i="1"/>
  <c r="AF8" i="1"/>
  <c r="R2" i="2"/>
  <c r="F20" i="2"/>
  <c r="F21" i="2"/>
  <c r="F22" i="2"/>
  <c r="F23" i="2"/>
  <c r="F24" i="2"/>
  <c r="F25" i="2"/>
  <c r="F26" i="2"/>
  <c r="F27" i="2"/>
  <c r="F28" i="2"/>
  <c r="F29" i="2"/>
  <c r="F30" i="2"/>
  <c r="F31" i="2"/>
  <c r="F32" i="2"/>
  <c r="F33" i="2"/>
  <c r="F34" i="2"/>
  <c r="F2" i="2"/>
  <c r="E2" i="2"/>
  <c r="F18" i="2"/>
  <c r="F17" i="2"/>
  <c r="F16" i="2"/>
  <c r="F15" i="2"/>
  <c r="F14" i="2"/>
  <c r="F13" i="2"/>
  <c r="F12" i="2"/>
  <c r="F11" i="2"/>
  <c r="F10" i="2"/>
  <c r="F9" i="2"/>
  <c r="F8" i="2"/>
  <c r="F7" i="2"/>
  <c r="F6" i="2"/>
  <c r="C55" i="1"/>
  <c r="D55" i="1"/>
  <c r="G54" i="1"/>
  <c r="S5" i="1"/>
  <c r="H59" i="1"/>
  <c r="B56" i="1"/>
  <c r="B57" i="1"/>
  <c r="C54" i="1"/>
  <c r="R5" i="1"/>
  <c r="G59" i="1"/>
  <c r="C56" i="1"/>
  <c r="D42" i="1"/>
  <c r="D43" i="1"/>
  <c r="D44" i="1"/>
  <c r="D45" i="1"/>
  <c r="D46" i="1"/>
  <c r="D47" i="1"/>
  <c r="D48" i="1"/>
  <c r="D49" i="1"/>
  <c r="D50" i="1"/>
  <c r="D51" i="1"/>
  <c r="D41" i="1"/>
  <c r="D54" i="1"/>
  <c r="D56" i="1"/>
  <c r="B42" i="1"/>
  <c r="B43" i="1"/>
  <c r="B44" i="1"/>
  <c r="B45" i="1"/>
  <c r="B46" i="1"/>
  <c r="B47" i="1"/>
  <c r="B48" i="1"/>
  <c r="B49" i="1"/>
  <c r="B50" i="1"/>
  <c r="B51" i="1"/>
  <c r="B41" i="1"/>
</calcChain>
</file>

<file path=xl/comments1.xml><?xml version="1.0" encoding="utf-8"?>
<comments xmlns="http://schemas.openxmlformats.org/spreadsheetml/2006/main">
  <authors>
    <author>Matthias Fripp</author>
    <author>Microsoft Office User</author>
  </authors>
  <commentList>
    <comment ref="H1" authorId="0">
      <text>
        <r>
          <rPr>
            <sz val="9"/>
            <color indexed="81"/>
            <rFont val="Calibri"/>
            <family val="2"/>
          </rPr>
          <t>regression coefficients from Research/Shared/Switch-Hawaii/data/HECO Plans/PSIP-WebDAV/Resource Assumptions/PSIP Fuel Price Forecasts for HE 2016-06-27 regressions.xlsx</t>
        </r>
      </text>
    </comment>
    <comment ref="I2" authorId="1">
      <text>
        <r>
          <rPr>
            <sz val="10"/>
            <color indexed="81"/>
            <rFont val="Calibri"/>
          </rPr>
          <t>cost coefficiencts found from regression below. Also match Barbara Treat phone call 6/3/16, which said they were around 0.13 * Brent Crude (bbl) + 0.50/MMBtu</t>
        </r>
      </text>
    </comment>
    <comment ref="J2" authorId="0">
      <text>
        <r>
          <rPr>
            <sz val="9"/>
            <color indexed="81"/>
            <rFont val="Calibri"/>
            <family val="2"/>
          </rPr>
          <t>Coefficients found by regressing delivered cost of LNG in 2016-09-07 PSIP workplan against EIA AEO 2016 Early Release data (see PSIP Fuel Price Forecasts for HE 2016-06-27 regressions.xlsx).
HECO's formula doesn't seem to account for inflation, so we just use the coefficients from the nominal-cost regression.</t>
        </r>
      </text>
    </comment>
    <comment ref="K3" authorId="0">
      <text>
        <r>
          <rPr>
            <sz val="9"/>
            <color indexed="81"/>
            <rFont val="Calibri"/>
            <family val="2"/>
          </rPr>
          <t>Coefficients found by converting delivered cost of fuel in 2016-09-07 PSIP workplan to real dollars, then regressing against EIA AEO 2016 Early Release data in real dollars (see PSIP Fuel Price Forecasts for HE 2016-06-27 regressions.xlsx).</t>
        </r>
      </text>
    </comment>
    <comment ref="N3" authorId="0">
      <text>
        <r>
          <rPr>
            <sz val="9"/>
            <color indexed="81"/>
            <rFont val="Calibri"/>
            <family val="2"/>
          </rPr>
          <t>From AEO 2015; see linked spreadsheet.</t>
        </r>
      </text>
    </comment>
    <comment ref="B5" authorId="0">
      <text>
        <r>
          <rPr>
            <sz val="10"/>
            <color indexed="81"/>
            <rFont val="Calibri"/>
          </rPr>
          <t>Brent Crude price for 2015 from https://www.eia.gov/dnav/pet/pet_pri_spt_s1_a.htm</t>
        </r>
      </text>
    </comment>
    <comment ref="C5" authorId="0">
      <text>
        <r>
          <rPr>
            <sz val="9"/>
            <color indexed="81"/>
            <rFont val="Calibri"/>
            <family val="2"/>
          </rPr>
          <t>Henry Hub for 2015 from http://www.eia.gov/dnav/ng/ng_pri_fut_s1_a.htm</t>
        </r>
      </text>
    </comment>
    <comment ref="Q5" authorId="1">
      <text>
        <r>
          <rPr>
            <sz val="10"/>
            <color indexed="81"/>
            <rFont val="Calibri"/>
          </rPr>
          <t>MMBtu/year</t>
        </r>
      </text>
    </comment>
    <comment ref="B6" authorId="0">
      <text>
        <r>
          <rPr>
            <sz val="9"/>
            <color indexed="81"/>
            <rFont val="Calibri"/>
            <family val="2"/>
          </rPr>
          <t>Average price for Brent Crude for 12 months of 2016 from https://www.eia.gov/dnav/pet/pet_pri_spt_s1_m.htm</t>
        </r>
      </text>
    </comment>
    <comment ref="C6" authorId="0">
      <text>
        <r>
          <rPr>
            <sz val="9"/>
            <color indexed="81"/>
            <rFont val="Calibri"/>
            <family val="2"/>
          </rPr>
          <t>Average price for Brent Crude for 12 months of 2016 from https://www.eia.gov/dnav/pet/pet_pri_spt_s1_m.htm</t>
        </r>
      </text>
    </comment>
    <comment ref="B7" authorId="0">
      <text>
        <r>
          <rPr>
            <sz val="9"/>
            <color indexed="81"/>
            <rFont val="Calibri"/>
            <family val="2"/>
          </rPr>
          <t>EIA AEO Early Release 2016 Table 12, from "PSIP Fuel Price Forecasts for HE 2016-06-27 regressions.xlsx"</t>
        </r>
      </text>
    </comment>
    <comment ref="C7" authorId="0">
      <text>
        <r>
          <rPr>
            <sz val="9"/>
            <color indexed="81"/>
            <rFont val="Calibri"/>
            <family val="2"/>
          </rPr>
          <t>EIA AEO Early Release 2016 Table 12, from "PSIP Fuel Price Forecasts for HE 2016-06-27 regressions.xlsx"</t>
        </r>
      </text>
    </comment>
    <comment ref="B31" authorId="0">
      <text>
        <r>
          <rPr>
            <sz val="9"/>
            <color indexed="81"/>
            <rFont val="Calibri"/>
            <family val="2"/>
          </rPr>
          <t>Assumed to grow at constant rate from 2039 through 2045</t>
        </r>
      </text>
    </comment>
    <comment ref="C31" authorId="0">
      <text>
        <r>
          <rPr>
            <sz val="9"/>
            <color indexed="81"/>
            <rFont val="Calibri"/>
            <family val="2"/>
          </rPr>
          <t>Assumed to grow at constant rate from 2039 through 2045</t>
        </r>
      </text>
    </comment>
    <comment ref="A39" authorId="1">
      <text>
        <r>
          <rPr>
            <sz val="10"/>
            <color indexed="81"/>
            <rFont val="Calibri"/>
          </rPr>
          <t>From Table 2 of "HG Response to PSIP File Stamped 1-15-16.pdf" e-mailed by Barbara Treat 6/3/16</t>
        </r>
      </text>
    </comment>
    <comment ref="J42" authorId="0">
      <text>
        <r>
          <rPr>
            <sz val="9"/>
            <color indexed="81"/>
            <rFont val="Calibri"/>
            <family val="2"/>
          </rPr>
          <t>We use the same inflation rate as for capital costs, so all costs are in the same real terms. This also happens to match the inflator in the EIA 2016 ER for 2015-16 (compare nominal and real prices)</t>
        </r>
      </text>
    </comment>
    <comment ref="F46" authorId="1">
      <text>
        <r>
          <rPr>
            <sz val="10"/>
            <color indexed="81"/>
            <rFont val="Calibri"/>
          </rPr>
          <t>All data from Exhibit J of "Application of Hawaiian Electric Company, Inc., Hawai'i Electric Light Company, Inc., and Maui Electric Company, Limited; Verification; Exhibits A-T; Testimonies T-1 through T-9; Book 1 of 3", Hawaii PUC Docket Number 2016-0135, 2016-05-18</t>
        </r>
      </text>
    </comment>
    <comment ref="G54" authorId="1">
      <text>
        <r>
          <rPr>
            <sz val="10"/>
            <color indexed="81"/>
            <rFont val="Calibri"/>
          </rPr>
          <t>based on max Oahu share from p. 78 of HECO LNG application  2016-05-18</t>
        </r>
      </text>
    </comment>
    <comment ref="B56" authorId="1">
      <text>
        <r>
          <rPr>
            <sz val="10"/>
            <color indexed="81"/>
            <rFont val="Calibri"/>
          </rPr>
          <t>From phone call with Barbara Treat at Hawaii Gas 6/3/16; also matches reported cost of $0.70/MMBtu.</t>
        </r>
      </text>
    </comment>
    <comment ref="F59" authorId="1">
      <text>
        <r>
          <rPr>
            <sz val="10"/>
            <color indexed="81"/>
            <rFont val="Calibri"/>
          </rPr>
          <t>$/MMBtu, at full utilization</t>
        </r>
      </text>
    </comment>
  </commentList>
</comments>
</file>

<file path=xl/comments2.xml><?xml version="1.0" encoding="utf-8"?>
<comments xmlns="http://schemas.openxmlformats.org/spreadsheetml/2006/main">
  <authors>
    <author>Matthias Fripp</author>
  </authors>
  <commentList>
    <comment ref="D2" authorId="0">
      <text>
        <r>
          <rPr>
            <sz val="10"/>
            <color indexed="81"/>
            <rFont val="Calibri"/>
          </rPr>
          <t>This is the year-ahead cost of LOOP storage futures as of 11/22/16 
http://www.cmegroup.com/trading/energy/crude-oil/loop-crude-oil-storage.html</t>
        </r>
      </text>
    </comment>
    <comment ref="B6" authorId="0">
      <text>
        <r>
          <rPr>
            <sz val="10"/>
            <color indexed="81"/>
            <rFont val="Calibri"/>
          </rPr>
          <t>Brent Crude price for 10/16 from https://www.eia.gov/dnav/pet/pet_pri_spt_s1_m.htm</t>
        </r>
      </text>
    </comment>
    <comment ref="P6" authorId="0">
      <text>
        <r>
          <rPr>
            <sz val="9"/>
            <color indexed="81"/>
            <rFont val="Calibri"/>
            <family val="2"/>
          </rPr>
          <t>Roughly equivalent to $5.00 production cost, $2.50 taxes and $2.50 admin/transport; see http://graphics.wsj.com/oil-barrel-breakdown/</t>
        </r>
      </text>
    </comment>
  </commentList>
</comments>
</file>

<file path=xl/sharedStrings.xml><?xml version="1.0" encoding="utf-8"?>
<sst xmlns="http://schemas.openxmlformats.org/spreadsheetml/2006/main" count="85" uniqueCount="69">
  <si>
    <t>Hawaii Gas price formula</t>
  </si>
  <si>
    <t>Brent price</t>
  </si>
  <si>
    <t>Brent price $/mmBtu</t>
  </si>
  <si>
    <t>calculated</t>
  </si>
  <si>
    <t>volume (MMBtu/year)</t>
  </si>
  <si>
    <t>cost per unit</t>
  </si>
  <si>
    <t>FSRU charter</t>
  </si>
  <si>
    <t>MMBtu</t>
  </si>
  <si>
    <t>conversion table from http://www.beg.utexas.edu/energyecon/lng/LNG_introduction_12.php based on BP Statistical Review of U.S. Energy June 2002</t>
  </si>
  <si>
    <t>unit</t>
  </si>
  <si>
    <t>1e9 cubic feet</t>
  </si>
  <si>
    <t>1e6 tons LNG</t>
  </si>
  <si>
    <t>LNG into FSRU price</t>
  </si>
  <si>
    <t>Diesel</t>
  </si>
  <si>
    <t>LSFO</t>
  </si>
  <si>
    <t>Biodiesel</t>
  </si>
  <si>
    <t>LNG</t>
  </si>
  <si>
    <t>HG</t>
  </si>
  <si>
    <t>HECO</t>
  </si>
  <si>
    <t>tier</t>
  </si>
  <si>
    <t>bulk</t>
  </si>
  <si>
    <t>container</t>
  </si>
  <si>
    <t>base</t>
  </si>
  <si>
    <t>Btu/ton gas</t>
  </si>
  <si>
    <t>http://energy.gov/sites/prod/files/2013/04/f0/LNG_primerupd.pdf p. 9</t>
  </si>
  <si>
    <t>max_avail_at_cost</t>
  </si>
  <si>
    <t>finance term (years)</t>
  </si>
  <si>
    <t>cost</t>
  </si>
  <si>
    <t>MW</t>
  </si>
  <si>
    <t>K5, K6, CC receiving</t>
  </si>
  <si>
    <t>K5 &amp; K6 burners</t>
  </si>
  <si>
    <t>Kalaeloa receiving</t>
  </si>
  <si>
    <t>HECO Oahu conversion cost</t>
  </si>
  <si>
    <t>ISO containers (Oahu)</t>
  </si>
  <si>
    <t>Annual cost</t>
  </si>
  <si>
    <t>Total per year</t>
  </si>
  <si>
    <t>Max vol (MMBtu/y)</t>
  </si>
  <si>
    <t>Total Oahu capital</t>
  </si>
  <si>
    <t>fuel_type</t>
  </si>
  <si>
    <t>pipeline pmt</t>
  </si>
  <si>
    <t>base financial year</t>
  </si>
  <si>
    <t>inflation rate</t>
  </si>
  <si>
    <t>Coal</t>
  </si>
  <si>
    <t>Pellet-Biomass</t>
  </si>
  <si>
    <t>inflation</t>
  </si>
  <si>
    <t>interest</t>
  </si>
  <si>
    <t>oil purchase</t>
  </si>
  <si>
    <t>storage</t>
  </si>
  <si>
    <t>total required to date</t>
  </si>
  <si>
    <t>real price</t>
  </si>
  <si>
    <t>profit</t>
  </si>
  <si>
    <t>total</t>
  </si>
  <si>
    <t>Hotelling's rule</t>
  </si>
  <si>
    <t>multiplier (2029-45)</t>
  </si>
  <si>
    <t>pumping cost</t>
  </si>
  <si>
    <t>thing</t>
  </si>
  <si>
    <t>term</t>
  </si>
  <si>
    <t>fixed cost, all terms</t>
  </si>
  <si>
    <t>storage cost per year</t>
  </si>
  <si>
    <t>base year</t>
  </si>
  <si>
    <t>storage-based hedge (per bbl)</t>
  </si>
  <si>
    <t>late-start storage-based hedge (per bbl)</t>
  </si>
  <si>
    <t>Brent Crude (real $/bbl)</t>
  </si>
  <si>
    <t>Henry Hub (real $/MMBtul)</t>
  </si>
  <si>
    <t>interest rate (real)</t>
  </si>
  <si>
    <t>interest rate (nominal)</t>
  </si>
  <si>
    <t>Product prices (real)</t>
  </si>
  <si>
    <t>EIA Brent Crude (2015 $/bbl)</t>
  </si>
  <si>
    <t>Hedged Henry Hub (2015 $/MMBtu)</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</si>
</sst>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6" formatCode="&quot;$&quot;#,##0_);[Red]\(&quot;$&quot;#,##0\)"/>
    <numFmt numFmtId="8" formatCode="&quot;$&quot;#,##0.00_);[Red]\(&quot;$&quot;#,##0.00\)"/>
    <numFmt numFmtId="164" formatCode="&quot;$&quot;#,##0"/>
    <numFmt numFmtId="165" formatCode="&quot;$&quot;#,##0.00"/>
    <numFmt numFmtId="166" formatCode="0.0%"/>
  </numFmts>
  <fonts count="10" x14ac:knownFonts="1">
    <font>
      <sz val="12"/>
      <color theme="1"/>
      <name val="Calibri"/>
      <family val="2"/>
      <scheme val="minor"/>
    </font>
    <font>
      <u/>
      <sz val="12"/>
      <color theme="10"/>
      <name val="Calibri"/>
      <family val="2"/>
      <scheme val="minor"/>
    </font>
    <font>
      <u/>
      <sz val="12"/>
      <color theme="11"/>
      <name val="Calibri"/>
      <family val="2"/>
      <scheme val="minor"/>
    </font>
    <font>
      <sz val="9"/>
      <color indexed="81"/>
      <name val="Calibri"/>
      <family val="2"/>
    </font>
    <font>
      <sz val="12"/>
      <color rgb="FF0000FF"/>
      <name val="Calibri"/>
      <scheme val="minor"/>
    </font>
    <font>
      <b/>
      <sz val="12"/>
      <color theme="1"/>
      <name val="Calibri"/>
      <family val="2"/>
      <scheme val="minor"/>
    </font>
    <font>
      <sz val="10"/>
      <color indexed="81"/>
      <name val="Calibri"/>
    </font>
    <font>
      <sz val="12"/>
      <color rgb="FF0070C0"/>
      <name val="Calibri"/>
      <family val="2"/>
      <scheme val="minor"/>
    </font>
    <font>
      <b/>
      <sz val="12"/>
      <color rgb="FF0070C0"/>
      <name val="Calibri"/>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4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2" fontId="4" fillId="0" borderId="0" xfId="0" applyNumberFormat="1" applyFont="1"/>
    <xf numFmtId="2" fontId="0" fillId="0" borderId="0" xfId="0" applyNumberFormat="1"/>
    <xf numFmtId="8" fontId="0" fillId="0" borderId="0" xfId="0" applyNumberFormat="1"/>
    <xf numFmtId="11" fontId="0" fillId="0" borderId="0" xfId="0" applyNumberFormat="1"/>
    <xf numFmtId="164" fontId="0" fillId="0" borderId="0" xfId="0" applyNumberFormat="1"/>
    <xf numFmtId="6" fontId="0" fillId="0" borderId="0" xfId="0" applyNumberFormat="1"/>
    <xf numFmtId="0" fontId="7" fillId="0" borderId="0" xfId="0" applyFont="1"/>
    <xf numFmtId="0" fontId="5" fillId="0" borderId="0" xfId="0" applyFont="1"/>
    <xf numFmtId="0" fontId="8" fillId="0" borderId="0" xfId="0" applyFont="1"/>
    <xf numFmtId="2" fontId="8" fillId="0" borderId="0" xfId="0" applyNumberFormat="1" applyFont="1"/>
    <xf numFmtId="3" fontId="0" fillId="0" borderId="0" xfId="0" applyNumberFormat="1"/>
    <xf numFmtId="8" fontId="5" fillId="0" borderId="0" xfId="0" applyNumberFormat="1" applyFont="1"/>
    <xf numFmtId="6" fontId="5" fillId="0" borderId="0" xfId="0" applyNumberFormat="1" applyFont="1"/>
    <xf numFmtId="10" fontId="0" fillId="0" borderId="0" xfId="0" applyNumberFormat="1"/>
    <xf numFmtId="166" fontId="0" fillId="0" borderId="0" xfId="0" applyNumberFormat="1"/>
    <xf numFmtId="0" fontId="9" fillId="0" borderId="0" xfId="0" applyFont="1"/>
    <xf numFmtId="165" fontId="9" fillId="0" borderId="0" xfId="0" applyNumberFormat="1" applyFont="1"/>
    <xf numFmtId="0" fontId="0" fillId="0" borderId="0" xfId="0" applyAlignment="1">
      <alignment wrapText="1"/>
    </xf>
    <xf numFmtId="0" fontId="0" fillId="0" borderId="0" xfId="0" applyFont="1"/>
  </cellXfs>
  <cellStyles count="1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externalLink" Target="externalLinks/externalLink1.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_rels/chart2.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0.0733681102362205"/>
          <c:y val="0.0601851851851852"/>
          <c:w val="0.892349956255468"/>
          <c:h val="0.803654228004108"/>
        </c:manualLayout>
      </c:layout>
      <c:lineChart>
        <c:grouping val="standard"/>
        <c:varyColors val="0"/>
        <c:ser>
          <c:idx val="0"/>
          <c:order val="0"/>
          <c:tx>
            <c:strRef>
              <c:f>'hedged hubs'!$I$4</c:f>
              <c:strCache>
                <c:ptCount val="1"/>
                <c:pt idx="0">
                  <c:v>bulk</c:v>
                </c:pt>
              </c:strCache>
            </c:strRef>
          </c:tx>
          <c:marker>
            <c:symbol val="none"/>
          </c:marker>
          <c:cat>
            <c:numRef>
              <c:f>'hedged hubs'!$H$5:$H$35</c:f>
              <c:numCache>
                <c:formatCode>General</c:formatCode>
                <c:ptCount val="31"/>
                <c:pt idx="0">
                  <c:v>2015.0</c:v>
                </c:pt>
                <c:pt idx="1">
                  <c:v>2016.0</c:v>
                </c:pt>
                <c:pt idx="2">
                  <c:v>2017.0</c:v>
                </c:pt>
                <c:pt idx="3">
                  <c:v>2018.0</c:v>
                </c:pt>
                <c:pt idx="4">
                  <c:v>2019.0</c:v>
                </c:pt>
                <c:pt idx="5">
                  <c:v>2020.0</c:v>
                </c:pt>
                <c:pt idx="6">
                  <c:v>2021.0</c:v>
                </c:pt>
                <c:pt idx="7">
                  <c:v>2022.0</c:v>
                </c:pt>
                <c:pt idx="8">
                  <c:v>2023.0</c:v>
                </c:pt>
                <c:pt idx="9">
                  <c:v>2024.0</c:v>
                </c:pt>
                <c:pt idx="10">
                  <c:v>2025.0</c:v>
                </c:pt>
                <c:pt idx="11">
                  <c:v>2026.0</c:v>
                </c:pt>
                <c:pt idx="12">
                  <c:v>2027.0</c:v>
                </c:pt>
                <c:pt idx="13">
                  <c:v>2028.0</c:v>
                </c:pt>
                <c:pt idx="14">
                  <c:v>2029.0</c:v>
                </c:pt>
                <c:pt idx="15">
                  <c:v>2030.0</c:v>
                </c:pt>
                <c:pt idx="16">
                  <c:v>2031.0</c:v>
                </c:pt>
                <c:pt idx="17">
                  <c:v>2032.0</c:v>
                </c:pt>
                <c:pt idx="18">
                  <c:v>2033.0</c:v>
                </c:pt>
                <c:pt idx="19">
                  <c:v>2034.0</c:v>
                </c:pt>
                <c:pt idx="20">
                  <c:v>2035.0</c:v>
                </c:pt>
                <c:pt idx="21">
                  <c:v>2036.0</c:v>
                </c:pt>
                <c:pt idx="22">
                  <c:v>2037.0</c:v>
                </c:pt>
                <c:pt idx="23">
                  <c:v>2038.0</c:v>
                </c:pt>
                <c:pt idx="24">
                  <c:v>2039.0</c:v>
                </c:pt>
                <c:pt idx="25">
                  <c:v>2040.0</c:v>
                </c:pt>
                <c:pt idx="26">
                  <c:v>2041.0</c:v>
                </c:pt>
                <c:pt idx="27">
                  <c:v>2042.0</c:v>
                </c:pt>
                <c:pt idx="28">
                  <c:v>2043.0</c:v>
                </c:pt>
                <c:pt idx="29">
                  <c:v>2044.0</c:v>
                </c:pt>
                <c:pt idx="30">
                  <c:v>2045.0</c:v>
                </c:pt>
              </c:numCache>
            </c:numRef>
          </c:cat>
          <c:val>
            <c:numRef>
              <c:f>'hedged hubs'!$I$5:$I$35</c:f>
              <c:numCache>
                <c:formatCode>0.00</c:formatCode>
                <c:ptCount val="31"/>
                <c:pt idx="0">
                  <c:v>7.551892608</c:v>
                </c:pt>
                <c:pt idx="1">
                  <c:v>6.257314999999999</c:v>
                </c:pt>
                <c:pt idx="2">
                  <c:v>6.9768959829692</c:v>
                </c:pt>
                <c:pt idx="3">
                  <c:v>8.188972794126</c:v>
                </c:pt>
                <c:pt idx="4">
                  <c:v>9.96650059172</c:v>
                </c:pt>
                <c:pt idx="5">
                  <c:v>10.8425295089252</c:v>
                </c:pt>
                <c:pt idx="6">
                  <c:v>11.4653033144074</c:v>
                </c:pt>
                <c:pt idx="7">
                  <c:v>11.9393743248846</c:v>
                </c:pt>
                <c:pt idx="8">
                  <c:v>12.2723281368168</c:v>
                </c:pt>
                <c:pt idx="9">
                  <c:v>12.5493672823778</c:v>
                </c:pt>
                <c:pt idx="10">
                  <c:v>12.8807412818952</c:v>
                </c:pt>
                <c:pt idx="11">
                  <c:v>13.2938266751226</c:v>
                </c:pt>
                <c:pt idx="12">
                  <c:v>13.6398688298842</c:v>
                </c:pt>
                <c:pt idx="13">
                  <c:v>13.9312594082898</c:v>
                </c:pt>
                <c:pt idx="14">
                  <c:v>14.324020695281</c:v>
                </c:pt>
                <c:pt idx="15">
                  <c:v>14.5642433723274</c:v>
                </c:pt>
                <c:pt idx="16">
                  <c:v>15.002537371694</c:v>
                </c:pt>
                <c:pt idx="17">
                  <c:v>15.4462128021664</c:v>
                </c:pt>
                <c:pt idx="18">
                  <c:v>15.9009049884278</c:v>
                </c:pt>
                <c:pt idx="19">
                  <c:v>16.3812416473012</c:v>
                </c:pt>
                <c:pt idx="20">
                  <c:v>16.6875725939474</c:v>
                </c:pt>
                <c:pt idx="21">
                  <c:v>17.1823342347402</c:v>
                </c:pt>
                <c:pt idx="22">
                  <c:v>17.483571568708</c:v>
                </c:pt>
                <c:pt idx="23">
                  <c:v>17.9857748288974</c:v>
                </c:pt>
                <c:pt idx="24">
                  <c:v>18.3754675453564</c:v>
                </c:pt>
                <c:pt idx="25">
                  <c:v>18.9360516728126</c:v>
                </c:pt>
                <c:pt idx="26">
                  <c:v>19.51416903241174</c:v>
                </c:pt>
                <c:pt idx="27">
                  <c:v>20.11036800612597</c:v>
                </c:pt>
                <c:pt idx="28">
                  <c:v>20.72521412751622</c:v>
                </c:pt>
                <c:pt idx="29">
                  <c:v>21.3592906181776</c:v>
                </c:pt>
                <c:pt idx="30">
                  <c:v>22.01319894096308</c:v>
                </c:pt>
              </c:numCache>
            </c:numRef>
          </c:val>
          <c:smooth val="0"/>
        </c:ser>
        <c:ser>
          <c:idx val="1"/>
          <c:order val="1"/>
          <c:tx>
            <c:strRef>
              <c:f>'hedged hubs'!$J$4</c:f>
              <c:strCache>
                <c:ptCount val="1"/>
                <c:pt idx="0">
                  <c:v>container</c:v>
                </c:pt>
              </c:strCache>
            </c:strRef>
          </c:tx>
          <c:marker>
            <c:symbol val="none"/>
          </c:marker>
          <c:cat>
            <c:numRef>
              <c:f>'hedged hubs'!$H$5:$H$35</c:f>
              <c:numCache>
                <c:formatCode>General</c:formatCode>
                <c:ptCount val="31"/>
                <c:pt idx="0">
                  <c:v>2015.0</c:v>
                </c:pt>
                <c:pt idx="1">
                  <c:v>2016.0</c:v>
                </c:pt>
                <c:pt idx="2">
                  <c:v>2017.0</c:v>
                </c:pt>
                <c:pt idx="3">
                  <c:v>2018.0</c:v>
                </c:pt>
                <c:pt idx="4">
                  <c:v>2019.0</c:v>
                </c:pt>
                <c:pt idx="5">
                  <c:v>2020.0</c:v>
                </c:pt>
                <c:pt idx="6">
                  <c:v>2021.0</c:v>
                </c:pt>
                <c:pt idx="7">
                  <c:v>2022.0</c:v>
                </c:pt>
                <c:pt idx="8">
                  <c:v>2023.0</c:v>
                </c:pt>
                <c:pt idx="9">
                  <c:v>2024.0</c:v>
                </c:pt>
                <c:pt idx="10">
                  <c:v>2025.0</c:v>
                </c:pt>
                <c:pt idx="11">
                  <c:v>2026.0</c:v>
                </c:pt>
                <c:pt idx="12">
                  <c:v>2027.0</c:v>
                </c:pt>
                <c:pt idx="13">
                  <c:v>2028.0</c:v>
                </c:pt>
                <c:pt idx="14">
                  <c:v>2029.0</c:v>
                </c:pt>
                <c:pt idx="15">
                  <c:v>2030.0</c:v>
                </c:pt>
                <c:pt idx="16">
                  <c:v>2031.0</c:v>
                </c:pt>
                <c:pt idx="17">
                  <c:v>2032.0</c:v>
                </c:pt>
                <c:pt idx="18">
                  <c:v>2033.0</c:v>
                </c:pt>
                <c:pt idx="19">
                  <c:v>2034.0</c:v>
                </c:pt>
                <c:pt idx="20">
                  <c:v>2035.0</c:v>
                </c:pt>
                <c:pt idx="21">
                  <c:v>2036.0</c:v>
                </c:pt>
                <c:pt idx="22">
                  <c:v>2037.0</c:v>
                </c:pt>
                <c:pt idx="23">
                  <c:v>2038.0</c:v>
                </c:pt>
                <c:pt idx="24">
                  <c:v>2039.0</c:v>
                </c:pt>
                <c:pt idx="25">
                  <c:v>2040.0</c:v>
                </c:pt>
                <c:pt idx="26">
                  <c:v>2041.0</c:v>
                </c:pt>
                <c:pt idx="27">
                  <c:v>2042.0</c:v>
                </c:pt>
                <c:pt idx="28">
                  <c:v>2043.0</c:v>
                </c:pt>
                <c:pt idx="29">
                  <c:v>2044.0</c:v>
                </c:pt>
                <c:pt idx="30">
                  <c:v>2045.0</c:v>
                </c:pt>
              </c:numCache>
            </c:numRef>
          </c:cat>
          <c:val>
            <c:numRef>
              <c:f>'hedged hubs'!$J$5:$J$35</c:f>
              <c:numCache>
                <c:formatCode>0.00</c:formatCode>
                <c:ptCount val="31"/>
                <c:pt idx="0">
                  <c:v>10.757668712</c:v>
                </c:pt>
                <c:pt idx="1">
                  <c:v>10.520573</c:v>
                </c:pt>
                <c:pt idx="2">
                  <c:v>11.5003688732912</c:v>
                </c:pt>
                <c:pt idx="3">
                  <c:v>12.336944753798</c:v>
                </c:pt>
                <c:pt idx="4">
                  <c:v>12.9663059378216</c:v>
                </c:pt>
                <c:pt idx="5">
                  <c:v>13.635629457632</c:v>
                </c:pt>
                <c:pt idx="6">
                  <c:v>13.4666925019844</c:v>
                </c:pt>
                <c:pt idx="7">
                  <c:v>13.5022133444912</c:v>
                </c:pt>
                <c:pt idx="8">
                  <c:v>14.124725111378</c:v>
                </c:pt>
                <c:pt idx="9">
                  <c:v>14.5271529550028</c:v>
                </c:pt>
                <c:pt idx="10">
                  <c:v>14.7279322449728</c:v>
                </c:pt>
                <c:pt idx="11">
                  <c:v>14.5118678731292</c:v>
                </c:pt>
                <c:pt idx="12">
                  <c:v>14.4595391510528</c:v>
                </c:pt>
                <c:pt idx="13">
                  <c:v>14.5379838536156</c:v>
                </c:pt>
                <c:pt idx="14">
                  <c:v>14.6165284897772</c:v>
                </c:pt>
                <c:pt idx="15">
                  <c:v>14.6217186919244</c:v>
                </c:pt>
                <c:pt idx="16">
                  <c:v>14.550093267794</c:v>
                </c:pt>
                <c:pt idx="17">
                  <c:v>14.58802044791</c:v>
                </c:pt>
                <c:pt idx="18">
                  <c:v>14.4959356022348</c:v>
                </c:pt>
                <c:pt idx="19">
                  <c:v>14.462056525994</c:v>
                </c:pt>
                <c:pt idx="20">
                  <c:v>14.395346883176</c:v>
                </c:pt>
                <c:pt idx="21">
                  <c:v>14.374186340192</c:v>
                </c:pt>
                <c:pt idx="22">
                  <c:v>14.2723619342528</c:v>
                </c:pt>
                <c:pt idx="23">
                  <c:v>14.1787574633768</c:v>
                </c:pt>
                <c:pt idx="24">
                  <c:v>14.2878849532664</c:v>
                </c:pt>
                <c:pt idx="25">
                  <c:v>14.30396315894</c:v>
                </c:pt>
                <c:pt idx="26">
                  <c:v>14.32007499751461</c:v>
                </c:pt>
                <c:pt idx="27">
                  <c:v>14.3362205393446</c:v>
                </c:pt>
                <c:pt idx="28">
                  <c:v>14.35239985493152</c:v>
                </c:pt>
                <c:pt idx="29">
                  <c:v>14.36861301492436</c:v>
                </c:pt>
                <c:pt idx="30">
                  <c:v>14.38486009011995</c:v>
                </c:pt>
              </c:numCache>
            </c:numRef>
          </c:val>
          <c:smooth val="0"/>
        </c:ser>
        <c:dLbls>
          <c:showLegendKey val="0"/>
          <c:showVal val="0"/>
          <c:showCatName val="0"/>
          <c:showSerName val="0"/>
          <c:showPercent val="0"/>
          <c:showBubbleSize val="0"/>
        </c:dLbls>
        <c:marker val="1"/>
        <c:smooth val="0"/>
        <c:axId val="-2067150392"/>
        <c:axId val="-2046629816"/>
      </c:lineChart>
      <c:catAx>
        <c:axId val="-2067150392"/>
        <c:scaling>
          <c:orientation val="minMax"/>
        </c:scaling>
        <c:delete val="0"/>
        <c:axPos val="b"/>
        <c:numFmt formatCode="General" sourceLinked="1"/>
        <c:majorTickMark val="out"/>
        <c:minorTickMark val="none"/>
        <c:tickLblPos val="nextTo"/>
        <c:txPr>
          <a:bodyPr rot="5400000" vert="horz"/>
          <a:lstStyle/>
          <a:p>
            <a:pPr>
              <a:defRPr/>
            </a:pPr>
            <a:endParaRPr lang="en-US"/>
          </a:p>
        </c:txPr>
        <c:crossAx val="-2046629816"/>
        <c:crosses val="autoZero"/>
        <c:auto val="1"/>
        <c:lblAlgn val="ctr"/>
        <c:lblOffset val="100"/>
        <c:noMultiLvlLbl val="0"/>
      </c:catAx>
      <c:valAx>
        <c:axId val="-2046629816"/>
        <c:scaling>
          <c:orientation val="minMax"/>
        </c:scaling>
        <c:delete val="0"/>
        <c:axPos val="l"/>
        <c:numFmt formatCode="0.00" sourceLinked="1"/>
        <c:majorTickMark val="out"/>
        <c:minorTickMark val="none"/>
        <c:tickLblPos val="nextTo"/>
        <c:crossAx val="-2067150392"/>
        <c:crosses val="autoZero"/>
        <c:crossBetween val="midCat"/>
      </c:valAx>
    </c:plotArea>
    <c:legend>
      <c:legendPos val="r"/>
      <c:layout>
        <c:manualLayout>
          <c:xMode val="edge"/>
          <c:yMode val="edge"/>
          <c:x val="0.572718722659667"/>
          <c:y val="0.670528579760863"/>
          <c:w val="0.402281277340332"/>
          <c:h val="0.20060950714494"/>
        </c:manualLayout>
      </c:layout>
      <c:overlay val="0"/>
    </c:legend>
    <c:plotVisOnly val="1"/>
    <c:dispBlanksAs val="gap"/>
    <c:showDLblsOverMax val="0"/>
  </c:chart>
  <c:printSettings>
    <c:headerFooter/>
    <c:pageMargins b="1.0" l="0.75" r="0.75" t="1.0"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'hedged hubs'!$C$40</c:f>
              <c:strCache>
                <c:ptCount val="1"/>
                <c:pt idx="0">
                  <c:v>LNG into FSRU price</c:v>
                </c:pt>
              </c:strCache>
            </c:strRef>
          </c:tx>
          <c:spPr>
            <a:ln w="4762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186803587051619"/>
                  <c:y val="-0.00041666666666666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'hedged hubs'!$A$41:$A$51</c:f>
              <c:numCache>
                <c:formatCode>General</c:formatCode>
                <c:ptCount val="11"/>
                <c:pt idx="0">
                  <c:v>20.0</c:v>
                </c:pt>
                <c:pt idx="1">
                  <c:v>30.0</c:v>
                </c:pt>
                <c:pt idx="2">
                  <c:v>40.0</c:v>
                </c:pt>
                <c:pt idx="3">
                  <c:v>50.0</c:v>
                </c:pt>
                <c:pt idx="4">
                  <c:v>60.0</c:v>
                </c:pt>
                <c:pt idx="5">
                  <c:v>70.0</c:v>
                </c:pt>
                <c:pt idx="6">
                  <c:v>80.0</c:v>
                </c:pt>
                <c:pt idx="7">
                  <c:v>90.0</c:v>
                </c:pt>
                <c:pt idx="8">
                  <c:v>100.0</c:v>
                </c:pt>
                <c:pt idx="9">
                  <c:v>110.0</c:v>
                </c:pt>
                <c:pt idx="10">
                  <c:v>120.0</c:v>
                </c:pt>
              </c:numCache>
            </c:numRef>
          </c:xVal>
          <c:yVal>
            <c:numRef>
              <c:f>'hedged hubs'!$C$41:$C$51</c:f>
              <c:numCache>
                <c:formatCode>General</c:formatCode>
                <c:ptCount val="11"/>
                <c:pt idx="0">
                  <c:v>3.12</c:v>
                </c:pt>
                <c:pt idx="1">
                  <c:v>4.45</c:v>
                </c:pt>
                <c:pt idx="2">
                  <c:v>5.78</c:v>
                </c:pt>
                <c:pt idx="3">
                  <c:v>7.12</c:v>
                </c:pt>
                <c:pt idx="4">
                  <c:v>8.45</c:v>
                </c:pt>
                <c:pt idx="5">
                  <c:v>9.78</c:v>
                </c:pt>
                <c:pt idx="6">
                  <c:v>11.11</c:v>
                </c:pt>
                <c:pt idx="7">
                  <c:v>12.45</c:v>
                </c:pt>
                <c:pt idx="8">
                  <c:v>13.78</c:v>
                </c:pt>
                <c:pt idx="9">
                  <c:v>15.11</c:v>
                </c:pt>
                <c:pt idx="10">
                  <c:v>16.45</c:v>
                </c:pt>
              </c:numCache>
            </c:numRef>
          </c:yVal>
          <c:smooth val="0"/>
        </c:ser>
        <c:dLbls>
          <c:showLegendKey val="0"/>
          <c:showVal val="0"/>
          <c:showCatName val="0"/>
          <c:showSerName val="0"/>
          <c:showPercent val="0"/>
          <c:showBubbleSize val="0"/>
        </c:dLbls>
        <c:axId val="-2067539528"/>
        <c:axId val="-2067493208"/>
      </c:scatterChart>
      <c:valAx>
        <c:axId val="-20675395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7493208"/>
        <c:crosses val="autoZero"/>
        <c:crossBetween val="midCat"/>
      </c:valAx>
      <c:valAx>
        <c:axId val="-2067493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753952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16</xdr:col>
      <xdr:colOff>152400</xdr:colOff>
      <xdr:row>15</xdr:row>
      <xdr:rowOff>139700</xdr:rowOff>
    </xdr:from>
    <xdr:to>
      <xdr:col>21</xdr:col>
      <xdr:colOff>596900</xdr:colOff>
      <xdr:row>30</xdr:row>
      <xdr:rowOff>12700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615950</xdr:colOff>
      <xdr:row>43</xdr:row>
      <xdr:rowOff>184150</xdr:rowOff>
    </xdr:from>
    <xdr:to>
      <xdr:col>20</xdr:col>
      <xdr:colOff>50800</xdr:colOff>
      <xdr:row>58</xdr:row>
      <xdr:rowOff>95250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ECO%20fuel%20cost%20forecasts%20PSIP%202016-04.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LNG details"/>
      <sheetName val="2016 PSIP"/>
      <sheetName val="multi-fuel forecasts"/>
      <sheetName val="EIA AEO 2015"/>
      <sheetName val="EIA-derived"/>
    </sheetNames>
    <sheetDataSet>
      <sheetData sheetId="0"/>
      <sheetData sheetId="1"/>
      <sheetData sheetId="2"/>
      <sheetData sheetId="3"/>
      <sheetData sheetId="4">
        <row r="56">
          <cell r="B56">
            <v>2.5000000000000001E-2</v>
          </cell>
        </row>
        <row r="61">
          <cell r="B61">
            <v>2015</v>
          </cell>
          <cell r="C61">
            <v>2016</v>
          </cell>
          <cell r="D61">
            <v>2017</v>
          </cell>
          <cell r="E61">
            <v>2018</v>
          </cell>
          <cell r="F61">
            <v>2019</v>
          </cell>
          <cell r="G61">
            <v>2020</v>
          </cell>
          <cell r="H61">
            <v>2021</v>
          </cell>
          <cell r="I61">
            <v>2022</v>
          </cell>
          <cell r="J61">
            <v>2023</v>
          </cell>
          <cell r="K61">
            <v>2024</v>
          </cell>
          <cell r="L61">
            <v>2025</v>
          </cell>
          <cell r="M61">
            <v>2026</v>
          </cell>
          <cell r="N61">
            <v>2027</v>
          </cell>
          <cell r="O61">
            <v>2028</v>
          </cell>
          <cell r="P61">
            <v>2029</v>
          </cell>
          <cell r="Q61">
            <v>2030</v>
          </cell>
          <cell r="R61">
            <v>2031</v>
          </cell>
          <cell r="S61">
            <v>2032</v>
          </cell>
          <cell r="T61">
            <v>2033</v>
          </cell>
          <cell r="U61">
            <v>2034</v>
          </cell>
          <cell r="V61">
            <v>2035</v>
          </cell>
          <cell r="W61">
            <v>2036</v>
          </cell>
          <cell r="X61">
            <v>2037</v>
          </cell>
          <cell r="Y61">
            <v>2038</v>
          </cell>
          <cell r="Z61">
            <v>2039</v>
          </cell>
          <cell r="AA61">
            <v>2040</v>
          </cell>
          <cell r="AB61">
            <v>2041</v>
          </cell>
          <cell r="AC61">
            <v>2042</v>
          </cell>
          <cell r="AD61">
            <v>2043</v>
          </cell>
          <cell r="AE61">
            <v>2044</v>
          </cell>
          <cell r="AF61">
            <v>2045</v>
          </cell>
          <cell r="AG61">
            <v>2046</v>
          </cell>
          <cell r="AH61">
            <v>2047</v>
          </cell>
          <cell r="AI61">
            <v>2048</v>
          </cell>
          <cell r="AJ61">
            <v>2049</v>
          </cell>
          <cell r="AK61">
            <v>2050</v>
          </cell>
        </row>
        <row r="67">
          <cell r="B67">
            <v>2.5509999999999997</v>
          </cell>
          <cell r="C67">
            <v>2.5409999999999999</v>
          </cell>
          <cell r="D67">
            <v>2.5609999999999999</v>
          </cell>
          <cell r="E67">
            <v>2.5909999999999997</v>
          </cell>
          <cell r="F67">
            <v>2.6309999999999998</v>
          </cell>
          <cell r="G67">
            <v>2.6709999999999998</v>
          </cell>
          <cell r="H67">
            <v>2.7109999999999999</v>
          </cell>
          <cell r="I67">
            <v>2.7410000000000001</v>
          </cell>
          <cell r="J67">
            <v>2.7709999999999999</v>
          </cell>
          <cell r="K67">
            <v>2.8009999999999997</v>
          </cell>
          <cell r="L67">
            <v>2.831</v>
          </cell>
          <cell r="M67">
            <v>2.8609999999999998</v>
          </cell>
          <cell r="N67">
            <v>2.891</v>
          </cell>
          <cell r="O67">
            <v>2.911</v>
          </cell>
          <cell r="P67">
            <v>2.9409999999999998</v>
          </cell>
          <cell r="Q67">
            <v>2.9609999999999999</v>
          </cell>
          <cell r="R67">
            <v>2.9809999999999999</v>
          </cell>
          <cell r="S67">
            <v>3.0009999999999999</v>
          </cell>
          <cell r="T67">
            <v>3.0310000000000001</v>
          </cell>
          <cell r="U67">
            <v>3.0509999999999997</v>
          </cell>
          <cell r="V67">
            <v>3.081</v>
          </cell>
          <cell r="W67">
            <v>3.101</v>
          </cell>
          <cell r="X67">
            <v>3.1309999999999998</v>
          </cell>
          <cell r="Y67">
            <v>3.1509999999999998</v>
          </cell>
          <cell r="Z67">
            <v>3.181</v>
          </cell>
          <cell r="AA67">
            <v>3.2109999999999999</v>
          </cell>
          <cell r="AB67">
            <v>3.2374000000000001</v>
          </cell>
          <cell r="AC67">
            <v>3.2638000000000003</v>
          </cell>
          <cell r="AD67">
            <v>3.2902000000000005</v>
          </cell>
          <cell r="AE67">
            <v>3.3166000000000007</v>
          </cell>
          <cell r="AF67">
            <v>3.3430000000000009</v>
          </cell>
          <cell r="AG67">
            <v>3.3694000000000011</v>
          </cell>
          <cell r="AH67">
            <v>3.3958000000000013</v>
          </cell>
          <cell r="AI67">
            <v>3.4222000000000015</v>
          </cell>
          <cell r="AJ67">
            <v>3.4486000000000017</v>
          </cell>
          <cell r="AK67">
            <v>3.4750000000000019</v>
          </cell>
        </row>
        <row r="68">
          <cell r="B68">
            <v>13</v>
          </cell>
          <cell r="C68">
            <v>13</v>
          </cell>
          <cell r="D68">
            <v>13</v>
          </cell>
          <cell r="E68">
            <v>13</v>
          </cell>
          <cell r="F68">
            <v>13</v>
          </cell>
          <cell r="G68">
            <v>13</v>
          </cell>
          <cell r="H68">
            <v>13</v>
          </cell>
          <cell r="I68">
            <v>13</v>
          </cell>
          <cell r="J68">
            <v>13</v>
          </cell>
          <cell r="K68">
            <v>13</v>
          </cell>
          <cell r="L68">
            <v>13</v>
          </cell>
          <cell r="M68">
            <v>13</v>
          </cell>
          <cell r="N68">
            <v>13</v>
          </cell>
          <cell r="O68">
            <v>13</v>
          </cell>
          <cell r="P68">
            <v>13</v>
          </cell>
          <cell r="Q68">
            <v>13</v>
          </cell>
          <cell r="R68">
            <v>13</v>
          </cell>
          <cell r="S68">
            <v>13</v>
          </cell>
          <cell r="T68">
            <v>13</v>
          </cell>
          <cell r="U68">
            <v>13</v>
          </cell>
          <cell r="V68">
            <v>13</v>
          </cell>
          <cell r="W68">
            <v>13</v>
          </cell>
          <cell r="X68">
            <v>13</v>
          </cell>
          <cell r="Y68">
            <v>13</v>
          </cell>
          <cell r="Z68">
            <v>13</v>
          </cell>
          <cell r="AA68">
            <v>13</v>
          </cell>
          <cell r="AB68">
            <v>13</v>
          </cell>
          <cell r="AC68">
            <v>13</v>
          </cell>
          <cell r="AD68">
            <v>13</v>
          </cell>
          <cell r="AE68">
            <v>13</v>
          </cell>
          <cell r="AF68">
            <v>13</v>
          </cell>
          <cell r="AG68">
            <v>13</v>
          </cell>
          <cell r="AH68">
            <v>13</v>
          </cell>
          <cell r="AI68">
            <v>13</v>
          </cell>
          <cell r="AJ68">
            <v>13</v>
          </cell>
          <cell r="AK68">
            <v>13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64"/>
  <sheetViews>
    <sheetView tabSelected="1" workbookViewId="0">
      <selection activeCell="C6" sqref="C6"/>
    </sheetView>
  </sheetViews>
  <sheetFormatPr baseColWidth="10" defaultRowHeight="15" x14ac:dyDescent="0"/>
  <cols>
    <col min="2" max="2" width="15.33203125" bestFit="1" customWidth="1"/>
    <col min="3" max="3" width="11.83203125" bestFit="1" customWidth="1"/>
    <col min="6" max="6" width="15.33203125" customWidth="1"/>
    <col min="7" max="7" width="14.6640625" customWidth="1"/>
    <col min="31" max="37" width="7.83203125" customWidth="1"/>
  </cols>
  <sheetData>
    <row r="1" spans="1:32">
      <c r="H1" t="s">
        <v>66</v>
      </c>
    </row>
    <row r="2" spans="1:32">
      <c r="I2" t="s">
        <v>17</v>
      </c>
      <c r="J2" t="s">
        <v>18</v>
      </c>
    </row>
    <row r="3" spans="1:32">
      <c r="H3" t="s">
        <v>38</v>
      </c>
      <c r="I3" t="s">
        <v>16</v>
      </c>
      <c r="J3" t="s">
        <v>16</v>
      </c>
      <c r="K3" t="s">
        <v>14</v>
      </c>
      <c r="L3" t="s">
        <v>13</v>
      </c>
      <c r="M3" t="s">
        <v>15</v>
      </c>
      <c r="N3" t="s">
        <v>42</v>
      </c>
      <c r="O3" t="s">
        <v>43</v>
      </c>
      <c r="Q3" t="str">
        <f t="shared" ref="Q3:X3" si="0">H3</f>
        <v>fuel_type</v>
      </c>
      <c r="R3" t="str">
        <f t="shared" si="0"/>
        <v>LNG</v>
      </c>
      <c r="S3" t="str">
        <f t="shared" si="0"/>
        <v>LNG</v>
      </c>
      <c r="T3" t="str">
        <f t="shared" si="0"/>
        <v>LSFO</v>
      </c>
      <c r="U3" t="str">
        <f t="shared" si="0"/>
        <v>Diesel</v>
      </c>
      <c r="V3" t="str">
        <f t="shared" si="0"/>
        <v>Biodiesel</v>
      </c>
      <c r="W3" t="str">
        <f t="shared" si="0"/>
        <v>Coal</v>
      </c>
      <c r="X3" t="str">
        <f t="shared" si="0"/>
        <v>Pellet-Biomass</v>
      </c>
      <c r="Z3" s="16"/>
      <c r="AA3" s="16" t="str">
        <f t="shared" ref="AA3:AF3" si="1">S3</f>
        <v>LNG</v>
      </c>
      <c r="AB3" s="16" t="str">
        <f t="shared" si="1"/>
        <v>LSFO</v>
      </c>
      <c r="AC3" s="16" t="str">
        <f t="shared" si="1"/>
        <v>Diesel</v>
      </c>
      <c r="AD3" s="16" t="str">
        <f t="shared" si="1"/>
        <v>Biodiesel</v>
      </c>
      <c r="AE3" s="16" t="str">
        <f t="shared" si="1"/>
        <v>Coal</v>
      </c>
      <c r="AF3" s="16" t="str">
        <f t="shared" si="1"/>
        <v>Pellet-Biomass</v>
      </c>
    </row>
    <row r="4" spans="1:32" ht="60">
      <c r="B4" s="18" t="s">
        <v>67</v>
      </c>
      <c r="C4" s="18" t="s">
        <v>68</v>
      </c>
      <c r="D4" s="18" t="s">
        <v>62</v>
      </c>
      <c r="E4" s="18" t="s">
        <v>63</v>
      </c>
      <c r="H4" t="s">
        <v>19</v>
      </c>
      <c r="I4" t="s">
        <v>20</v>
      </c>
      <c r="J4" t="s">
        <v>21</v>
      </c>
      <c r="K4" t="s">
        <v>22</v>
      </c>
      <c r="L4" t="s">
        <v>22</v>
      </c>
      <c r="M4" t="s">
        <v>22</v>
      </c>
      <c r="N4" t="s">
        <v>22</v>
      </c>
      <c r="O4" t="s">
        <v>22</v>
      </c>
      <c r="Q4" t="str">
        <f>H4</f>
        <v>tier</v>
      </c>
      <c r="R4" t="str">
        <f t="shared" ref="R4:X4" si="2">I4</f>
        <v>bulk</v>
      </c>
      <c r="S4" t="str">
        <f t="shared" si="2"/>
        <v>container</v>
      </c>
      <c r="T4" t="str">
        <f t="shared" si="2"/>
        <v>base</v>
      </c>
      <c r="U4" t="str">
        <f t="shared" si="2"/>
        <v>base</v>
      </c>
      <c r="V4" t="str">
        <f t="shared" si="2"/>
        <v>base</v>
      </c>
      <c r="W4" t="str">
        <f t="shared" si="2"/>
        <v>base</v>
      </c>
      <c r="X4" t="str">
        <f t="shared" si="2"/>
        <v>base</v>
      </c>
      <c r="Z4" s="16" t="str">
        <f>H10&amp;"-"&amp;RIGHT(H14,2)</f>
        <v>2020-24</v>
      </c>
      <c r="AA4" s="17">
        <f>AVERAGE(I10:I14)</f>
        <v>11.81378051348236</v>
      </c>
      <c r="AB4" s="17">
        <f>AVERAGE(K10:K14)</f>
        <v>15.573382565010681</v>
      </c>
      <c r="AC4" s="17">
        <f>AVERAGE(L10:L14)</f>
        <v>18.24950125816288</v>
      </c>
      <c r="AD4" s="17">
        <f>AVERAGE(M10:M14)</f>
        <v>36.828733019793084</v>
      </c>
      <c r="AE4" s="17">
        <f>AVERAGE(N10:N14)</f>
        <v>2.9496034218749991</v>
      </c>
      <c r="AF4" s="17">
        <f>AVERAGE(O10:O14)</f>
        <v>13.999578124999999</v>
      </c>
    </row>
    <row r="5" spans="1:32">
      <c r="A5">
        <v>2015</v>
      </c>
      <c r="B5">
        <v>52.32</v>
      </c>
      <c r="C5">
        <v>2.62</v>
      </c>
      <c r="D5" s="1">
        <f t="shared" ref="D5:D35" si="3">B5*(1+inflation_rate)^(base_year-2015)</f>
        <v>53.261760000000002</v>
      </c>
      <c r="E5" s="1">
        <f t="shared" ref="E5:E35" si="4">C5*(1+inflation_rate)^(base_year-2015)</f>
        <v>2.66716</v>
      </c>
      <c r="H5">
        <f t="shared" ref="H5:H35" si="5">A5</f>
        <v>2015</v>
      </c>
      <c r="I5" s="2">
        <f t="shared" ref="I5:I35" si="6">0.1333*D5+0.4521</f>
        <v>7.5518926080000002</v>
      </c>
      <c r="J5" s="2">
        <f t="shared" ref="J5:J35" si="7">1.5582*E5+6.6017</f>
        <v>10.757668712000001</v>
      </c>
      <c r="K5" s="2">
        <f t="shared" ref="K5:K35" si="8">0.1829*$D5-0.0159</f>
        <v>9.7256759040000009</v>
      </c>
      <c r="L5" s="2">
        <f t="shared" ref="L5:L35" si="9">0.1864*$D5+2.3619</f>
        <v>12.289892064000002</v>
      </c>
      <c r="M5" s="2">
        <f t="shared" ref="M5:M35" si="10">0.1549*$D5+23.626</f>
        <v>31.876246624000004</v>
      </c>
      <c r="N5" s="2">
        <f>INDEX('[1]EIA-derived'!$B$67:$AK$67, MATCH(H5, '[1]EIA-derived'!$B$61:$AK$61, 0)) * (1+'[1]EIA-derived'!$B$56)^(base_year-2013)</f>
        <v>2.7471479843749993</v>
      </c>
      <c r="O5" s="2">
        <f>INDEX('[1]EIA-derived'!$B$68:$AK$68, MATCH(H5, '[1]EIA-derived'!$B$61:$AK$61, 0)) * (1+'[1]EIA-derived'!$B$56)^(base_year-2013)</f>
        <v>13.999578124999999</v>
      </c>
      <c r="Q5" t="s">
        <v>25</v>
      </c>
      <c r="R5" s="11">
        <f>C54</f>
        <v>51113806</v>
      </c>
      <c r="S5" s="11">
        <f>G54</f>
        <v>34757388.080000006</v>
      </c>
      <c r="T5" s="3"/>
      <c r="U5" s="3"/>
      <c r="V5" s="3"/>
      <c r="W5" s="3"/>
      <c r="X5" s="3"/>
      <c r="Z5" s="16" t="str">
        <f>H15&amp;"-"&amp;RIGHT(H19,2)</f>
        <v>2025-29</v>
      </c>
      <c r="AA5" s="17">
        <f>AVERAGE(I15:I19)</f>
        <v>13.613943378094557</v>
      </c>
      <c r="AB5" s="17">
        <f>AVERAGE(K15:K19)</f>
        <v>18.043373472269284</v>
      </c>
      <c r="AC5" s="17">
        <f>AVERAGE(L15:L19)</f>
        <v>20.766758257140481</v>
      </c>
      <c r="AD5" s="17">
        <f>AVERAGE(M15:M19)</f>
        <v>38.92059519329969</v>
      </c>
      <c r="AE5" s="17">
        <f>AVERAGE(N15:N19)</f>
        <v>3.1089832343749997</v>
      </c>
      <c r="AF5" s="17">
        <f>AVERAGE(O15:O19)</f>
        <v>13.999578124999999</v>
      </c>
    </row>
    <row r="6" spans="1:32">
      <c r="A6">
        <v>2016</v>
      </c>
      <c r="B6" s="19">
        <f>43.55/(1+inflation_rate)^($A6-2015)</f>
        <v>42.779960707269154</v>
      </c>
      <c r="C6" s="19">
        <f>2.515/(1+inflation_rate)^($A6-2015)</f>
        <v>2.4705304518664049</v>
      </c>
      <c r="D6" s="1">
        <f t="shared" si="3"/>
        <v>43.55</v>
      </c>
      <c r="E6" s="1">
        <f t="shared" si="4"/>
        <v>2.5150000000000001</v>
      </c>
      <c r="H6">
        <f t="shared" si="5"/>
        <v>2016</v>
      </c>
      <c r="I6" s="2">
        <f t="shared" si="6"/>
        <v>6.2573149999999993</v>
      </c>
      <c r="J6" s="2">
        <f t="shared" si="7"/>
        <v>10.520573000000001</v>
      </c>
      <c r="K6" s="2">
        <f t="shared" si="8"/>
        <v>7.9493949999999991</v>
      </c>
      <c r="L6" s="2">
        <f t="shared" si="9"/>
        <v>10.479620000000001</v>
      </c>
      <c r="M6" s="2">
        <f t="shared" si="10"/>
        <v>30.371895000000002</v>
      </c>
      <c r="N6" s="2">
        <f>INDEX('[1]EIA-derived'!$B$67:$AK$67, MATCH(H6, '[1]EIA-derived'!$B$61:$AK$61, 0)) * (1+'[1]EIA-derived'!$B$56)^(base_year-2013)</f>
        <v>2.7363790781249997</v>
      </c>
      <c r="O6" s="2">
        <f>INDEX('[1]EIA-derived'!$B$68:$AK$68, MATCH(H6, '[1]EIA-derived'!$B$61:$AK$61, 0)) * (1+'[1]EIA-derived'!$B$56)^(base_year-2013)</f>
        <v>13.999578124999999</v>
      </c>
      <c r="Z6" s="16" t="str">
        <f>H20&amp;"-"&amp;RIGHT(H24,2)</f>
        <v>2030-34</v>
      </c>
      <c r="AA6" s="17">
        <f>AVERAGE(I20:I24)</f>
        <v>15.459028036383359</v>
      </c>
      <c r="AB6" s="17">
        <f>AVERAGE(K20:K24)</f>
        <v>20.575001259223683</v>
      </c>
      <c r="AC6" s="17">
        <f>AVERAGE(L20:L24)</f>
        <v>23.346831627770882</v>
      </c>
      <c r="AD6" s="17">
        <f>AVERAGE(M20:M24)</f>
        <v>41.064658310846077</v>
      </c>
      <c r="AE6" s="17">
        <f>AVERAGE(N20:N24)</f>
        <v>3.2360563281249997</v>
      </c>
      <c r="AF6" s="17">
        <f>AVERAGE(O20:O24)</f>
        <v>13.999578124999999</v>
      </c>
    </row>
    <row r="7" spans="1:32">
      <c r="A7">
        <v>2017</v>
      </c>
      <c r="B7">
        <v>48.082718</v>
      </c>
      <c r="C7">
        <v>3.088212</v>
      </c>
      <c r="D7" s="1">
        <f t="shared" si="3"/>
        <v>48.948206923999997</v>
      </c>
      <c r="E7" s="1">
        <f t="shared" si="4"/>
        <v>3.143799816</v>
      </c>
      <c r="H7">
        <f t="shared" si="5"/>
        <v>2017</v>
      </c>
      <c r="I7" s="2">
        <f t="shared" si="6"/>
        <v>6.9768959829691992</v>
      </c>
      <c r="J7" s="2">
        <f t="shared" si="7"/>
        <v>11.500368873291201</v>
      </c>
      <c r="K7" s="2">
        <f t="shared" si="8"/>
        <v>8.9367270463996</v>
      </c>
      <c r="L7" s="2">
        <f t="shared" si="9"/>
        <v>11.485845770633601</v>
      </c>
      <c r="M7" s="2">
        <f t="shared" si="10"/>
        <v>31.208077252527602</v>
      </c>
      <c r="N7" s="2">
        <f>INDEX('[1]EIA-derived'!$B$67:$AK$67, MATCH(H7, '[1]EIA-derived'!$B$61:$AK$61, 0)) * (1+'[1]EIA-derived'!$B$56)^(base_year-2013)</f>
        <v>2.7579168906249998</v>
      </c>
      <c r="O7" s="2">
        <f>INDEX('[1]EIA-derived'!$B$68:$AK$68, MATCH(H7, '[1]EIA-derived'!$B$61:$AK$61, 0)) * (1+'[1]EIA-derived'!$B$56)^(base_year-2013)</f>
        <v>13.999578124999999</v>
      </c>
      <c r="Z7" s="16" t="str">
        <f>H25&amp;"-"&amp;RIGHT(H29,2)</f>
        <v>2035-39</v>
      </c>
      <c r="AA7" s="17">
        <f>AVERAGE(I25:I29)</f>
        <v>17.542944154329881</v>
      </c>
      <c r="AB7" s="17">
        <f>AVERAGE(K25:K29)</f>
        <v>23.434328025708442</v>
      </c>
      <c r="AC7" s="17">
        <f>AVERAGE(L25:L29)</f>
        <v>26.260874871471039</v>
      </c>
      <c r="AD7" s="17">
        <f>AVERAGE(M25:M29)</f>
        <v>43.486253259607636</v>
      </c>
      <c r="AE7" s="17">
        <f>AVERAGE(N25:N29)</f>
        <v>3.3695907656249995</v>
      </c>
      <c r="AF7" s="17">
        <f>AVERAGE(O25:O29)</f>
        <v>13.999578124999999</v>
      </c>
    </row>
    <row r="8" spans="1:32">
      <c r="A8">
        <v>2018</v>
      </c>
      <c r="B8">
        <v>57.014789999999998</v>
      </c>
      <c r="C8">
        <v>3.615605</v>
      </c>
      <c r="D8" s="1">
        <f t="shared" si="3"/>
        <v>58.041056220000002</v>
      </c>
      <c r="E8" s="1">
        <f t="shared" si="4"/>
        <v>3.6806858899999999</v>
      </c>
      <c r="H8">
        <f t="shared" si="5"/>
        <v>2018</v>
      </c>
      <c r="I8" s="2">
        <f t="shared" si="6"/>
        <v>8.1889727941260002</v>
      </c>
      <c r="J8" s="2">
        <f t="shared" si="7"/>
        <v>12.336944753798001</v>
      </c>
      <c r="K8" s="2">
        <f t="shared" si="8"/>
        <v>10.599809182638001</v>
      </c>
      <c r="L8" s="2">
        <f t="shared" si="9"/>
        <v>13.180752879408001</v>
      </c>
      <c r="M8" s="2">
        <f t="shared" si="10"/>
        <v>32.616559608477999</v>
      </c>
      <c r="N8" s="2">
        <f>INDEX('[1]EIA-derived'!$B$67:$AK$67, MATCH(H8, '[1]EIA-derived'!$B$61:$AK$61, 0)) * (1+'[1]EIA-derived'!$B$56)^(base_year-2013)</f>
        <v>2.7902236093749995</v>
      </c>
      <c r="O8" s="2">
        <f>INDEX('[1]EIA-derived'!$B$68:$AK$68, MATCH(H8, '[1]EIA-derived'!$B$61:$AK$61, 0)) * (1+'[1]EIA-derived'!$B$56)^(base_year-2013)</f>
        <v>13.999578124999999</v>
      </c>
      <c r="Z8" s="16" t="str">
        <f>H30&amp;"-"&amp;RIGHT(H34,2)</f>
        <v>2040-44</v>
      </c>
      <c r="AA8" s="17">
        <f>AVERAGE(I30:I34)</f>
        <v>20.129018691408827</v>
      </c>
      <c r="AB8" s="17">
        <f>AVERAGE(K30:K34)</f>
        <v>26.982662855653967</v>
      </c>
      <c r="AC8" s="17">
        <f>AVERAGE(L30:L34)</f>
        <v>29.877111133372882</v>
      </c>
      <c r="AD8" s="17">
        <f>AVERAGE(M30:M34)</f>
        <v>46.491376633902682</v>
      </c>
      <c r="AE8" s="17">
        <f>AVERAGE(N30:N34)</f>
        <v>3.5147556218749996</v>
      </c>
      <c r="AF8" s="17">
        <f>AVERAGE(O30:O34)</f>
        <v>13.999578124999999</v>
      </c>
    </row>
    <row r="9" spans="1:32">
      <c r="A9">
        <v>2019</v>
      </c>
      <c r="B9">
        <v>70.113799999999998</v>
      </c>
      <c r="C9">
        <v>4.0123660000000001</v>
      </c>
      <c r="D9" s="1">
        <f t="shared" si="3"/>
        <v>71.375848399999995</v>
      </c>
      <c r="E9" s="1">
        <f t="shared" si="4"/>
        <v>4.0845885879999999</v>
      </c>
      <c r="H9">
        <f t="shared" si="5"/>
        <v>2019</v>
      </c>
      <c r="I9" s="2">
        <f t="shared" si="6"/>
        <v>9.9665005917199991</v>
      </c>
      <c r="J9" s="2">
        <f t="shared" si="7"/>
        <v>12.9663059378216</v>
      </c>
      <c r="K9" s="2">
        <f t="shared" si="8"/>
        <v>13.03874267236</v>
      </c>
      <c r="L9" s="2">
        <f t="shared" si="9"/>
        <v>15.66635814176</v>
      </c>
      <c r="M9" s="2">
        <f t="shared" si="10"/>
        <v>34.682118917159997</v>
      </c>
      <c r="N9" s="2">
        <f>INDEX('[1]EIA-derived'!$B$67:$AK$67, MATCH(H9, '[1]EIA-derived'!$B$61:$AK$61, 0)) * (1+'[1]EIA-derived'!$B$56)^(base_year-2013)</f>
        <v>2.8332992343749996</v>
      </c>
      <c r="O9" s="2">
        <f>INDEX('[1]EIA-derived'!$B$68:$AK$68, MATCH(H9, '[1]EIA-derived'!$B$61:$AK$61, 0)) * (1+'[1]EIA-derived'!$B$56)^(base_year-2013)</f>
        <v>13.999578124999999</v>
      </c>
    </row>
    <row r="10" spans="1:32">
      <c r="A10">
        <v>2020</v>
      </c>
      <c r="B10">
        <v>76.569457999999997</v>
      </c>
      <c r="C10">
        <v>4.4343199999999996</v>
      </c>
      <c r="D10" s="1">
        <f t="shared" si="3"/>
        <v>77.947708243999998</v>
      </c>
      <c r="E10" s="1">
        <f t="shared" si="4"/>
        <v>4.5141377599999997</v>
      </c>
      <c r="H10">
        <f t="shared" si="5"/>
        <v>2020</v>
      </c>
      <c r="I10" s="2">
        <f t="shared" si="6"/>
        <v>10.8425295089252</v>
      </c>
      <c r="J10" s="2">
        <f t="shared" si="7"/>
        <v>13.635629457632</v>
      </c>
      <c r="K10" s="2">
        <f t="shared" si="8"/>
        <v>14.2407358378276</v>
      </c>
      <c r="L10" s="2">
        <f t="shared" si="9"/>
        <v>16.8913528166816</v>
      </c>
      <c r="M10" s="2">
        <f t="shared" si="10"/>
        <v>35.700100006995598</v>
      </c>
      <c r="N10" s="2">
        <f>INDEX('[1]EIA-derived'!$B$67:$AK$67, MATCH(H10, '[1]EIA-derived'!$B$61:$AK$61, 0)) * (1+'[1]EIA-derived'!$B$56)^(base_year-2013)</f>
        <v>2.8763748593749994</v>
      </c>
      <c r="O10" s="2">
        <f>INDEX('[1]EIA-derived'!$B$68:$AK$68, MATCH(H10, '[1]EIA-derived'!$B$61:$AK$61, 0)) * (1+'[1]EIA-derived'!$B$56)^(base_year-2013)</f>
        <v>13.999578124999999</v>
      </c>
    </row>
    <row r="11" spans="1:32">
      <c r="A11">
        <v>2021</v>
      </c>
      <c r="B11">
        <v>81.158821000000003</v>
      </c>
      <c r="C11">
        <v>4.3278189999999999</v>
      </c>
      <c r="D11" s="1">
        <f t="shared" si="3"/>
        <v>82.619679778000005</v>
      </c>
      <c r="E11" s="1">
        <f t="shared" si="4"/>
        <v>4.4057197419999996</v>
      </c>
      <c r="H11">
        <f t="shared" si="5"/>
        <v>2021</v>
      </c>
      <c r="I11" s="2">
        <f t="shared" si="6"/>
        <v>11.4653033144074</v>
      </c>
      <c r="J11" s="2">
        <f t="shared" si="7"/>
        <v>13.466692501984401</v>
      </c>
      <c r="K11" s="2">
        <f t="shared" si="8"/>
        <v>15.095239431396202</v>
      </c>
      <c r="L11" s="2">
        <f t="shared" si="9"/>
        <v>17.762208310619201</v>
      </c>
      <c r="M11" s="2">
        <f t="shared" si="10"/>
        <v>36.423788397612199</v>
      </c>
      <c r="N11" s="2">
        <f>INDEX('[1]EIA-derived'!$B$67:$AK$67, MATCH(H11, '[1]EIA-derived'!$B$61:$AK$61, 0)) * (1+'[1]EIA-derived'!$B$56)^(base_year-2013)</f>
        <v>2.9194504843749995</v>
      </c>
      <c r="O11" s="2">
        <f>INDEX('[1]EIA-derived'!$B$68:$AK$68, MATCH(H11, '[1]EIA-derived'!$B$61:$AK$61, 0)) * (1+'[1]EIA-derived'!$B$56)^(base_year-2013)</f>
        <v>13.999578124999999</v>
      </c>
    </row>
    <row r="12" spans="1:32">
      <c r="A12">
        <v>2022</v>
      </c>
      <c r="B12">
        <v>84.652359000000004</v>
      </c>
      <c r="C12">
        <v>4.350212</v>
      </c>
      <c r="D12" s="1">
        <f t="shared" si="3"/>
        <v>86.176101462000005</v>
      </c>
      <c r="E12" s="1">
        <f t="shared" si="4"/>
        <v>4.428515816</v>
      </c>
      <c r="H12">
        <f t="shared" si="5"/>
        <v>2022</v>
      </c>
      <c r="I12" s="2">
        <f t="shared" si="6"/>
        <v>11.9393743248846</v>
      </c>
      <c r="J12" s="2">
        <f t="shared" si="7"/>
        <v>13.502213344491199</v>
      </c>
      <c r="K12" s="2">
        <f t="shared" si="8"/>
        <v>15.745708957399801</v>
      </c>
      <c r="L12" s="2">
        <f t="shared" si="9"/>
        <v>18.425125312516801</v>
      </c>
      <c r="M12" s="2">
        <f t="shared" si="10"/>
        <v>36.974678116463807</v>
      </c>
      <c r="N12" s="2">
        <f>INDEX('[1]EIA-derived'!$B$67:$AK$67, MATCH(H12, '[1]EIA-derived'!$B$61:$AK$61, 0)) * (1+'[1]EIA-derived'!$B$56)^(base_year-2013)</f>
        <v>2.9517572031249997</v>
      </c>
      <c r="O12" s="2">
        <f>INDEX('[1]EIA-derived'!$B$68:$AK$68, MATCH(H12, '[1]EIA-derived'!$B$61:$AK$61, 0)) * (1+'[1]EIA-derived'!$B$56)^(base_year-2013)</f>
        <v>13.999578124999999</v>
      </c>
    </row>
    <row r="13" spans="1:32">
      <c r="A13">
        <v>2023</v>
      </c>
      <c r="B13">
        <v>87.105971999999994</v>
      </c>
      <c r="C13">
        <v>4.7426550000000001</v>
      </c>
      <c r="D13" s="1">
        <f t="shared" si="3"/>
        <v>88.673879495999998</v>
      </c>
      <c r="E13" s="1">
        <f t="shared" si="4"/>
        <v>4.8280227900000003</v>
      </c>
      <c r="H13">
        <f t="shared" si="5"/>
        <v>2023</v>
      </c>
      <c r="I13" s="2">
        <f t="shared" si="6"/>
        <v>12.2723281368168</v>
      </c>
      <c r="J13" s="2">
        <f t="shared" si="7"/>
        <v>14.124725111378002</v>
      </c>
      <c r="K13" s="2">
        <f t="shared" si="8"/>
        <v>16.2025525598184</v>
      </c>
      <c r="L13" s="2">
        <f t="shared" si="9"/>
        <v>18.890711138054399</v>
      </c>
      <c r="M13" s="2">
        <f t="shared" si="10"/>
        <v>37.361583933930405</v>
      </c>
      <c r="N13" s="2">
        <f>INDEX('[1]EIA-derived'!$B$67:$AK$67, MATCH(H13, '[1]EIA-derived'!$B$61:$AK$61, 0)) * (1+'[1]EIA-derived'!$B$56)^(base_year-2013)</f>
        <v>2.9840639218749994</v>
      </c>
      <c r="O13" s="2">
        <f>INDEX('[1]EIA-derived'!$B$68:$AK$68, MATCH(H13, '[1]EIA-derived'!$B$61:$AK$61, 0)) * (1+'[1]EIA-derived'!$B$56)^(base_year-2013)</f>
        <v>13.999578124999999</v>
      </c>
    </row>
    <row r="14" spans="1:32">
      <c r="A14">
        <v>2024</v>
      </c>
      <c r="B14">
        <v>89.147537</v>
      </c>
      <c r="C14">
        <v>4.996353</v>
      </c>
      <c r="D14" s="1">
        <f t="shared" si="3"/>
        <v>90.752192665999999</v>
      </c>
      <c r="E14" s="1">
        <f t="shared" si="4"/>
        <v>5.0862873540000004</v>
      </c>
      <c r="H14">
        <f t="shared" si="5"/>
        <v>2024</v>
      </c>
      <c r="I14" s="2">
        <f t="shared" si="6"/>
        <v>12.5493672823778</v>
      </c>
      <c r="J14" s="2">
        <f t="shared" si="7"/>
        <v>14.527152955002801</v>
      </c>
      <c r="K14" s="2">
        <f t="shared" si="8"/>
        <v>16.582676038611403</v>
      </c>
      <c r="L14" s="2">
        <f t="shared" si="9"/>
        <v>19.278108712942398</v>
      </c>
      <c r="M14" s="2">
        <f t="shared" si="10"/>
        <v>37.683514643963406</v>
      </c>
      <c r="N14" s="2">
        <f>INDEX('[1]EIA-derived'!$B$67:$AK$67, MATCH(H14, '[1]EIA-derived'!$B$61:$AK$61, 0)) * (1+'[1]EIA-derived'!$B$56)^(base_year-2013)</f>
        <v>3.0163706406249995</v>
      </c>
      <c r="O14" s="2">
        <f>INDEX('[1]EIA-derived'!$B$68:$AK$68, MATCH(H14, '[1]EIA-derived'!$B$61:$AK$61, 0)) * (1+'[1]EIA-derived'!$B$56)^(base_year-2013)</f>
        <v>13.999578124999999</v>
      </c>
    </row>
    <row r="15" spans="1:32">
      <c r="A15">
        <v>2025</v>
      </c>
      <c r="B15">
        <v>91.589507999999995</v>
      </c>
      <c r="C15">
        <v>5.1229279999999999</v>
      </c>
      <c r="D15" s="1">
        <f t="shared" si="3"/>
        <v>93.238119143999995</v>
      </c>
      <c r="E15" s="1">
        <f t="shared" si="4"/>
        <v>5.2151407040000004</v>
      </c>
      <c r="H15">
        <f t="shared" si="5"/>
        <v>2025</v>
      </c>
      <c r="I15" s="2">
        <f t="shared" si="6"/>
        <v>12.880741281895199</v>
      </c>
      <c r="J15" s="2">
        <f t="shared" si="7"/>
        <v>14.727932244972802</v>
      </c>
      <c r="K15" s="2">
        <f t="shared" si="8"/>
        <v>17.0373519914376</v>
      </c>
      <c r="L15" s="2">
        <f t="shared" si="9"/>
        <v>19.741485408441598</v>
      </c>
      <c r="M15" s="2">
        <f t="shared" si="10"/>
        <v>38.068584655405601</v>
      </c>
      <c r="N15" s="2">
        <f>INDEX('[1]EIA-derived'!$B$67:$AK$67, MATCH(H15, '[1]EIA-derived'!$B$61:$AK$61, 0)) * (1+'[1]EIA-derived'!$B$56)^(base_year-2013)</f>
        <v>3.0486773593749996</v>
      </c>
      <c r="O15" s="2">
        <f>INDEX('[1]EIA-derived'!$B$68:$AK$68, MATCH(H15, '[1]EIA-derived'!$B$61:$AK$61, 0)) * (1+'[1]EIA-derived'!$B$56)^(base_year-2013)</f>
        <v>13.999578124999999</v>
      </c>
    </row>
    <row r="16" spans="1:32">
      <c r="A16">
        <v>2026</v>
      </c>
      <c r="B16">
        <v>94.633628999999999</v>
      </c>
      <c r="C16">
        <v>4.9867169999999996</v>
      </c>
      <c r="D16" s="1">
        <f t="shared" si="3"/>
        <v>96.337034321999994</v>
      </c>
      <c r="E16" s="1">
        <f t="shared" si="4"/>
        <v>5.076477906</v>
      </c>
      <c r="H16">
        <f t="shared" si="5"/>
        <v>2026</v>
      </c>
      <c r="I16" s="2">
        <f t="shared" si="6"/>
        <v>13.293826675122599</v>
      </c>
      <c r="J16" s="2">
        <f t="shared" si="7"/>
        <v>14.511867873129201</v>
      </c>
      <c r="K16" s="2">
        <f t="shared" si="8"/>
        <v>17.604143577493801</v>
      </c>
      <c r="L16" s="2">
        <f t="shared" si="9"/>
        <v>20.319123197620797</v>
      </c>
      <c r="M16" s="2">
        <f t="shared" si="10"/>
        <v>38.548606616477798</v>
      </c>
      <c r="N16" s="2">
        <f>INDEX('[1]EIA-derived'!$B$67:$AK$67, MATCH(H16, '[1]EIA-derived'!$B$61:$AK$61, 0)) * (1+'[1]EIA-derived'!$B$56)^(base_year-2013)</f>
        <v>3.0809840781249993</v>
      </c>
      <c r="O16" s="2">
        <f>INDEX('[1]EIA-derived'!$B$68:$AK$68, MATCH(H16, '[1]EIA-derived'!$B$61:$AK$61, 0)) * (1+'[1]EIA-derived'!$B$56)^(base_year-2013)</f>
        <v>13.999578124999999</v>
      </c>
    </row>
    <row r="17" spans="1:15">
      <c r="A17">
        <v>2027</v>
      </c>
      <c r="B17">
        <v>97.183693000000005</v>
      </c>
      <c r="C17">
        <v>4.9537279999999999</v>
      </c>
      <c r="D17" s="1">
        <f t="shared" si="3"/>
        <v>98.932999474000013</v>
      </c>
      <c r="E17" s="1">
        <f t="shared" si="4"/>
        <v>5.0428951040000003</v>
      </c>
      <c r="H17">
        <f t="shared" si="5"/>
        <v>2027</v>
      </c>
      <c r="I17" s="2">
        <f t="shared" si="6"/>
        <v>13.639868829884202</v>
      </c>
      <c r="J17" s="2">
        <f t="shared" si="7"/>
        <v>14.459539151052802</v>
      </c>
      <c r="K17" s="2">
        <f t="shared" si="8"/>
        <v>18.078945603794605</v>
      </c>
      <c r="L17" s="2">
        <f t="shared" si="9"/>
        <v>20.803011101953601</v>
      </c>
      <c r="M17" s="2">
        <f t="shared" si="10"/>
        <v>38.950721618522607</v>
      </c>
      <c r="N17" s="2">
        <f>INDEX('[1]EIA-derived'!$B$67:$AK$67, MATCH(H17, '[1]EIA-derived'!$B$61:$AK$61, 0)) * (1+'[1]EIA-derived'!$B$56)^(base_year-2013)</f>
        <v>3.1132907968749999</v>
      </c>
      <c r="O17" s="2">
        <f>INDEX('[1]EIA-derived'!$B$68:$AK$68, MATCH(H17, '[1]EIA-derived'!$B$61:$AK$61, 0)) * (1+'[1]EIA-derived'!$B$56)^(base_year-2013)</f>
        <v>13.999578124999999</v>
      </c>
    </row>
    <row r="18" spans="1:15">
      <c r="A18">
        <v>2028</v>
      </c>
      <c r="B18">
        <v>99.331017000000003</v>
      </c>
      <c r="C18">
        <v>5.0031809999999997</v>
      </c>
      <c r="D18" s="1">
        <f t="shared" si="3"/>
        <v>101.11897530600001</v>
      </c>
      <c r="E18" s="1">
        <f t="shared" si="4"/>
        <v>5.0932382579999995</v>
      </c>
      <c r="H18">
        <f t="shared" si="5"/>
        <v>2028</v>
      </c>
      <c r="I18" s="2">
        <f t="shared" si="6"/>
        <v>13.931259408289801</v>
      </c>
      <c r="J18" s="2">
        <f t="shared" si="7"/>
        <v>14.5379838536156</v>
      </c>
      <c r="K18" s="2">
        <f t="shared" si="8"/>
        <v>18.478760583467405</v>
      </c>
      <c r="L18" s="2">
        <f t="shared" si="9"/>
        <v>21.210476997038402</v>
      </c>
      <c r="M18" s="2">
        <f t="shared" si="10"/>
        <v>39.289329274899401</v>
      </c>
      <c r="N18" s="2">
        <f>INDEX('[1]EIA-derived'!$B$67:$AK$67, MATCH(H18, '[1]EIA-derived'!$B$61:$AK$61, 0)) * (1+'[1]EIA-derived'!$B$56)^(base_year-2013)</f>
        <v>3.1348286093749995</v>
      </c>
      <c r="O18" s="2">
        <f>INDEX('[1]EIA-derived'!$B$68:$AK$68, MATCH(H18, '[1]EIA-derived'!$B$61:$AK$61, 0)) * (1+'[1]EIA-derived'!$B$56)^(base_year-2013)</f>
        <v>13.999578124999999</v>
      </c>
    </row>
    <row r="19" spans="1:15">
      <c r="A19">
        <f>'physical hedge'!A19</f>
        <v>2029</v>
      </c>
      <c r="B19">
        <v>102.225365</v>
      </c>
      <c r="C19">
        <v>5.0526970000000002</v>
      </c>
      <c r="D19" s="1">
        <f t="shared" si="3"/>
        <v>104.06542157</v>
      </c>
      <c r="E19" s="1">
        <f t="shared" si="4"/>
        <v>5.1436455460000001</v>
      </c>
      <c r="H19">
        <f t="shared" si="5"/>
        <v>2029</v>
      </c>
      <c r="I19" s="2">
        <f t="shared" si="6"/>
        <v>14.324020695281</v>
      </c>
      <c r="J19" s="2">
        <f t="shared" si="7"/>
        <v>14.616528489777199</v>
      </c>
      <c r="K19" s="2">
        <f t="shared" si="8"/>
        <v>19.017665605153002</v>
      </c>
      <c r="L19" s="2">
        <f t="shared" si="9"/>
        <v>21.759694580647999</v>
      </c>
      <c r="M19" s="2">
        <f t="shared" si="10"/>
        <v>39.745733801192998</v>
      </c>
      <c r="N19" s="2">
        <f>INDEX('[1]EIA-derived'!$B$67:$AK$67, MATCH(H19, '[1]EIA-derived'!$B$61:$AK$61, 0)) * (1+'[1]EIA-derived'!$B$56)^(base_year-2013)</f>
        <v>3.1671353281249996</v>
      </c>
      <c r="O19" s="2">
        <f>INDEX('[1]EIA-derived'!$B$68:$AK$68, MATCH(H19, '[1]EIA-derived'!$B$61:$AK$61, 0)) * (1+'[1]EIA-derived'!$B$56)^(base_year-2013)</f>
        <v>13.999578124999999</v>
      </c>
    </row>
    <row r="20" spans="1:15">
      <c r="A20">
        <f>'physical hedge'!A20</f>
        <v>2030</v>
      </c>
      <c r="B20">
        <v>103.995621</v>
      </c>
      <c r="C20">
        <v>5.0559690000000002</v>
      </c>
      <c r="D20" s="1">
        <f t="shared" si="3"/>
        <v>105.86754217800001</v>
      </c>
      <c r="E20" s="1">
        <f t="shared" si="4"/>
        <v>5.1469764420000006</v>
      </c>
      <c r="H20">
        <f t="shared" si="5"/>
        <v>2030</v>
      </c>
      <c r="I20" s="2">
        <f t="shared" si="6"/>
        <v>14.5642433723274</v>
      </c>
      <c r="J20" s="2">
        <f t="shared" si="7"/>
        <v>14.6217186919244</v>
      </c>
      <c r="K20" s="2">
        <f t="shared" si="8"/>
        <v>19.347273464356203</v>
      </c>
      <c r="L20" s="2">
        <f t="shared" si="9"/>
        <v>22.095609861979202</v>
      </c>
      <c r="M20" s="2">
        <f t="shared" si="10"/>
        <v>40.024882283372207</v>
      </c>
      <c r="N20" s="2">
        <f>INDEX('[1]EIA-derived'!$B$67:$AK$67, MATCH(H20, '[1]EIA-derived'!$B$61:$AK$61, 0)) * (1+'[1]EIA-derived'!$B$56)^(base_year-2013)</f>
        <v>3.1886731406249993</v>
      </c>
      <c r="O20" s="2">
        <f>INDEX('[1]EIA-derived'!$B$68:$AK$68, MATCH(H20, '[1]EIA-derived'!$B$61:$AK$61, 0)) * (1+'[1]EIA-derived'!$B$56)^(base_year-2013)</f>
        <v>13.999578124999999</v>
      </c>
    </row>
    <row r="21" spans="1:15">
      <c r="A21">
        <f>'physical hedge'!A21</f>
        <v>2031</v>
      </c>
      <c r="B21">
        <v>107.22551</v>
      </c>
      <c r="C21">
        <v>5.010815</v>
      </c>
      <c r="D21" s="1">
        <f t="shared" si="3"/>
        <v>109.15556918</v>
      </c>
      <c r="E21" s="1">
        <f t="shared" si="4"/>
        <v>5.1010096699999998</v>
      </c>
      <c r="H21">
        <f t="shared" si="5"/>
        <v>2031</v>
      </c>
      <c r="I21" s="2">
        <f t="shared" si="6"/>
        <v>15.002537371694</v>
      </c>
      <c r="J21" s="2">
        <f t="shared" si="7"/>
        <v>14.550093267794001</v>
      </c>
      <c r="K21" s="2">
        <f t="shared" si="8"/>
        <v>19.948653603022002</v>
      </c>
      <c r="L21" s="2">
        <f t="shared" si="9"/>
        <v>22.708498095151999</v>
      </c>
      <c r="M21" s="2">
        <f t="shared" si="10"/>
        <v>40.534197665982006</v>
      </c>
      <c r="N21" s="2">
        <f>INDEX('[1]EIA-derived'!$B$67:$AK$67, MATCH(H21, '[1]EIA-derived'!$B$61:$AK$61, 0)) * (1+'[1]EIA-derived'!$B$56)^(base_year-2013)</f>
        <v>3.2102109531249994</v>
      </c>
      <c r="O21" s="2">
        <f>INDEX('[1]EIA-derived'!$B$68:$AK$68, MATCH(H21, '[1]EIA-derived'!$B$61:$AK$61, 0)) * (1+'[1]EIA-derived'!$B$56)^(base_year-2013)</f>
        <v>13.999578124999999</v>
      </c>
    </row>
    <row r="22" spans="1:15">
      <c r="A22">
        <f>'physical hedge'!A22</f>
        <v>2032</v>
      </c>
      <c r="B22">
        <v>110.49505600000001</v>
      </c>
      <c r="C22">
        <v>5.0347249999999999</v>
      </c>
      <c r="D22" s="1">
        <f t="shared" si="3"/>
        <v>112.48396700800001</v>
      </c>
      <c r="E22" s="1">
        <f t="shared" si="4"/>
        <v>5.1253500499999998</v>
      </c>
      <c r="H22">
        <f t="shared" si="5"/>
        <v>2032</v>
      </c>
      <c r="I22" s="2">
        <f t="shared" si="6"/>
        <v>15.446212802166402</v>
      </c>
      <c r="J22" s="2">
        <f t="shared" si="7"/>
        <v>14.588020447910001</v>
      </c>
      <c r="K22" s="2">
        <f t="shared" si="8"/>
        <v>20.557417565763203</v>
      </c>
      <c r="L22" s="2">
        <f t="shared" si="9"/>
        <v>23.328911450291201</v>
      </c>
      <c r="M22" s="2">
        <f t="shared" si="10"/>
        <v>41.049766489539202</v>
      </c>
      <c r="N22" s="2">
        <f>INDEX('[1]EIA-derived'!$B$67:$AK$67, MATCH(H22, '[1]EIA-derived'!$B$61:$AK$61, 0)) * (1+'[1]EIA-derived'!$B$56)^(base_year-2013)</f>
        <v>3.2317487656249995</v>
      </c>
      <c r="O22" s="2">
        <f>INDEX('[1]EIA-derived'!$B$68:$AK$68, MATCH(H22, '[1]EIA-derived'!$B$61:$AK$61, 0)) * (1+'[1]EIA-derived'!$B$56)^(base_year-2013)</f>
        <v>13.999578124999999</v>
      </c>
    </row>
    <row r="23" spans="1:15">
      <c r="A23">
        <f>'physical hedge'!A23</f>
        <v>2033</v>
      </c>
      <c r="B23">
        <v>113.845787</v>
      </c>
      <c r="C23">
        <v>4.9766729999999999</v>
      </c>
      <c r="D23" s="1">
        <f t="shared" si="3"/>
        <v>115.895011166</v>
      </c>
      <c r="E23" s="1">
        <f t="shared" si="4"/>
        <v>5.0662531140000002</v>
      </c>
      <c r="H23">
        <f t="shared" si="5"/>
        <v>2033</v>
      </c>
      <c r="I23" s="2">
        <f t="shared" si="6"/>
        <v>15.900904988427801</v>
      </c>
      <c r="J23" s="2">
        <f t="shared" si="7"/>
        <v>14.495935602234802</v>
      </c>
      <c r="K23" s="2">
        <f t="shared" si="8"/>
        <v>21.181297542261404</v>
      </c>
      <c r="L23" s="2">
        <f t="shared" si="9"/>
        <v>23.964730081342399</v>
      </c>
      <c r="M23" s="2">
        <f t="shared" si="10"/>
        <v>41.578137229613404</v>
      </c>
      <c r="N23" s="2">
        <f>INDEX('[1]EIA-derived'!$B$67:$AK$67, MATCH(H23, '[1]EIA-derived'!$B$61:$AK$61, 0)) * (1+'[1]EIA-derived'!$B$56)^(base_year-2013)</f>
        <v>3.2640554843749996</v>
      </c>
      <c r="O23" s="2">
        <f>INDEX('[1]EIA-derived'!$B$68:$AK$68, MATCH(H23, '[1]EIA-derived'!$B$61:$AK$61, 0)) * (1+'[1]EIA-derived'!$B$56)^(base_year-2013)</f>
        <v>13.999578124999999</v>
      </c>
    </row>
    <row r="24" spans="1:15">
      <c r="A24">
        <f>'physical hedge'!A24</f>
        <v>2034</v>
      </c>
      <c r="B24">
        <v>117.385498</v>
      </c>
      <c r="C24">
        <v>4.9553149999999997</v>
      </c>
      <c r="D24" s="1">
        <f t="shared" si="3"/>
        <v>119.49843696400001</v>
      </c>
      <c r="E24" s="1">
        <f t="shared" si="4"/>
        <v>5.0445106700000002</v>
      </c>
      <c r="H24">
        <f t="shared" si="5"/>
        <v>2034</v>
      </c>
      <c r="I24" s="2">
        <f t="shared" si="6"/>
        <v>16.381241647301202</v>
      </c>
      <c r="J24" s="2">
        <f t="shared" si="7"/>
        <v>14.462056525994001</v>
      </c>
      <c r="K24" s="2">
        <f t="shared" si="8"/>
        <v>21.840364120715602</v>
      </c>
      <c r="L24" s="2">
        <f t="shared" si="9"/>
        <v>24.636408650089599</v>
      </c>
      <c r="M24" s="2">
        <f t="shared" si="10"/>
        <v>42.136307885723603</v>
      </c>
      <c r="N24" s="2">
        <f>INDEX('[1]EIA-derived'!$B$67:$AK$67, MATCH(H24, '[1]EIA-derived'!$B$61:$AK$61, 0)) * (1+'[1]EIA-derived'!$B$56)^(base_year-2013)</f>
        <v>3.2855932968749992</v>
      </c>
      <c r="O24" s="2">
        <f>INDEX('[1]EIA-derived'!$B$68:$AK$68, MATCH(H24, '[1]EIA-derived'!$B$61:$AK$61, 0)) * (1+'[1]EIA-derived'!$B$56)^(base_year-2013)</f>
        <v>13.999578124999999</v>
      </c>
    </row>
    <row r="25" spans="1:15">
      <c r="A25">
        <f>'physical hedge'!A25</f>
        <v>2035</v>
      </c>
      <c r="B25">
        <v>119.642921</v>
      </c>
      <c r="C25">
        <v>4.9132600000000002</v>
      </c>
      <c r="D25" s="1">
        <f t="shared" si="3"/>
        <v>121.796493578</v>
      </c>
      <c r="E25" s="1">
        <f t="shared" si="4"/>
        <v>5.0016986800000005</v>
      </c>
      <c r="H25">
        <f t="shared" si="5"/>
        <v>2035</v>
      </c>
      <c r="I25" s="2">
        <f t="shared" si="6"/>
        <v>16.687572593947401</v>
      </c>
      <c r="J25" s="2">
        <f t="shared" si="7"/>
        <v>14.395346883176</v>
      </c>
      <c r="K25" s="2">
        <f t="shared" si="8"/>
        <v>22.260678675416202</v>
      </c>
      <c r="L25" s="2">
        <f t="shared" si="9"/>
        <v>25.064766402939199</v>
      </c>
      <c r="M25" s="2">
        <f t="shared" si="10"/>
        <v>42.492276855232205</v>
      </c>
      <c r="N25" s="2">
        <f>INDEX('[1]EIA-derived'!$B$67:$AK$67, MATCH(H25, '[1]EIA-derived'!$B$61:$AK$61, 0)) * (1+'[1]EIA-derived'!$B$56)^(base_year-2013)</f>
        <v>3.3179000156249994</v>
      </c>
      <c r="O25" s="2">
        <f>INDEX('[1]EIA-derived'!$B$68:$AK$68, MATCH(H25, '[1]EIA-derived'!$B$61:$AK$61, 0)) * (1+'[1]EIA-derived'!$B$56)^(base_year-2013)</f>
        <v>13.999578124999999</v>
      </c>
    </row>
    <row r="26" spans="1:15">
      <c r="A26">
        <f>'physical hedge'!A26</f>
        <v>2036</v>
      </c>
      <c r="B26">
        <v>123.288933</v>
      </c>
      <c r="C26">
        <v>4.8999199999999998</v>
      </c>
      <c r="D26" s="1">
        <f t="shared" si="3"/>
        <v>125.508133794</v>
      </c>
      <c r="E26" s="1">
        <f t="shared" si="4"/>
        <v>4.9881185600000002</v>
      </c>
      <c r="H26">
        <f t="shared" si="5"/>
        <v>2036</v>
      </c>
      <c r="I26" s="2">
        <f t="shared" si="6"/>
        <v>17.182334234740203</v>
      </c>
      <c r="J26" s="2">
        <f t="shared" si="7"/>
        <v>14.374186340192001</v>
      </c>
      <c r="K26" s="2">
        <f t="shared" si="8"/>
        <v>22.939537670922604</v>
      </c>
      <c r="L26" s="2">
        <f t="shared" si="9"/>
        <v>25.756616139201601</v>
      </c>
      <c r="M26" s="2">
        <f t="shared" si="10"/>
        <v>43.067209924690601</v>
      </c>
      <c r="N26" s="2">
        <f>INDEX('[1]EIA-derived'!$B$67:$AK$67, MATCH(H26, '[1]EIA-derived'!$B$61:$AK$61, 0)) * (1+'[1]EIA-derived'!$B$56)^(base_year-2013)</f>
        <v>3.3394378281249995</v>
      </c>
      <c r="O26" s="2">
        <f>INDEX('[1]EIA-derived'!$B$68:$AK$68, MATCH(H26, '[1]EIA-derived'!$B$61:$AK$61, 0)) * (1+'[1]EIA-derived'!$B$56)^(base_year-2013)</f>
        <v>13.999578124999999</v>
      </c>
    </row>
    <row r="27" spans="1:15">
      <c r="A27">
        <f>'physical hedge'!A27</f>
        <v>2037</v>
      </c>
      <c r="B27">
        <v>125.50882</v>
      </c>
      <c r="C27">
        <v>4.8357279999999996</v>
      </c>
      <c r="D27" s="1">
        <f t="shared" si="3"/>
        <v>127.76797876000001</v>
      </c>
      <c r="E27" s="1">
        <f t="shared" si="4"/>
        <v>4.9227711039999997</v>
      </c>
      <c r="H27">
        <f t="shared" si="5"/>
        <v>2037</v>
      </c>
      <c r="I27" s="2">
        <f t="shared" si="6"/>
        <v>17.483571568708001</v>
      </c>
      <c r="J27" s="2">
        <f t="shared" si="7"/>
        <v>14.2723619342528</v>
      </c>
      <c r="K27" s="2">
        <f t="shared" si="8"/>
        <v>23.352863315204004</v>
      </c>
      <c r="L27" s="2">
        <f t="shared" si="9"/>
        <v>26.177851240864001</v>
      </c>
      <c r="M27" s="2">
        <f t="shared" si="10"/>
        <v>43.417259909923999</v>
      </c>
      <c r="N27" s="2">
        <f>INDEX('[1]EIA-derived'!$B$67:$AK$67, MATCH(H27, '[1]EIA-derived'!$B$61:$AK$61, 0)) * (1+'[1]EIA-derived'!$B$56)^(base_year-2013)</f>
        <v>3.3717445468749996</v>
      </c>
      <c r="O27" s="2">
        <f>INDEX('[1]EIA-derived'!$B$68:$AK$68, MATCH(H27, '[1]EIA-derived'!$B$61:$AK$61, 0)) * (1+'[1]EIA-derived'!$B$56)^(base_year-2013)</f>
        <v>13.999578124999999</v>
      </c>
    </row>
    <row r="28" spans="1:15">
      <c r="A28">
        <f>'physical hedge'!A28</f>
        <v>2038</v>
      </c>
      <c r="B28">
        <v>129.20967099999999</v>
      </c>
      <c r="C28">
        <v>4.7767179999999998</v>
      </c>
      <c r="D28" s="1">
        <f t="shared" si="3"/>
        <v>131.53544507799998</v>
      </c>
      <c r="E28" s="1">
        <f t="shared" si="4"/>
        <v>4.862698924</v>
      </c>
      <c r="H28">
        <f t="shared" si="5"/>
        <v>2038</v>
      </c>
      <c r="I28" s="2">
        <f t="shared" si="6"/>
        <v>17.985774828897398</v>
      </c>
      <c r="J28" s="2">
        <f t="shared" si="7"/>
        <v>14.178757463376801</v>
      </c>
      <c r="K28" s="2">
        <f t="shared" si="8"/>
        <v>24.041932904766199</v>
      </c>
      <c r="L28" s="2">
        <f t="shared" si="9"/>
        <v>26.880106962539195</v>
      </c>
      <c r="M28" s="2">
        <f t="shared" si="10"/>
        <v>44.000840442582202</v>
      </c>
      <c r="N28" s="2">
        <f>INDEX('[1]EIA-derived'!$B$67:$AK$67, MATCH(H28, '[1]EIA-derived'!$B$61:$AK$61, 0)) * (1+'[1]EIA-derived'!$B$56)^(base_year-2013)</f>
        <v>3.3932823593749992</v>
      </c>
      <c r="O28" s="2">
        <f>INDEX('[1]EIA-derived'!$B$68:$AK$68, MATCH(H28, '[1]EIA-derived'!$B$61:$AK$61, 0)) * (1+'[1]EIA-derived'!$B$56)^(base_year-2013)</f>
        <v>13.999578124999999</v>
      </c>
    </row>
    <row r="29" spans="1:15">
      <c r="A29">
        <f>'physical hedge'!A29</f>
        <v>2039</v>
      </c>
      <c r="B29">
        <v>132.08140599999999</v>
      </c>
      <c r="C29">
        <v>4.8455139999999997</v>
      </c>
      <c r="D29" s="1">
        <f t="shared" si="3"/>
        <v>134.458871308</v>
      </c>
      <c r="E29" s="1">
        <f t="shared" si="4"/>
        <v>4.9327332519999993</v>
      </c>
      <c r="H29">
        <f t="shared" si="5"/>
        <v>2039</v>
      </c>
      <c r="I29" s="2">
        <f t="shared" si="6"/>
        <v>18.3754675453564</v>
      </c>
      <c r="J29" s="2">
        <f t="shared" si="7"/>
        <v>14.287884953266399</v>
      </c>
      <c r="K29" s="2">
        <f t="shared" si="8"/>
        <v>24.576627562233202</v>
      </c>
      <c r="L29" s="2">
        <f t="shared" si="9"/>
        <v>27.425033611811198</v>
      </c>
      <c r="M29" s="2">
        <f t="shared" si="10"/>
        <v>44.453679165609202</v>
      </c>
      <c r="N29" s="2">
        <f>INDEX('[1]EIA-derived'!$B$67:$AK$67, MATCH(H29, '[1]EIA-derived'!$B$61:$AK$61, 0)) * (1+'[1]EIA-derived'!$B$56)^(base_year-2013)</f>
        <v>3.4255890781249998</v>
      </c>
      <c r="O29" s="2">
        <f>INDEX('[1]EIA-derived'!$B$68:$AK$68, MATCH(H29, '[1]EIA-derived'!$B$61:$AK$61, 0)) * (1+'[1]EIA-derived'!$B$56)^(base_year-2013)</f>
        <v>13.999578124999999</v>
      </c>
    </row>
    <row r="30" spans="1:15">
      <c r="A30">
        <f>'physical hedge'!A30</f>
        <v>2040</v>
      </c>
      <c r="B30">
        <v>136.212479</v>
      </c>
      <c r="C30">
        <v>4.8556499999999998</v>
      </c>
      <c r="D30" s="1">
        <f t="shared" si="3"/>
        <v>138.66430362200001</v>
      </c>
      <c r="E30" s="1">
        <f t="shared" si="4"/>
        <v>4.9430516999999998</v>
      </c>
      <c r="H30">
        <f t="shared" si="5"/>
        <v>2040</v>
      </c>
      <c r="I30" s="2">
        <f t="shared" si="6"/>
        <v>18.936051672812603</v>
      </c>
      <c r="J30" s="2">
        <f t="shared" si="7"/>
        <v>14.30396315894</v>
      </c>
      <c r="K30" s="2">
        <f t="shared" si="8"/>
        <v>25.345801132463805</v>
      </c>
      <c r="L30" s="2">
        <f t="shared" si="9"/>
        <v>28.208926195140801</v>
      </c>
      <c r="M30" s="2">
        <f t="shared" si="10"/>
        <v>45.105100631047804</v>
      </c>
      <c r="N30" s="2">
        <f>INDEX('[1]EIA-derived'!$B$67:$AK$67, MATCH(H30, '[1]EIA-derived'!$B$61:$AK$61, 0)) * (1+'[1]EIA-derived'!$B$56)^(base_year-2013)</f>
        <v>3.4578957968749995</v>
      </c>
      <c r="O30" s="2">
        <f>INDEX('[1]EIA-derived'!$B$68:$AK$68, MATCH(H30, '[1]EIA-derived'!$B$61:$AK$61, 0)) * (1+'[1]EIA-derived'!$B$56)^(base_year-2013)</f>
        <v>13.999578124999999</v>
      </c>
    </row>
    <row r="31" spans="1:15">
      <c r="A31">
        <f>'physical hedge'!A31</f>
        <v>2041</v>
      </c>
      <c r="B31">
        <f>B30*B30/B29</f>
        <v>140.47275840874562</v>
      </c>
      <c r="C31">
        <f>C30*C30/C29</f>
        <v>4.8658072028065549</v>
      </c>
      <c r="D31" s="1">
        <f t="shared" si="3"/>
        <v>143.00126806010303</v>
      </c>
      <c r="E31" s="1">
        <f t="shared" si="4"/>
        <v>4.9533917324570726</v>
      </c>
      <c r="H31">
        <f t="shared" si="5"/>
        <v>2041</v>
      </c>
      <c r="I31" s="2">
        <f t="shared" si="6"/>
        <v>19.514169032411736</v>
      </c>
      <c r="J31" s="2">
        <f t="shared" si="7"/>
        <v>14.32007499751461</v>
      </c>
      <c r="K31" s="2">
        <f t="shared" si="8"/>
        <v>26.139031928192846</v>
      </c>
      <c r="L31" s="2">
        <f t="shared" si="9"/>
        <v>29.017336366403203</v>
      </c>
      <c r="M31" s="2">
        <f t="shared" si="10"/>
        <v>45.776896422509964</v>
      </c>
      <c r="N31" s="2">
        <f>INDEX('[1]EIA-derived'!$B$67:$AK$67, MATCH(H31, '[1]EIA-derived'!$B$61:$AK$61, 0)) * (1+'[1]EIA-derived'!$B$56)^(base_year-2013)</f>
        <v>3.4863257093749995</v>
      </c>
      <c r="O31" s="2">
        <f>INDEX('[1]EIA-derived'!$B$68:$AK$68, MATCH(H31, '[1]EIA-derived'!$B$61:$AK$61, 0)) * (1+'[1]EIA-derived'!$B$56)^(base_year-2013)</f>
        <v>13.999578124999999</v>
      </c>
    </row>
    <row r="32" spans="1:15">
      <c r="A32">
        <f>'physical hedge'!A32</f>
        <v>2042</v>
      </c>
      <c r="B32">
        <f t="shared" ref="B32:C35" si="11">B31*B31/B30</f>
        <v>144.86628537875603</v>
      </c>
      <c r="C32">
        <f t="shared" si="11"/>
        <v>4.8759856527723686</v>
      </c>
      <c r="D32" s="1">
        <f t="shared" si="3"/>
        <v>147.47387851557363</v>
      </c>
      <c r="E32" s="1">
        <f t="shared" si="4"/>
        <v>4.9637533945222714</v>
      </c>
      <c r="H32">
        <f t="shared" si="5"/>
        <v>2042</v>
      </c>
      <c r="I32" s="2">
        <f t="shared" si="6"/>
        <v>20.110368006125967</v>
      </c>
      <c r="J32" s="2">
        <f t="shared" si="7"/>
        <v>14.336220539344604</v>
      </c>
      <c r="K32" s="2">
        <f t="shared" si="8"/>
        <v>26.95707238049842</v>
      </c>
      <c r="L32" s="2">
        <f t="shared" si="9"/>
        <v>29.851030955302924</v>
      </c>
      <c r="M32" s="2">
        <f t="shared" si="10"/>
        <v>46.469703782062354</v>
      </c>
      <c r="N32" s="2">
        <f>INDEX('[1]EIA-derived'!$B$67:$AK$67, MATCH(H32, '[1]EIA-derived'!$B$61:$AK$61, 0)) * (1+'[1]EIA-derived'!$B$56)^(base_year-2013)</f>
        <v>3.514755621875</v>
      </c>
      <c r="O32" s="2">
        <f>INDEX('[1]EIA-derived'!$B$68:$AK$68, MATCH(H32, '[1]EIA-derived'!$B$61:$AK$61, 0)) * (1+'[1]EIA-derived'!$B$56)^(base_year-2013)</f>
        <v>13.999578124999999</v>
      </c>
    </row>
    <row r="33" spans="1:20">
      <c r="A33">
        <f>'physical hedge'!A33</f>
        <v>2043</v>
      </c>
      <c r="B33">
        <f t="shared" si="11"/>
        <v>149.39722745654157</v>
      </c>
      <c r="C33">
        <f t="shared" si="11"/>
        <v>4.886185394342923</v>
      </c>
      <c r="D33" s="1">
        <f t="shared" si="3"/>
        <v>152.08637755075932</v>
      </c>
      <c r="E33" s="1">
        <f t="shared" si="4"/>
        <v>4.9741367314410958</v>
      </c>
      <c r="H33">
        <f t="shared" si="5"/>
        <v>2043</v>
      </c>
      <c r="I33" s="2">
        <f t="shared" si="6"/>
        <v>20.725214127516221</v>
      </c>
      <c r="J33" s="2">
        <f t="shared" si="7"/>
        <v>14.352399854931516</v>
      </c>
      <c r="K33" s="2">
        <f t="shared" si="8"/>
        <v>27.800698454033881</v>
      </c>
      <c r="L33" s="2">
        <f t="shared" si="9"/>
        <v>30.710800775461539</v>
      </c>
      <c r="M33" s="2">
        <f t="shared" si="10"/>
        <v>47.184179882612625</v>
      </c>
      <c r="N33" s="2">
        <f>INDEX('[1]EIA-derived'!$B$67:$AK$67, MATCH(H33, '[1]EIA-derived'!$B$61:$AK$61, 0)) * (1+'[1]EIA-derived'!$B$56)^(base_year-2013)</f>
        <v>3.5431855343750001</v>
      </c>
      <c r="O33" s="2">
        <f>INDEX('[1]EIA-derived'!$B$68:$AK$68, MATCH(H33, '[1]EIA-derived'!$B$61:$AK$61, 0)) * (1+'[1]EIA-derived'!$B$56)^(base_year-2013)</f>
        <v>13.999578124999999</v>
      </c>
    </row>
    <row r="34" spans="1:20">
      <c r="A34">
        <f>'physical hedge'!A34</f>
        <v>2044</v>
      </c>
      <c r="B34">
        <f t="shared" si="11"/>
        <v>154.06988253579308</v>
      </c>
      <c r="C34">
        <f t="shared" si="11"/>
        <v>4.8964064720566727</v>
      </c>
      <c r="D34" s="1">
        <f t="shared" si="3"/>
        <v>156.84314042143737</v>
      </c>
      <c r="E34" s="1">
        <f t="shared" si="4"/>
        <v>4.9845417885536927</v>
      </c>
      <c r="H34">
        <f t="shared" si="5"/>
        <v>2044</v>
      </c>
      <c r="I34" s="2">
        <f t="shared" si="6"/>
        <v>21.359290618177603</v>
      </c>
      <c r="J34" s="2">
        <f t="shared" si="7"/>
        <v>14.368613014924364</v>
      </c>
      <c r="K34" s="2">
        <f t="shared" si="8"/>
        <v>28.670710383080898</v>
      </c>
      <c r="L34" s="2">
        <f t="shared" si="9"/>
        <v>31.597461374555927</v>
      </c>
      <c r="M34" s="2">
        <f t="shared" si="10"/>
        <v>47.92100245128065</v>
      </c>
      <c r="N34" s="2">
        <f>INDEX('[1]EIA-derived'!$B$67:$AK$67, MATCH(H34, '[1]EIA-derived'!$B$61:$AK$61, 0)) * (1+'[1]EIA-derived'!$B$56)^(base_year-2013)</f>
        <v>3.5716154468750001</v>
      </c>
      <c r="O34" s="2">
        <f>INDEX('[1]EIA-derived'!$B$68:$AK$68, MATCH(H34, '[1]EIA-derived'!$B$61:$AK$61, 0)) * (1+'[1]EIA-derived'!$B$56)^(base_year-2013)</f>
        <v>13.999578124999999</v>
      </c>
    </row>
    <row r="35" spans="1:20">
      <c r="A35">
        <f>'physical hedge'!A35</f>
        <v>2045</v>
      </c>
      <c r="B35">
        <f t="shared" si="11"/>
        <v>158.88868293421396</v>
      </c>
      <c r="C35">
        <f t="shared" si="11"/>
        <v>4.9066489305452397</v>
      </c>
      <c r="D35" s="1">
        <f t="shared" si="3"/>
        <v>161.74867922702981</v>
      </c>
      <c r="E35" s="1">
        <f t="shared" si="4"/>
        <v>4.9949686112950538</v>
      </c>
      <c r="H35">
        <f t="shared" si="5"/>
        <v>2045</v>
      </c>
      <c r="I35" s="2">
        <f t="shared" si="6"/>
        <v>22.013198940963076</v>
      </c>
      <c r="J35" s="2">
        <f t="shared" si="7"/>
        <v>14.384860090119954</v>
      </c>
      <c r="K35" s="2">
        <f t="shared" si="8"/>
        <v>29.567933430623754</v>
      </c>
      <c r="L35" s="2">
        <f t="shared" si="9"/>
        <v>32.511853807918357</v>
      </c>
      <c r="M35" s="2">
        <f t="shared" si="10"/>
        <v>48.68087041226692</v>
      </c>
      <c r="N35" s="2">
        <f>INDEX('[1]EIA-derived'!$B$67:$AK$67, MATCH(H35, '[1]EIA-derived'!$B$61:$AK$61, 0)) * (1+'[1]EIA-derived'!$B$56)^(base_year-2013)</f>
        <v>3.6000453593750006</v>
      </c>
      <c r="O35" s="2">
        <f>INDEX('[1]EIA-derived'!$B$68:$AK$68, MATCH(H35, '[1]EIA-derived'!$B$61:$AK$61, 0)) * (1+'[1]EIA-derived'!$B$56)^(base_year-2013)</f>
        <v>13.999578124999999</v>
      </c>
    </row>
    <row r="36" spans="1:20">
      <c r="B36" s="1"/>
      <c r="C36" s="1"/>
      <c r="D36" s="1"/>
      <c r="E36" s="1"/>
      <c r="F36" s="7"/>
      <c r="G36" s="9"/>
      <c r="H36" s="9"/>
      <c r="K36" s="10"/>
    </row>
    <row r="38" spans="1:20">
      <c r="K38" t="s">
        <v>8</v>
      </c>
    </row>
    <row r="39" spans="1:20">
      <c r="A39" t="s">
        <v>0</v>
      </c>
      <c r="F39" s="5"/>
      <c r="K39" t="s">
        <v>9</v>
      </c>
      <c r="L39" t="s">
        <v>7</v>
      </c>
    </row>
    <row r="40" spans="1:20">
      <c r="A40" t="s">
        <v>1</v>
      </c>
      <c r="B40" t="s">
        <v>2</v>
      </c>
      <c r="C40" t="s">
        <v>12</v>
      </c>
      <c r="D40" t="s">
        <v>3</v>
      </c>
      <c r="K40" t="s">
        <v>10</v>
      </c>
      <c r="L40" s="4">
        <v>1030000</v>
      </c>
      <c r="M40" s="4"/>
      <c r="N40" s="4"/>
      <c r="O40" s="4"/>
      <c r="P40" s="4"/>
      <c r="Q40" s="4"/>
      <c r="R40" s="4"/>
      <c r="S40" s="4"/>
      <c r="T40" s="4"/>
    </row>
    <row r="41" spans="1:20">
      <c r="A41">
        <v>20</v>
      </c>
      <c r="B41" s="2">
        <f>A41/5.8</f>
        <v>3.4482758620689657</v>
      </c>
      <c r="C41">
        <v>3.12</v>
      </c>
      <c r="D41" s="2">
        <f>0.1333*A41+0.4521</f>
        <v>3.1181000000000001</v>
      </c>
      <c r="K41" t="s">
        <v>11</v>
      </c>
      <c r="L41" s="11">
        <v>51113806</v>
      </c>
      <c r="M41" t="s">
        <v>23</v>
      </c>
      <c r="N41" s="11"/>
      <c r="O41" s="11"/>
      <c r="P41" s="11"/>
      <c r="Q41" s="11"/>
      <c r="R41" s="11"/>
      <c r="S41" s="11"/>
      <c r="T41" s="11"/>
    </row>
    <row r="42" spans="1:20">
      <c r="A42">
        <v>30</v>
      </c>
      <c r="B42" s="2">
        <f t="shared" ref="B42:B51" si="12">A42/5.8</f>
        <v>5.1724137931034484</v>
      </c>
      <c r="C42">
        <v>4.45</v>
      </c>
      <c r="D42" s="2">
        <f t="shared" ref="D42:D51" si="13">0.1333*A42+0.4521</f>
        <v>4.4511000000000003</v>
      </c>
      <c r="F42" t="s">
        <v>64</v>
      </c>
      <c r="G42" t="s">
        <v>65</v>
      </c>
      <c r="H42" t="s">
        <v>26</v>
      </c>
      <c r="I42" t="s">
        <v>40</v>
      </c>
      <c r="J42" t="s">
        <v>41</v>
      </c>
      <c r="M42" t="s">
        <v>24</v>
      </c>
    </row>
    <row r="43" spans="1:20">
      <c r="A43">
        <v>40</v>
      </c>
      <c r="B43" s="2">
        <f t="shared" si="12"/>
        <v>6.8965517241379315</v>
      </c>
      <c r="C43">
        <v>5.78</v>
      </c>
      <c r="D43" s="2">
        <f t="shared" si="13"/>
        <v>5.7840999999999996</v>
      </c>
      <c r="F43" s="14">
        <v>0.06</v>
      </c>
      <c r="G43" s="14">
        <f>(1+interest_rate)*(1+inflation_rate)-1</f>
        <v>7.9080000000000039E-2</v>
      </c>
      <c r="H43">
        <v>20</v>
      </c>
      <c r="I43">
        <v>2016</v>
      </c>
      <c r="J43" s="14">
        <v>1.7999999999999999E-2</v>
      </c>
    </row>
    <row r="44" spans="1:20">
      <c r="A44">
        <v>50</v>
      </c>
      <c r="B44" s="2">
        <f t="shared" si="12"/>
        <v>8.6206896551724146</v>
      </c>
      <c r="C44">
        <v>7.12</v>
      </c>
      <c r="D44" s="2">
        <f t="shared" si="13"/>
        <v>7.1170999999999998</v>
      </c>
    </row>
    <row r="45" spans="1:20">
      <c r="A45">
        <v>60</v>
      </c>
      <c r="B45" s="2">
        <f t="shared" si="12"/>
        <v>10.344827586206897</v>
      </c>
      <c r="C45">
        <v>8.4499999999999993</v>
      </c>
      <c r="D45" s="2">
        <f t="shared" si="13"/>
        <v>8.4501000000000008</v>
      </c>
    </row>
    <row r="46" spans="1:20">
      <c r="A46">
        <v>70</v>
      </c>
      <c r="B46" s="2">
        <f t="shared" si="12"/>
        <v>12.068965517241379</v>
      </c>
      <c r="C46">
        <v>9.7799999999999994</v>
      </c>
      <c r="D46" s="2">
        <f t="shared" si="13"/>
        <v>9.7830999999999992</v>
      </c>
      <c r="F46" t="s">
        <v>32</v>
      </c>
      <c r="G46" t="s">
        <v>27</v>
      </c>
      <c r="H46" t="s">
        <v>28</v>
      </c>
    </row>
    <row r="47" spans="1:20">
      <c r="A47">
        <v>80</v>
      </c>
      <c r="B47" s="2">
        <f t="shared" si="12"/>
        <v>13.793103448275863</v>
      </c>
      <c r="C47">
        <v>11.11</v>
      </c>
      <c r="D47" s="2">
        <f t="shared" si="13"/>
        <v>11.116099999999999</v>
      </c>
      <c r="F47" t="s">
        <v>29</v>
      </c>
      <c r="G47" s="6">
        <v>148152158</v>
      </c>
      <c r="H47">
        <f>280+383</f>
        <v>663</v>
      </c>
    </row>
    <row r="48" spans="1:20">
      <c r="A48">
        <v>90</v>
      </c>
      <c r="B48" s="2">
        <f t="shared" si="12"/>
        <v>15.517241379310345</v>
      </c>
      <c r="C48">
        <v>12.45</v>
      </c>
      <c r="D48" s="2">
        <f t="shared" si="13"/>
        <v>12.4491</v>
      </c>
      <c r="F48" t="s">
        <v>31</v>
      </c>
      <c r="G48" s="6">
        <f>G47*H48/H47</f>
        <v>46479108.392156862</v>
      </c>
      <c r="H48">
        <v>208</v>
      </c>
    </row>
    <row r="49" spans="1:13">
      <c r="A49">
        <v>100</v>
      </c>
      <c r="B49" s="2">
        <f t="shared" si="12"/>
        <v>17.241379310344829</v>
      </c>
      <c r="C49">
        <v>13.78</v>
      </c>
      <c r="D49" s="2">
        <f t="shared" si="13"/>
        <v>13.7821</v>
      </c>
      <c r="F49" t="s">
        <v>30</v>
      </c>
      <c r="G49" s="6">
        <f>8958092+8958261</f>
        <v>17916353</v>
      </c>
    </row>
    <row r="50" spans="1:13">
      <c r="A50">
        <v>110</v>
      </c>
      <c r="B50" s="2">
        <f t="shared" si="12"/>
        <v>18.96551724137931</v>
      </c>
      <c r="C50">
        <v>15.11</v>
      </c>
      <c r="D50" s="2">
        <f t="shared" si="13"/>
        <v>15.1151</v>
      </c>
      <c r="F50" t="s">
        <v>33</v>
      </c>
      <c r="G50" s="6">
        <v>51600000</v>
      </c>
    </row>
    <row r="51" spans="1:13">
      <c r="A51">
        <v>120</v>
      </c>
      <c r="B51" s="2">
        <f t="shared" si="12"/>
        <v>20.689655172413794</v>
      </c>
      <c r="C51">
        <v>16.45</v>
      </c>
      <c r="D51" s="2">
        <f t="shared" si="13"/>
        <v>16.4481</v>
      </c>
      <c r="F51" t="s">
        <v>37</v>
      </c>
      <c r="G51" s="6">
        <f>SUM(G47:G50)</f>
        <v>264147619.39215687</v>
      </c>
    </row>
    <row r="53" spans="1:13">
      <c r="C53" t="s">
        <v>4</v>
      </c>
      <c r="D53" t="s">
        <v>5</v>
      </c>
      <c r="F53" t="s">
        <v>34</v>
      </c>
      <c r="G53" s="12">
        <f>PMT(interest_rate_real, H43, -G51)</f>
        <v>23029593.173195172</v>
      </c>
    </row>
    <row r="54" spans="1:13">
      <c r="A54" t="s">
        <v>39</v>
      </c>
      <c r="B54" s="6">
        <f>PMT(interest_rate_real, $H$43, -200000000)</f>
        <v>17436911.39537029</v>
      </c>
      <c r="C54" s="11">
        <f>$L$41</f>
        <v>51113806</v>
      </c>
      <c r="D54" s="3">
        <f>B54/C54</f>
        <v>0.3411389751600632</v>
      </c>
      <c r="E54" s="3"/>
      <c r="F54" t="s">
        <v>36</v>
      </c>
      <c r="G54">
        <f>0.68*L41</f>
        <v>34757388.080000006</v>
      </c>
    </row>
    <row r="55" spans="1:13">
      <c r="A55" t="s">
        <v>30</v>
      </c>
      <c r="B55" s="6">
        <f>PMT(interest_rate_real, $H$43, -$G$49)</f>
        <v>1562029.2989458833</v>
      </c>
      <c r="C55" s="11">
        <f>$L$41</f>
        <v>51113806</v>
      </c>
      <c r="D55" s="3">
        <f>B55/C55</f>
        <v>3.0559831505129618E-2</v>
      </c>
      <c r="E55" s="3"/>
    </row>
    <row r="56" spans="1:13">
      <c r="A56" t="s">
        <v>6</v>
      </c>
      <c r="B56" s="6">
        <f>98000*365</f>
        <v>35770000</v>
      </c>
      <c r="C56" s="11">
        <f>$L$41</f>
        <v>51113806</v>
      </c>
      <c r="D56" s="3">
        <f>B56/C56</f>
        <v>0.69981092779512444</v>
      </c>
      <c r="F56" s="8" t="s">
        <v>57</v>
      </c>
    </row>
    <row r="57" spans="1:13">
      <c r="A57" t="s">
        <v>35</v>
      </c>
      <c r="B57" s="13">
        <f>SUM(B54:B56)</f>
        <v>54768940.694316171</v>
      </c>
      <c r="F57" t="s">
        <v>38</v>
      </c>
      <c r="G57" t="str">
        <f t="shared" ref="G57:M57" si="14">R3</f>
        <v>LNG</v>
      </c>
      <c r="H57" t="str">
        <f t="shared" si="14"/>
        <v>LNG</v>
      </c>
      <c r="I57" t="str">
        <f t="shared" si="14"/>
        <v>LSFO</v>
      </c>
      <c r="J57" t="str">
        <f t="shared" si="14"/>
        <v>Diesel</v>
      </c>
      <c r="K57" t="str">
        <f t="shared" si="14"/>
        <v>Biodiesel</v>
      </c>
      <c r="L57" t="str">
        <f t="shared" si="14"/>
        <v>Coal</v>
      </c>
      <c r="M57" t="str">
        <f t="shared" si="14"/>
        <v>Pellet-Biomass</v>
      </c>
    </row>
    <row r="58" spans="1:13">
      <c r="F58" t="s">
        <v>19</v>
      </c>
      <c r="G58" t="str">
        <f>R4</f>
        <v>bulk</v>
      </c>
      <c r="H58" t="str">
        <f>S4</f>
        <v>container</v>
      </c>
      <c r="I58" t="str">
        <f t="shared" ref="I58:M58" si="15">T4</f>
        <v>base</v>
      </c>
      <c r="J58" t="str">
        <f t="shared" si="15"/>
        <v>base</v>
      </c>
      <c r="K58" t="str">
        <f t="shared" si="15"/>
        <v>base</v>
      </c>
      <c r="L58" t="str">
        <f t="shared" si="15"/>
        <v>base</v>
      </c>
      <c r="M58" t="str">
        <f t="shared" si="15"/>
        <v>base</v>
      </c>
    </row>
    <row r="59" spans="1:13">
      <c r="F59" t="s">
        <v>56</v>
      </c>
      <c r="G59" s="3">
        <f>B57/R5</f>
        <v>1.0715097344603173</v>
      </c>
      <c r="H59" s="3">
        <f>G53/S5</f>
        <v>0.66258123654713841</v>
      </c>
      <c r="I59">
        <v>0</v>
      </c>
      <c r="J59">
        <v>0</v>
      </c>
      <c r="K59">
        <v>0</v>
      </c>
      <c r="L59">
        <v>0</v>
      </c>
      <c r="M59">
        <v>0</v>
      </c>
    </row>
    <row r="60" spans="1:13">
      <c r="F60">
        <v>10</v>
      </c>
      <c r="G60" s="3">
        <f t="dataTable" ref="G60:M64" dt2D="0" dtr="0" r1="H43"/>
        <v>1.2790644066877432</v>
      </c>
      <c r="H60" s="3">
        <v>1.0325631383170208</v>
      </c>
      <c r="I60">
        <v>0</v>
      </c>
      <c r="J60">
        <v>0</v>
      </c>
      <c r="K60">
        <v>0</v>
      </c>
      <c r="L60">
        <v>0</v>
      </c>
      <c r="M60">
        <v>0</v>
      </c>
    </row>
    <row r="61" spans="1:13">
      <c r="F61">
        <v>15</v>
      </c>
      <c r="G61" s="3">
        <v>1.1387778483163944</v>
      </c>
      <c r="H61" s="3">
        <v>0.78249173736050259</v>
      </c>
      <c r="I61">
        <v>0</v>
      </c>
      <c r="J61">
        <v>0</v>
      </c>
      <c r="K61">
        <v>0</v>
      </c>
      <c r="L61">
        <v>0</v>
      </c>
      <c r="M61">
        <v>0</v>
      </c>
    </row>
    <row r="62" spans="1:13">
      <c r="F62">
        <v>20</v>
      </c>
      <c r="G62" s="3">
        <v>1.0715097344603173</v>
      </c>
      <c r="H62" s="3">
        <v>0.66258123654713841</v>
      </c>
      <c r="I62">
        <v>0</v>
      </c>
      <c r="J62">
        <v>0</v>
      </c>
      <c r="K62">
        <v>0</v>
      </c>
      <c r="L62">
        <v>0</v>
      </c>
      <c r="M62">
        <v>0</v>
      </c>
    </row>
    <row r="63" spans="1:13">
      <c r="F63">
        <v>25</v>
      </c>
      <c r="G63" s="3">
        <v>1.0333192785522061</v>
      </c>
      <c r="H63" s="3">
        <v>0.59450386033245484</v>
      </c>
      <c r="I63">
        <v>0</v>
      </c>
      <c r="J63">
        <v>0</v>
      </c>
      <c r="K63">
        <v>0</v>
      </c>
      <c r="L63">
        <v>0</v>
      </c>
      <c r="M63">
        <v>0</v>
      </c>
    </row>
    <row r="64" spans="1:13">
      <c r="F64">
        <v>30</v>
      </c>
      <c r="G64" s="3">
        <v>1.0095391026317015</v>
      </c>
      <c r="H64" s="3">
        <v>0.55211389812601475</v>
      </c>
      <c r="I64">
        <v>0</v>
      </c>
      <c r="J64">
        <v>0</v>
      </c>
      <c r="K64">
        <v>0</v>
      </c>
      <c r="L64">
        <v>0</v>
      </c>
      <c r="M64">
        <v>0</v>
      </c>
    </row>
  </sheetData>
  <pageMargins left="0.75" right="0.75" top="1" bottom="1" header="0.5" footer="0.5"/>
  <pageSetup orientation="portrait" horizontalDpi="4294967292" verticalDpi="4294967292"/>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37"/>
  <sheetViews>
    <sheetView workbookViewId="0">
      <selection activeCell="D2" sqref="D2"/>
    </sheetView>
  </sheetViews>
  <sheetFormatPr baseColWidth="10" defaultRowHeight="15" x14ac:dyDescent="0"/>
  <cols>
    <col min="7" max="7" width="3.6640625" customWidth="1"/>
    <col min="10" max="10" width="12.1640625" bestFit="1" customWidth="1"/>
    <col min="14" max="14" width="6.33203125" customWidth="1"/>
    <col min="16" max="16" width="13.6640625" bestFit="1" customWidth="1"/>
  </cols>
  <sheetData>
    <row r="1" spans="1:19">
      <c r="A1" t="s">
        <v>59</v>
      </c>
      <c r="B1" t="s">
        <v>44</v>
      </c>
      <c r="C1" t="s">
        <v>45</v>
      </c>
      <c r="D1" t="s">
        <v>58</v>
      </c>
      <c r="E1" t="s">
        <v>53</v>
      </c>
      <c r="R1" t="s">
        <v>53</v>
      </c>
    </row>
    <row r="2" spans="1:19">
      <c r="A2">
        <v>2016</v>
      </c>
      <c r="B2" s="15">
        <f>inflation_rate</f>
        <v>1.7999999999999999E-2</v>
      </c>
      <c r="C2" s="15">
        <f>interest_rate_nominal</f>
        <v>7.9080000000000039E-2</v>
      </c>
      <c r="D2" s="8">
        <f>0.2*12</f>
        <v>2.4000000000000004</v>
      </c>
      <c r="E2">
        <f>AVERAGE(E19:E35)/$B$6</f>
        <v>8.3773496981989233</v>
      </c>
      <c r="F2">
        <f>AVERAGE(F19:F35)/$B$6</f>
        <v>5.5805611023458574</v>
      </c>
      <c r="R2">
        <f>AVERAGE(R19:R35)/$B$6</f>
        <v>4.5249753806557225</v>
      </c>
    </row>
    <row r="3" spans="1:19">
      <c r="C3" s="15"/>
      <c r="D3" s="15"/>
    </row>
    <row r="4" spans="1:19">
      <c r="A4" s="8" t="s">
        <v>60</v>
      </c>
      <c r="C4" s="15"/>
      <c r="D4" s="15"/>
      <c r="H4" s="8" t="s">
        <v>61</v>
      </c>
      <c r="J4" s="8"/>
      <c r="P4" s="8" t="s">
        <v>52</v>
      </c>
    </row>
    <row r="5" spans="1:19">
      <c r="B5" t="s">
        <v>46</v>
      </c>
      <c r="C5" t="s">
        <v>47</v>
      </c>
      <c r="D5" t="s">
        <v>45</v>
      </c>
      <c r="E5" t="s">
        <v>48</v>
      </c>
      <c r="F5" t="s">
        <v>49</v>
      </c>
      <c r="I5" t="s">
        <v>46</v>
      </c>
      <c r="J5" t="s">
        <v>47</v>
      </c>
      <c r="K5" t="s">
        <v>45</v>
      </c>
      <c r="L5" t="s">
        <v>48</v>
      </c>
      <c r="M5" t="s">
        <v>49</v>
      </c>
      <c r="P5" t="s">
        <v>54</v>
      </c>
      <c r="Q5" t="s">
        <v>50</v>
      </c>
      <c r="R5" t="s">
        <v>51</v>
      </c>
      <c r="S5" t="s">
        <v>49</v>
      </c>
    </row>
    <row r="6" spans="1:19">
      <c r="A6">
        <v>2016</v>
      </c>
      <c r="B6" s="8">
        <v>49.78</v>
      </c>
      <c r="E6">
        <f>SUM(B6:D6)</f>
        <v>49.78</v>
      </c>
      <c r="F6">
        <f t="shared" ref="F6:F35" si="0">E6*(1+$B$2)^(A$6-A6)</f>
        <v>49.78</v>
      </c>
      <c r="H6">
        <v>2016</v>
      </c>
      <c r="I6" s="8"/>
      <c r="L6">
        <f>SUM(I6:K6)</f>
        <v>0</v>
      </c>
      <c r="M6">
        <f t="shared" ref="M6:M35" si="1">L6*(1+$B$2)^(H$6-H6)</f>
        <v>0</v>
      </c>
      <c r="O6">
        <v>2016</v>
      </c>
      <c r="P6" s="8">
        <v>10</v>
      </c>
      <c r="Q6">
        <f t="shared" ref="Q6:Q35" si="2">($B$6-$P$6)*(1+$C$2)^(A6-A$6)</f>
        <v>39.78</v>
      </c>
      <c r="R6">
        <f>SUM(P6:Q6)</f>
        <v>49.78</v>
      </c>
      <c r="S6">
        <f>R6*(1+$B$2)^(O$6-O6)</f>
        <v>49.78</v>
      </c>
    </row>
    <row r="7" spans="1:19">
      <c r="A7">
        <v>2017</v>
      </c>
      <c r="C7">
        <f t="shared" ref="C7:C17" si="3">$D$2*(1+$B$2)^(A7-A$2)</f>
        <v>2.4432000000000005</v>
      </c>
      <c r="D7">
        <f t="shared" ref="D7:D35" si="4">C$2*E6</f>
        <v>3.9366024000000022</v>
      </c>
      <c r="E7">
        <f>E6+SUM(B7:D7)</f>
        <v>56.159802400000004</v>
      </c>
      <c r="F7">
        <f t="shared" si="0"/>
        <v>55.166800000000002</v>
      </c>
      <c r="H7">
        <v>2017</v>
      </c>
      <c r="K7">
        <f>$C$2*L6</f>
        <v>0</v>
      </c>
      <c r="L7">
        <f>L6+SUM(I7:K7)</f>
        <v>0</v>
      </c>
      <c r="M7">
        <f t="shared" si="1"/>
        <v>0</v>
      </c>
      <c r="O7">
        <v>2017</v>
      </c>
      <c r="P7">
        <f t="shared" ref="P7:P35" si="5">(1+$B$2)*P6</f>
        <v>10.18</v>
      </c>
      <c r="Q7">
        <f t="shared" si="2"/>
        <v>42.925802400000002</v>
      </c>
      <c r="R7">
        <f t="shared" ref="R7:R35" si="6">SUM(P7:Q7)</f>
        <v>53.105802400000002</v>
      </c>
      <c r="S7">
        <f t="shared" ref="S7:S35" si="7">R7*(1+$B$2)^(O$6-O7)</f>
        <v>52.166800000000002</v>
      </c>
    </row>
    <row r="8" spans="1:19">
      <c r="A8">
        <v>2018</v>
      </c>
      <c r="C8">
        <f t="shared" si="3"/>
        <v>2.4871776000000003</v>
      </c>
      <c r="D8">
        <f t="shared" si="4"/>
        <v>4.4411171737920023</v>
      </c>
      <c r="E8">
        <f t="shared" ref="E8:E33" si="8">E7+SUM(B8:D8)</f>
        <v>63.088097173792008</v>
      </c>
      <c r="F8">
        <f t="shared" si="0"/>
        <v>60.876808000000011</v>
      </c>
      <c r="H8">
        <v>2018</v>
      </c>
      <c r="K8">
        <f t="shared" ref="K8:K35" si="9">$C$2*L7</f>
        <v>0</v>
      </c>
      <c r="L8">
        <f t="shared" ref="L8:L33" si="10">L7+SUM(I8:K8)</f>
        <v>0</v>
      </c>
      <c r="M8">
        <f t="shared" si="1"/>
        <v>0</v>
      </c>
      <c r="O8">
        <v>2018</v>
      </c>
      <c r="P8">
        <f t="shared" si="5"/>
        <v>10.363239999999999</v>
      </c>
      <c r="Q8">
        <f t="shared" si="2"/>
        <v>46.320374853792003</v>
      </c>
      <c r="R8">
        <f t="shared" si="6"/>
        <v>56.683614853792001</v>
      </c>
      <c r="S8">
        <f t="shared" si="7"/>
        <v>54.696808000000004</v>
      </c>
    </row>
    <row r="9" spans="1:19">
      <c r="A9">
        <v>2019</v>
      </c>
      <c r="C9">
        <f t="shared" si="3"/>
        <v>2.5319467968000007</v>
      </c>
      <c r="D9">
        <f t="shared" si="4"/>
        <v>4.9890067245034748</v>
      </c>
      <c r="E9">
        <f t="shared" si="8"/>
        <v>70.609050695095476</v>
      </c>
      <c r="F9">
        <f t="shared" si="0"/>
        <v>66.92941648</v>
      </c>
      <c r="H9">
        <v>2019</v>
      </c>
      <c r="K9">
        <f t="shared" si="9"/>
        <v>0</v>
      </c>
      <c r="L9">
        <f t="shared" si="10"/>
        <v>0</v>
      </c>
      <c r="M9">
        <f t="shared" si="1"/>
        <v>0</v>
      </c>
      <c r="O9">
        <v>2019</v>
      </c>
      <c r="P9">
        <f t="shared" si="5"/>
        <v>10.54977832</v>
      </c>
      <c r="Q9">
        <f t="shared" si="2"/>
        <v>49.983390097229872</v>
      </c>
      <c r="R9">
        <f t="shared" si="6"/>
        <v>60.533168417229874</v>
      </c>
      <c r="S9">
        <f t="shared" si="7"/>
        <v>57.378616479999998</v>
      </c>
    </row>
    <row r="10" spans="1:19">
      <c r="A10">
        <v>2020</v>
      </c>
      <c r="C10">
        <f t="shared" si="3"/>
        <v>2.5775218391424004</v>
      </c>
      <c r="D10">
        <f t="shared" si="4"/>
        <v>5.5837637289681528</v>
      </c>
      <c r="E10">
        <f t="shared" si="8"/>
        <v>78.770336263206033</v>
      </c>
      <c r="F10">
        <f t="shared" si="0"/>
        <v>73.345181468800007</v>
      </c>
      <c r="H10">
        <v>2020</v>
      </c>
      <c r="K10">
        <f t="shared" si="9"/>
        <v>0</v>
      </c>
      <c r="L10">
        <f t="shared" si="10"/>
        <v>0</v>
      </c>
      <c r="M10">
        <f t="shared" si="1"/>
        <v>0</v>
      </c>
      <c r="O10">
        <v>2020</v>
      </c>
      <c r="P10">
        <f t="shared" si="5"/>
        <v>10.73967432976</v>
      </c>
      <c r="Q10">
        <f t="shared" si="2"/>
        <v>53.936076586118823</v>
      </c>
      <c r="R10">
        <f t="shared" si="6"/>
        <v>64.675750915878822</v>
      </c>
      <c r="S10">
        <f t="shared" si="7"/>
        <v>60.221333468800012</v>
      </c>
    </row>
    <row r="11" spans="1:19">
      <c r="A11">
        <v>2021</v>
      </c>
      <c r="C11">
        <f t="shared" si="3"/>
        <v>2.6239172322469639</v>
      </c>
      <c r="D11">
        <f t="shared" si="4"/>
        <v>6.2291581916943359</v>
      </c>
      <c r="E11">
        <f t="shared" si="8"/>
        <v>87.623411687147339</v>
      </c>
      <c r="F11">
        <f t="shared" si="0"/>
        <v>80.145892356928016</v>
      </c>
      <c r="H11">
        <v>2021</v>
      </c>
      <c r="K11">
        <f t="shared" si="9"/>
        <v>0</v>
      </c>
      <c r="L11">
        <f t="shared" si="10"/>
        <v>0</v>
      </c>
      <c r="M11">
        <f t="shared" si="1"/>
        <v>0</v>
      </c>
      <c r="O11">
        <v>2021</v>
      </c>
      <c r="P11">
        <f t="shared" si="5"/>
        <v>10.932988467695679</v>
      </c>
      <c r="Q11">
        <f t="shared" si="2"/>
        <v>58.2013415225491</v>
      </c>
      <c r="R11">
        <f t="shared" si="6"/>
        <v>69.13432999024478</v>
      </c>
      <c r="S11">
        <f t="shared" si="7"/>
        <v>63.234613476928004</v>
      </c>
    </row>
    <row r="12" spans="1:19">
      <c r="A12">
        <v>2022</v>
      </c>
      <c r="C12">
        <f t="shared" si="3"/>
        <v>2.6711477424274088</v>
      </c>
      <c r="D12">
        <f t="shared" si="4"/>
        <v>6.9292593962196154</v>
      </c>
      <c r="E12">
        <f t="shared" si="8"/>
        <v>97.223818825794368</v>
      </c>
      <c r="F12">
        <f t="shared" si="0"/>
        <v>87.354645898343705</v>
      </c>
      <c r="H12">
        <v>2022</v>
      </c>
      <c r="K12">
        <f t="shared" si="9"/>
        <v>0</v>
      </c>
      <c r="L12">
        <f t="shared" si="10"/>
        <v>0</v>
      </c>
      <c r="M12">
        <f t="shared" si="1"/>
        <v>0</v>
      </c>
      <c r="O12">
        <v>2022</v>
      </c>
      <c r="P12">
        <f t="shared" si="5"/>
        <v>11.129782260114203</v>
      </c>
      <c r="Q12">
        <f t="shared" si="2"/>
        <v>62.80390361015229</v>
      </c>
      <c r="R12">
        <f t="shared" si="6"/>
        <v>73.933685870266487</v>
      </c>
      <c r="S12">
        <f t="shared" si="7"/>
        <v>66.428690285543695</v>
      </c>
    </row>
    <row r="13" spans="1:19">
      <c r="A13">
        <v>2023</v>
      </c>
      <c r="C13">
        <f t="shared" si="3"/>
        <v>2.7192284017911028</v>
      </c>
      <c r="D13">
        <f t="shared" si="4"/>
        <v>7.688459592743822</v>
      </c>
      <c r="E13">
        <f t="shared" si="8"/>
        <v>107.63150682032929</v>
      </c>
      <c r="F13">
        <f t="shared" si="0"/>
        <v>94.995924652244312</v>
      </c>
      <c r="H13">
        <v>2023</v>
      </c>
      <c r="K13">
        <f t="shared" si="9"/>
        <v>0</v>
      </c>
      <c r="L13">
        <f t="shared" si="10"/>
        <v>0</v>
      </c>
      <c r="M13">
        <f t="shared" si="1"/>
        <v>0</v>
      </c>
      <c r="O13">
        <v>2023</v>
      </c>
      <c r="P13">
        <f t="shared" si="5"/>
        <v>11.330118340796259</v>
      </c>
      <c r="Q13">
        <f t="shared" si="2"/>
        <v>67.770436307643124</v>
      </c>
      <c r="R13">
        <f t="shared" si="6"/>
        <v>79.100554648439385</v>
      </c>
      <c r="S13">
        <f t="shared" si="7"/>
        <v>69.81441170267631</v>
      </c>
    </row>
    <row r="14" spans="1:19">
      <c r="A14">
        <v>2024</v>
      </c>
      <c r="C14">
        <f t="shared" si="3"/>
        <v>2.7681745130233426</v>
      </c>
      <c r="D14">
        <f t="shared" si="4"/>
        <v>8.5114995593516447</v>
      </c>
      <c r="E14">
        <f t="shared" si="8"/>
        <v>118.91118089270428</v>
      </c>
      <c r="F14">
        <f t="shared" si="0"/>
        <v>103.09568013137898</v>
      </c>
      <c r="H14">
        <v>2024</v>
      </c>
      <c r="I14">
        <f>'hedged hubs'!B14</f>
        <v>89.147537</v>
      </c>
      <c r="K14">
        <f t="shared" si="9"/>
        <v>0</v>
      </c>
      <c r="L14">
        <f t="shared" si="10"/>
        <v>89.147537</v>
      </c>
      <c r="M14">
        <f t="shared" si="1"/>
        <v>77.290679396626558</v>
      </c>
      <c r="O14">
        <v>2024</v>
      </c>
      <c r="P14">
        <f t="shared" si="5"/>
        <v>11.534060470930593</v>
      </c>
      <c r="Q14">
        <f t="shared" si="2"/>
        <v>73.129722410851571</v>
      </c>
      <c r="R14">
        <f t="shared" si="6"/>
        <v>84.663782881782168</v>
      </c>
      <c r="S14">
        <f t="shared" si="7"/>
        <v>73.403276404836916</v>
      </c>
    </row>
    <row r="15" spans="1:19">
      <c r="A15">
        <v>2025</v>
      </c>
      <c r="C15">
        <f t="shared" si="3"/>
        <v>2.8180016542577624</v>
      </c>
      <c r="D15">
        <f t="shared" si="4"/>
        <v>9.4034961849950598</v>
      </c>
      <c r="E15">
        <f t="shared" si="8"/>
        <v>131.1326787319571</v>
      </c>
      <c r="F15">
        <f t="shared" si="0"/>
        <v>111.68142093926174</v>
      </c>
      <c r="H15">
        <v>2025</v>
      </c>
      <c r="J15">
        <f t="shared" ref="J15:J35" si="11">$D$2*(1+$B$2)^(H15-$A$2)</f>
        <v>2.8180016542577624</v>
      </c>
      <c r="K15">
        <f t="shared" si="9"/>
        <v>7.0497872259600038</v>
      </c>
      <c r="L15">
        <f t="shared" si="10"/>
        <v>99.015325880217773</v>
      </c>
      <c r="M15">
        <f t="shared" si="1"/>
        <v>84.328120160424177</v>
      </c>
      <c r="O15">
        <v>2025</v>
      </c>
      <c r="P15">
        <f t="shared" si="5"/>
        <v>11.741673559407344</v>
      </c>
      <c r="Q15">
        <f t="shared" si="2"/>
        <v>78.912820859101714</v>
      </c>
      <c r="R15">
        <f t="shared" si="6"/>
        <v>90.65449441850906</v>
      </c>
      <c r="S15">
        <f t="shared" si="7"/>
        <v>77.20747298912714</v>
      </c>
    </row>
    <row r="16" spans="1:19">
      <c r="A16">
        <v>2026</v>
      </c>
      <c r="C16">
        <f t="shared" si="3"/>
        <v>2.8687256840344024</v>
      </c>
      <c r="D16">
        <f t="shared" si="4"/>
        <v>10.369972234123173</v>
      </c>
      <c r="E16">
        <f t="shared" si="8"/>
        <v>144.37137665011468</v>
      </c>
      <c r="F16">
        <f t="shared" si="0"/>
        <v>120.78230619561744</v>
      </c>
      <c r="H16">
        <v>2026</v>
      </c>
      <c r="J16">
        <f t="shared" si="11"/>
        <v>2.8687256840344024</v>
      </c>
      <c r="K16">
        <f t="shared" si="9"/>
        <v>7.8301319706076251</v>
      </c>
      <c r="L16">
        <f t="shared" si="10"/>
        <v>109.7141835348598</v>
      </c>
      <c r="M16">
        <f t="shared" si="1"/>
        <v>91.787807370049606</v>
      </c>
      <c r="O16">
        <v>2026</v>
      </c>
      <c r="P16">
        <f t="shared" si="5"/>
        <v>11.953023683476676</v>
      </c>
      <c r="Q16">
        <f t="shared" si="2"/>
        <v>85.153246732639474</v>
      </c>
      <c r="R16">
        <f t="shared" si="6"/>
        <v>97.106270416116146</v>
      </c>
      <c r="S16">
        <f t="shared" si="7"/>
        <v>81.239921368474739</v>
      </c>
    </row>
    <row r="17" spans="1:19">
      <c r="A17">
        <v>2027</v>
      </c>
      <c r="C17">
        <f t="shared" si="3"/>
        <v>2.9203627463470219</v>
      </c>
      <c r="D17">
        <f t="shared" si="4"/>
        <v>11.416888465491075</v>
      </c>
      <c r="E17">
        <f t="shared" si="8"/>
        <v>158.70862786195278</v>
      </c>
      <c r="F17">
        <f t="shared" si="0"/>
        <v>130.42924456735449</v>
      </c>
      <c r="H17">
        <v>2027</v>
      </c>
      <c r="J17">
        <f t="shared" si="11"/>
        <v>2.9203627463470219</v>
      </c>
      <c r="K17">
        <f t="shared" si="9"/>
        <v>8.6761976339367166</v>
      </c>
      <c r="L17">
        <f t="shared" si="10"/>
        <v>121.31074391514353</v>
      </c>
      <c r="M17">
        <f t="shared" si="1"/>
        <v>99.695075812252597</v>
      </c>
      <c r="O17">
        <v>2027</v>
      </c>
      <c r="P17">
        <f t="shared" si="5"/>
        <v>12.168178109779257</v>
      </c>
      <c r="Q17">
        <f t="shared" si="2"/>
        <v>91.887165484256613</v>
      </c>
      <c r="R17">
        <f t="shared" si="6"/>
        <v>104.05534359403588</v>
      </c>
      <c r="S17">
        <f t="shared" si="7"/>
        <v>85.514316650583254</v>
      </c>
    </row>
    <row r="18" spans="1:19">
      <c r="A18">
        <v>2028</v>
      </c>
      <c r="C18">
        <f>$D$2*(1+$B$2)^(A18-A$2)</f>
        <v>2.9729292757812678</v>
      </c>
      <c r="D18">
        <f t="shared" si="4"/>
        <v>12.550678291323232</v>
      </c>
      <c r="E18">
        <f t="shared" si="8"/>
        <v>174.23223542905728</v>
      </c>
      <c r="F18">
        <f t="shared" si="0"/>
        <v>140.65499924139579</v>
      </c>
      <c r="H18">
        <v>2028</v>
      </c>
      <c r="J18">
        <f t="shared" si="11"/>
        <v>2.9729292757812678</v>
      </c>
      <c r="K18">
        <f t="shared" si="9"/>
        <v>9.5932536288095545</v>
      </c>
      <c r="L18">
        <f t="shared" si="10"/>
        <v>133.87692681973436</v>
      </c>
      <c r="M18">
        <f t="shared" si="1"/>
        <v>108.07678036098777</v>
      </c>
      <c r="O18">
        <v>2028</v>
      </c>
      <c r="P18">
        <f t="shared" si="5"/>
        <v>12.387205315755283</v>
      </c>
      <c r="Q18">
        <f t="shared" si="2"/>
        <v>99.153602530751627</v>
      </c>
      <c r="R18">
        <f t="shared" si="6"/>
        <v>111.54080784650691</v>
      </c>
      <c r="S18">
        <f t="shared" si="7"/>
        <v>90.045175649618244</v>
      </c>
    </row>
    <row r="19" spans="1:19">
      <c r="A19">
        <v>2029</v>
      </c>
      <c r="C19">
        <f t="shared" ref="C19:C35" si="12">$D$2*(1+$B$2)^(A19-A$2)</f>
        <v>3.0264420027453309</v>
      </c>
      <c r="D19">
        <f t="shared" si="4"/>
        <v>13.778285177729856</v>
      </c>
      <c r="E19">
        <f t="shared" si="8"/>
        <v>191.03696260953248</v>
      </c>
      <c r="F19">
        <f t="shared" si="0"/>
        <v>151.49429919587951</v>
      </c>
      <c r="H19">
        <v>2029</v>
      </c>
      <c r="J19">
        <f t="shared" si="11"/>
        <v>3.0264420027453309</v>
      </c>
      <c r="K19">
        <f t="shared" si="9"/>
        <v>10.586987372904598</v>
      </c>
      <c r="L19">
        <f t="shared" si="10"/>
        <v>147.49035619538429</v>
      </c>
      <c r="M19">
        <f t="shared" si="1"/>
        <v>116.96138718264702</v>
      </c>
      <c r="O19">
        <v>2029</v>
      </c>
      <c r="P19">
        <f t="shared" si="5"/>
        <v>12.610175011438878</v>
      </c>
      <c r="Q19">
        <f t="shared" si="2"/>
        <v>106.99466941888348</v>
      </c>
      <c r="R19">
        <f t="shared" si="6"/>
        <v>119.60484443032236</v>
      </c>
      <c r="S19">
        <f t="shared" si="7"/>
        <v>94.847886188595339</v>
      </c>
    </row>
    <row r="20" spans="1:19">
      <c r="A20">
        <v>2030</v>
      </c>
      <c r="C20">
        <f t="shared" si="12"/>
        <v>3.0809179587947471</v>
      </c>
      <c r="D20">
        <f t="shared" si="4"/>
        <v>15.107203003161835</v>
      </c>
      <c r="E20">
        <f t="shared" si="8"/>
        <v>209.22508357148905</v>
      </c>
      <c r="F20">
        <f t="shared" si="0"/>
        <v>162.98395714763228</v>
      </c>
      <c r="H20">
        <v>2030</v>
      </c>
      <c r="J20">
        <f t="shared" si="11"/>
        <v>3.0809179587947471</v>
      </c>
      <c r="K20">
        <f t="shared" si="9"/>
        <v>11.663537367930996</v>
      </c>
      <c r="L20">
        <f t="shared" si="10"/>
        <v>162.23481152211002</v>
      </c>
      <c r="M20">
        <f t="shared" si="1"/>
        <v>126.37907041360585</v>
      </c>
      <c r="O20">
        <v>2030</v>
      </c>
      <c r="P20">
        <f t="shared" si="5"/>
        <v>12.837158161644778</v>
      </c>
      <c r="Q20">
        <f t="shared" si="2"/>
        <v>115.45580787652878</v>
      </c>
      <c r="R20">
        <f t="shared" si="6"/>
        <v>128.29296603817355</v>
      </c>
      <c r="S20">
        <f t="shared" si="7"/>
        <v>99.938759359911046</v>
      </c>
    </row>
    <row r="21" spans="1:19">
      <c r="A21">
        <v>2031</v>
      </c>
      <c r="C21">
        <f t="shared" si="12"/>
        <v>3.136374482053053</v>
      </c>
      <c r="D21">
        <f t="shared" si="4"/>
        <v>16.545519608833363</v>
      </c>
      <c r="E21">
        <f t="shared" si="8"/>
        <v>228.90697766237548</v>
      </c>
      <c r="F21">
        <f t="shared" si="0"/>
        <v>175.16299457649023</v>
      </c>
      <c r="H21">
        <v>2031</v>
      </c>
      <c r="J21">
        <f t="shared" si="11"/>
        <v>3.136374482053053</v>
      </c>
      <c r="K21">
        <f t="shared" si="9"/>
        <v>12.829528895168467</v>
      </c>
      <c r="L21">
        <f t="shared" si="10"/>
        <v>178.20071489933153</v>
      </c>
      <c r="M21">
        <f t="shared" si="1"/>
        <v>136.36181463842217</v>
      </c>
      <c r="O21">
        <v>2031</v>
      </c>
      <c r="P21">
        <f t="shared" si="5"/>
        <v>13.068227008554384</v>
      </c>
      <c r="Q21">
        <f t="shared" si="2"/>
        <v>124.58605316340469</v>
      </c>
      <c r="R21">
        <f t="shared" si="6"/>
        <v>137.65428017195907</v>
      </c>
      <c r="S21">
        <f t="shared" si="7"/>
        <v>105.33508492150571</v>
      </c>
    </row>
    <row r="22" spans="1:19">
      <c r="A22">
        <v>2032</v>
      </c>
      <c r="C22">
        <f t="shared" si="12"/>
        <v>3.1928292227300075</v>
      </c>
      <c r="D22">
        <f t="shared" si="4"/>
        <v>18.101963793540662</v>
      </c>
      <c r="E22">
        <f t="shared" si="8"/>
        <v>250.20177067864614</v>
      </c>
      <c r="F22">
        <f t="shared" si="0"/>
        <v>188.07277425107966</v>
      </c>
      <c r="H22">
        <v>2032</v>
      </c>
      <c r="J22">
        <f t="shared" si="11"/>
        <v>3.1928292227300075</v>
      </c>
      <c r="K22">
        <f t="shared" si="9"/>
        <v>14.092112534239144</v>
      </c>
      <c r="L22">
        <f t="shared" si="10"/>
        <v>195.48565665630068</v>
      </c>
      <c r="M22">
        <f t="shared" si="1"/>
        <v>146.94352351672751</v>
      </c>
      <c r="O22">
        <v>2032</v>
      </c>
      <c r="P22">
        <f t="shared" si="5"/>
        <v>13.303455094708363</v>
      </c>
      <c r="Q22">
        <f t="shared" si="2"/>
        <v>134.43831824756674</v>
      </c>
      <c r="R22">
        <f t="shared" si="6"/>
        <v>147.74177334227511</v>
      </c>
      <c r="S22">
        <f t="shared" si="7"/>
        <v>111.05519001679608</v>
      </c>
    </row>
    <row r="23" spans="1:19">
      <c r="A23">
        <v>2033</v>
      </c>
      <c r="C23">
        <f t="shared" si="12"/>
        <v>3.2503001487391479</v>
      </c>
      <c r="D23">
        <f t="shared" si="4"/>
        <v>19.785956025267346</v>
      </c>
      <c r="E23">
        <f t="shared" si="8"/>
        <v>273.23802685265264</v>
      </c>
      <c r="F23">
        <f t="shared" si="0"/>
        <v>201.75714070614444</v>
      </c>
      <c r="H23">
        <v>2033</v>
      </c>
      <c r="J23">
        <f t="shared" si="11"/>
        <v>3.2503001487391479</v>
      </c>
      <c r="K23">
        <f t="shared" si="9"/>
        <v>15.459005728380266</v>
      </c>
      <c r="L23">
        <f t="shared" si="10"/>
        <v>214.1949625334201</v>
      </c>
      <c r="M23">
        <f t="shared" si="1"/>
        <v>158.16013492773118</v>
      </c>
      <c r="O23">
        <v>2033</v>
      </c>
      <c r="P23">
        <f t="shared" si="5"/>
        <v>13.542917286413115</v>
      </c>
      <c r="Q23">
        <f t="shared" si="2"/>
        <v>145.06970045458434</v>
      </c>
      <c r="R23">
        <f t="shared" si="6"/>
        <v>158.61261774099745</v>
      </c>
      <c r="S23">
        <f t="shared" si="7"/>
        <v>117.11850141780386</v>
      </c>
    </row>
    <row r="24" spans="1:19">
      <c r="A24">
        <v>2034</v>
      </c>
      <c r="C24">
        <f t="shared" si="12"/>
        <v>3.3088055514164525</v>
      </c>
      <c r="D24">
        <f t="shared" si="4"/>
        <v>21.60766316350778</v>
      </c>
      <c r="E24">
        <f t="shared" si="8"/>
        <v>298.15449556757687</v>
      </c>
      <c r="F24">
        <f t="shared" si="0"/>
        <v>216.26256914851311</v>
      </c>
      <c r="H24">
        <v>2034</v>
      </c>
      <c r="J24">
        <f t="shared" si="11"/>
        <v>3.3088055514164525</v>
      </c>
      <c r="K24">
        <f t="shared" si="9"/>
        <v>16.938537637142868</v>
      </c>
      <c r="L24">
        <f t="shared" si="10"/>
        <v>234.44230572197941</v>
      </c>
      <c r="M24">
        <f t="shared" si="1"/>
        <v>170.04974302339505</v>
      </c>
      <c r="O24">
        <v>2034</v>
      </c>
      <c r="P24">
        <f t="shared" si="5"/>
        <v>13.786689797568551</v>
      </c>
      <c r="Q24">
        <f t="shared" si="2"/>
        <v>156.54181236653287</v>
      </c>
      <c r="R24">
        <f t="shared" si="6"/>
        <v>170.32850216410142</v>
      </c>
      <c r="S24">
        <f t="shared" si="7"/>
        <v>123.54561150287209</v>
      </c>
    </row>
    <row r="25" spans="1:19">
      <c r="A25">
        <v>2035</v>
      </c>
      <c r="C25">
        <f t="shared" si="12"/>
        <v>3.3683640513419486</v>
      </c>
      <c r="D25">
        <f t="shared" si="4"/>
        <v>23.57805750948399</v>
      </c>
      <c r="E25">
        <f t="shared" si="8"/>
        <v>325.10091712840278</v>
      </c>
      <c r="F25">
        <f t="shared" si="0"/>
        <v>231.63832329742391</v>
      </c>
      <c r="H25">
        <v>2035</v>
      </c>
      <c r="J25">
        <f t="shared" si="11"/>
        <v>3.3683640513419486</v>
      </c>
      <c r="K25">
        <f t="shared" si="9"/>
        <v>18.539697536494142</v>
      </c>
      <c r="L25">
        <f t="shared" si="10"/>
        <v>256.35036730981551</v>
      </c>
      <c r="M25">
        <f t="shared" si="1"/>
        <v>182.65272760479877</v>
      </c>
      <c r="O25">
        <v>2035</v>
      </c>
      <c r="P25">
        <f t="shared" si="5"/>
        <v>14.034850213924784</v>
      </c>
      <c r="Q25">
        <f t="shared" si="2"/>
        <v>168.92113888847828</v>
      </c>
      <c r="R25">
        <f t="shared" si="6"/>
        <v>182.95598910240307</v>
      </c>
      <c r="S25">
        <f t="shared" si="7"/>
        <v>130.35834819304441</v>
      </c>
    </row>
    <row r="26" spans="1:19">
      <c r="A26">
        <v>2036</v>
      </c>
      <c r="C26">
        <f t="shared" si="12"/>
        <v>3.4289946042661041</v>
      </c>
      <c r="D26">
        <f t="shared" si="4"/>
        <v>25.708980526514104</v>
      </c>
      <c r="E26">
        <f t="shared" si="8"/>
        <v>354.23889225918299</v>
      </c>
      <c r="F26">
        <f t="shared" si="0"/>
        <v>247.93662269526931</v>
      </c>
      <c r="H26">
        <v>2036</v>
      </c>
      <c r="J26">
        <f t="shared" si="11"/>
        <v>3.4289946042661041</v>
      </c>
      <c r="K26">
        <f t="shared" si="9"/>
        <v>20.272187046860221</v>
      </c>
      <c r="L26">
        <f t="shared" si="10"/>
        <v>280.05154896094183</v>
      </c>
      <c r="M26">
        <f t="shared" si="1"/>
        <v>196.01189126108667</v>
      </c>
      <c r="O26">
        <v>2036</v>
      </c>
      <c r="P26">
        <f t="shared" si="5"/>
        <v>14.287477517775431</v>
      </c>
      <c r="Q26">
        <f t="shared" si="2"/>
        <v>182.27942255177919</v>
      </c>
      <c r="R26">
        <f t="shared" si="6"/>
        <v>196.56690006955463</v>
      </c>
      <c r="S26">
        <f t="shared" si="7"/>
        <v>137.57984908462709</v>
      </c>
    </row>
    <row r="27" spans="1:19">
      <c r="A27">
        <v>2037</v>
      </c>
      <c r="C27">
        <f t="shared" si="12"/>
        <v>3.4907165071428938</v>
      </c>
      <c r="D27">
        <f t="shared" si="4"/>
        <v>28.013211599856206</v>
      </c>
      <c r="E27">
        <f t="shared" si="8"/>
        <v>385.74282036618206</v>
      </c>
      <c r="F27">
        <f t="shared" si="0"/>
        <v>265.21282005698544</v>
      </c>
      <c r="H27">
        <v>2037</v>
      </c>
      <c r="J27">
        <f t="shared" si="11"/>
        <v>3.4907165071428938</v>
      </c>
      <c r="K27">
        <f t="shared" si="9"/>
        <v>22.14647649183129</v>
      </c>
      <c r="L27">
        <f t="shared" si="10"/>
        <v>305.688741959916</v>
      </c>
      <c r="M27">
        <f t="shared" si="1"/>
        <v>210.17260473675185</v>
      </c>
      <c r="O27">
        <v>2037</v>
      </c>
      <c r="P27">
        <f t="shared" si="5"/>
        <v>14.544652113095388</v>
      </c>
      <c r="Q27">
        <f t="shared" si="2"/>
        <v>196.69407928717391</v>
      </c>
      <c r="R27">
        <f t="shared" si="6"/>
        <v>211.2387314002693</v>
      </c>
      <c r="S27">
        <f t="shared" si="7"/>
        <v>145.23464002970474</v>
      </c>
    </row>
    <row r="28" spans="1:19">
      <c r="A28">
        <v>2038</v>
      </c>
      <c r="C28">
        <f t="shared" si="12"/>
        <v>3.5535494042714655</v>
      </c>
      <c r="D28">
        <f t="shared" si="4"/>
        <v>30.504542234557693</v>
      </c>
      <c r="E28">
        <f t="shared" si="8"/>
        <v>419.80091200501124</v>
      </c>
      <c r="F28">
        <f t="shared" si="0"/>
        <v>283.52558926040467</v>
      </c>
      <c r="H28">
        <v>2038</v>
      </c>
      <c r="J28">
        <f t="shared" si="11"/>
        <v>3.5535494042714655</v>
      </c>
      <c r="K28">
        <f t="shared" si="9"/>
        <v>24.173865714190168</v>
      </c>
      <c r="L28">
        <f t="shared" si="10"/>
        <v>333.41615707837764</v>
      </c>
      <c r="M28">
        <f t="shared" si="1"/>
        <v>225.18296102095704</v>
      </c>
      <c r="O28">
        <v>2038</v>
      </c>
      <c r="P28">
        <f t="shared" si="5"/>
        <v>14.806455851131105</v>
      </c>
      <c r="Q28">
        <f t="shared" si="2"/>
        <v>212.24864707720357</v>
      </c>
      <c r="R28">
        <f t="shared" si="6"/>
        <v>227.05510292833469</v>
      </c>
      <c r="S28">
        <f t="shared" si="7"/>
        <v>153.34871843148701</v>
      </c>
    </row>
    <row r="29" spans="1:19">
      <c r="A29">
        <v>2039</v>
      </c>
      <c r="C29">
        <f t="shared" si="12"/>
        <v>3.6175132935483529</v>
      </c>
      <c r="D29">
        <f t="shared" si="4"/>
        <v>33.197856121356303</v>
      </c>
      <c r="E29">
        <f t="shared" si="8"/>
        <v>456.61628141991588</v>
      </c>
      <c r="F29">
        <f t="shared" si="0"/>
        <v>302.93712461602883</v>
      </c>
      <c r="H29">
        <v>2039</v>
      </c>
      <c r="J29">
        <f t="shared" si="11"/>
        <v>3.6175132935483529</v>
      </c>
      <c r="K29">
        <f t="shared" si="9"/>
        <v>26.366549701758117</v>
      </c>
      <c r="L29">
        <f t="shared" si="10"/>
        <v>363.40022007368412</v>
      </c>
      <c r="M29">
        <f t="shared" si="1"/>
        <v>241.0939386822144</v>
      </c>
      <c r="O29">
        <v>2039</v>
      </c>
      <c r="P29">
        <f t="shared" si="5"/>
        <v>15.072972056451466</v>
      </c>
      <c r="Q29">
        <f t="shared" si="2"/>
        <v>229.03327008806886</v>
      </c>
      <c r="R29">
        <f t="shared" si="6"/>
        <v>244.10624214452034</v>
      </c>
      <c r="S29">
        <f t="shared" si="7"/>
        <v>161.94964153737618</v>
      </c>
    </row>
    <row r="30" spans="1:19">
      <c r="A30">
        <v>2040</v>
      </c>
      <c r="C30">
        <f t="shared" si="12"/>
        <v>3.6826285328322226</v>
      </c>
      <c r="D30">
        <f t="shared" si="4"/>
        <v>36.109215534686967</v>
      </c>
      <c r="E30">
        <f t="shared" si="8"/>
        <v>496.40812548743509</v>
      </c>
      <c r="F30">
        <f t="shared" si="0"/>
        <v>323.51335209299066</v>
      </c>
      <c r="H30">
        <v>2040</v>
      </c>
      <c r="J30">
        <f t="shared" si="11"/>
        <v>3.6826285328322226</v>
      </c>
      <c r="K30">
        <f t="shared" si="9"/>
        <v>28.737689403426955</v>
      </c>
      <c r="L30">
        <f t="shared" si="10"/>
        <v>395.82053800994333</v>
      </c>
      <c r="M30">
        <f t="shared" si="1"/>
        <v>257.95957500314734</v>
      </c>
      <c r="O30">
        <v>2040</v>
      </c>
      <c r="P30">
        <f t="shared" si="5"/>
        <v>15.344285553467593</v>
      </c>
      <c r="Q30">
        <f t="shared" si="2"/>
        <v>247.14522108663337</v>
      </c>
      <c r="R30">
        <f t="shared" si="6"/>
        <v>262.48950664010096</v>
      </c>
      <c r="S30">
        <f t="shared" si="7"/>
        <v>171.0666200296188</v>
      </c>
    </row>
    <row r="31" spans="1:19">
      <c r="A31">
        <v>2041</v>
      </c>
      <c r="C31">
        <f t="shared" si="12"/>
        <v>3.7489158464232029</v>
      </c>
      <c r="D31">
        <f t="shared" si="4"/>
        <v>39.255954563546389</v>
      </c>
      <c r="E31">
        <f t="shared" si="8"/>
        <v>539.4129958974047</v>
      </c>
      <c r="F31">
        <f t="shared" si="0"/>
        <v>345.32415321857013</v>
      </c>
      <c r="H31">
        <v>2041</v>
      </c>
      <c r="J31">
        <f t="shared" si="11"/>
        <v>3.7489158464232029</v>
      </c>
      <c r="K31">
        <f t="shared" si="9"/>
        <v>31.301488145826333</v>
      </c>
      <c r="L31">
        <f t="shared" si="10"/>
        <v>430.87094200219286</v>
      </c>
      <c r="M31">
        <f t="shared" si="1"/>
        <v>275.83714950333621</v>
      </c>
      <c r="O31">
        <v>2041</v>
      </c>
      <c r="P31">
        <f t="shared" si="5"/>
        <v>15.620482693430009</v>
      </c>
      <c r="Q31">
        <f t="shared" si="2"/>
        <v>266.6894651701644</v>
      </c>
      <c r="R31">
        <f t="shared" si="6"/>
        <v>282.3099478635944</v>
      </c>
      <c r="S31">
        <f t="shared" si="7"/>
        <v>180.73061723139597</v>
      </c>
    </row>
    <row r="32" spans="1:19">
      <c r="A32">
        <v>2042</v>
      </c>
      <c r="C32">
        <f t="shared" si="12"/>
        <v>3.8163963316588205</v>
      </c>
      <c r="D32">
        <f t="shared" si="4"/>
        <v>42.656779715566785</v>
      </c>
      <c r="E32">
        <f t="shared" si="8"/>
        <v>585.88617194463029</v>
      </c>
      <c r="F32">
        <f t="shared" si="0"/>
        <v>368.44360241168431</v>
      </c>
      <c r="H32">
        <v>2042</v>
      </c>
      <c r="J32">
        <f t="shared" si="11"/>
        <v>3.8163963316588205</v>
      </c>
      <c r="K32">
        <f t="shared" si="9"/>
        <v>34.073274093533428</v>
      </c>
      <c r="L32">
        <f t="shared" si="10"/>
        <v>468.76061242738513</v>
      </c>
      <c r="M32">
        <f t="shared" si="1"/>
        <v>294.78737847353636</v>
      </c>
      <c r="O32">
        <v>2042</v>
      </c>
      <c r="P32">
        <f t="shared" si="5"/>
        <v>15.90165138191175</v>
      </c>
      <c r="Q32">
        <f t="shared" si="2"/>
        <v>287.77926807582099</v>
      </c>
      <c r="R32">
        <f t="shared" si="6"/>
        <v>303.68091945773273</v>
      </c>
      <c r="S32">
        <f t="shared" si="7"/>
        <v>190.97445426527972</v>
      </c>
    </row>
    <row r="33" spans="1:19">
      <c r="A33">
        <v>2043</v>
      </c>
      <c r="C33">
        <f t="shared" si="12"/>
        <v>3.8850914656286792</v>
      </c>
      <c r="D33">
        <f t="shared" si="4"/>
        <v>46.331878477381387</v>
      </c>
      <c r="E33">
        <f t="shared" si="8"/>
        <v>636.10314188764039</v>
      </c>
      <c r="F33">
        <f t="shared" si="0"/>
        <v>392.95021855638538</v>
      </c>
      <c r="H33">
        <v>2043</v>
      </c>
      <c r="J33">
        <f t="shared" si="11"/>
        <v>3.8850914656286792</v>
      </c>
      <c r="K33">
        <f t="shared" si="9"/>
        <v>37.069589230757636</v>
      </c>
      <c r="L33">
        <f t="shared" si="10"/>
        <v>509.71529312377146</v>
      </c>
      <c r="M33">
        <f t="shared" si="1"/>
        <v>314.87462118194856</v>
      </c>
      <c r="O33">
        <v>2043</v>
      </c>
      <c r="P33">
        <f t="shared" si="5"/>
        <v>16.187881106786161</v>
      </c>
      <c r="Q33">
        <f t="shared" si="2"/>
        <v>310.5368525952569</v>
      </c>
      <c r="R33">
        <f t="shared" si="6"/>
        <v>326.72473370204307</v>
      </c>
      <c r="S33">
        <f t="shared" si="7"/>
        <v>201.83292152119648</v>
      </c>
    </row>
    <row r="34" spans="1:19">
      <c r="A34">
        <v>2044</v>
      </c>
      <c r="C34">
        <f t="shared" si="12"/>
        <v>3.9550231120099952</v>
      </c>
      <c r="D34">
        <f t="shared" si="4"/>
        <v>50.30303646047463</v>
      </c>
      <c r="E34">
        <f t="shared" ref="E34:E35" si="13">E33+SUM(B34:D34)</f>
        <v>690.36120146012502</v>
      </c>
      <c r="F34">
        <f t="shared" si="0"/>
        <v>418.92723166976862</v>
      </c>
      <c r="H34">
        <v>2044</v>
      </c>
      <c r="J34">
        <f t="shared" si="11"/>
        <v>3.9550231120099952</v>
      </c>
      <c r="K34">
        <f t="shared" si="9"/>
        <v>40.308285380227865</v>
      </c>
      <c r="L34">
        <f t="shared" ref="L34:L35" si="14">L33+SUM(I34:K34)</f>
        <v>553.97860161600931</v>
      </c>
      <c r="M34">
        <f t="shared" si="1"/>
        <v>336.16709845286556</v>
      </c>
      <c r="O34">
        <v>2044</v>
      </c>
      <c r="P34">
        <f t="shared" si="5"/>
        <v>16.479262966708312</v>
      </c>
      <c r="Q34">
        <f t="shared" si="2"/>
        <v>335.09410689848983</v>
      </c>
      <c r="R34">
        <f t="shared" si="6"/>
        <v>351.57336986519812</v>
      </c>
      <c r="S34">
        <f t="shared" si="7"/>
        <v>213.34289681246833</v>
      </c>
    </row>
    <row r="35" spans="1:19">
      <c r="A35">
        <v>2045</v>
      </c>
      <c r="C35">
        <f t="shared" si="12"/>
        <v>4.0262135280261759</v>
      </c>
      <c r="D35">
        <f t="shared" si="4"/>
        <v>54.593763811466715</v>
      </c>
      <c r="E35">
        <f t="shared" si="13"/>
        <v>748.98117879961796</v>
      </c>
      <c r="F35">
        <f t="shared" si="0"/>
        <v>446.46286556995466</v>
      </c>
      <c r="H35">
        <v>2045</v>
      </c>
      <c r="J35">
        <f t="shared" si="11"/>
        <v>4.0262135280261759</v>
      </c>
      <c r="K35">
        <f t="shared" si="9"/>
        <v>43.80862781579404</v>
      </c>
      <c r="L35">
        <f t="shared" si="14"/>
        <v>601.81344295982956</v>
      </c>
      <c r="M35">
        <f t="shared" si="1"/>
        <v>358.7371243600374</v>
      </c>
      <c r="O35">
        <v>2045</v>
      </c>
      <c r="P35">
        <f t="shared" si="5"/>
        <v>16.775889700109062</v>
      </c>
      <c r="Q35">
        <f t="shared" si="2"/>
        <v>361.59334887202243</v>
      </c>
      <c r="R35">
        <f t="shared" si="6"/>
        <v>378.36923857213151</v>
      </c>
      <c r="S35">
        <f t="shared" si="7"/>
        <v>225.54347062121641</v>
      </c>
    </row>
    <row r="37" spans="1:19">
      <c r="E37">
        <f>(E35/E19)^(1/($A35-$A19))</f>
        <v>1.0891422204830907</v>
      </c>
      <c r="F37">
        <f>(F35/F19)^(1/($A35-$A19))</f>
        <v>1.0698843030285763</v>
      </c>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workbookViewId="0">
      <selection activeCell="D4" sqref="D4"/>
    </sheetView>
  </sheetViews>
  <sheetFormatPr baseColWidth="10" defaultRowHeight="15" x14ac:dyDescent="0"/>
  <sheetData>
    <row r="2" spans="2:4">
      <c r="B2">
        <v>1</v>
      </c>
    </row>
    <row r="3" spans="2:4">
      <c r="C3" t="s">
        <v>55</v>
      </c>
      <c r="D3">
        <f>B2*3</f>
        <v>3</v>
      </c>
    </row>
    <row r="4" spans="2:4">
      <c r="C4">
        <v>1</v>
      </c>
      <c r="D4">
        <f t="dataTable" ref="D4:D6" dt2D="0" dtr="0" r1="B2"/>
        <v>3</v>
      </c>
    </row>
    <row r="5" spans="2:4">
      <c r="C5">
        <v>2</v>
      </c>
      <c r="D5">
        <v>6</v>
      </c>
    </row>
    <row r="6" spans="2:4">
      <c r="C6">
        <v>3</v>
      </c>
      <c r="D6">
        <v>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hedged hubs</vt:lpstr>
      <vt:lpstr>physical hedge</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Fripp</dc:creator>
  <cp:lastModifiedBy>Matthias Fripp</cp:lastModifiedBy>
  <dcterms:created xsi:type="dcterms:W3CDTF">2016-06-23T07:32:22Z</dcterms:created>
  <dcterms:modified xsi:type="dcterms:W3CDTF">2017-01-25T02:13:59Z</dcterms:modified>
</cp:coreProperties>
</file>